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5" yWindow="330" windowWidth="28350" windowHeight="11550" tabRatio="121" activeTab="0"/>
  </bookViews>
  <sheets>
    <sheet name="Bemerkung" sheetId="1" r:id="rId1"/>
    <sheet name="Klassen" sheetId="2" r:id="rId2"/>
    <sheet name="Sprengel" sheetId="3" r:id="rId3"/>
    <sheet name="GTS" sheetId="4" r:id="rId4"/>
    <sheet name="KontiN" sheetId="5" r:id="rId5"/>
    <sheet name="Bed S1" sheetId="6" r:id="rId6"/>
    <sheet name="Bed S2" sheetId="7" r:id="rId7"/>
  </sheets>
  <definedNames>
    <definedName name="_xlnm.Print_Area" localSheetId="5">'Bed S1'!$A$2:$N$50</definedName>
    <definedName name="_xlnm.Print_Area" localSheetId="6">'Bed S2'!$A$1:$O$41</definedName>
    <definedName name="_xlnm.Print_Area" localSheetId="3">'GTS'!$A$1:$AB$44</definedName>
    <definedName name="_xlnm.Print_Area" localSheetId="1">'Klassen'!$A:$AN</definedName>
    <definedName name="_xlnm.Print_Area" localSheetId="4">'KontiN'!$A$8:$M$68</definedName>
    <definedName name="_xlnm.Print_Area" localSheetId="2">'Sprengel'!$B$20:$P$66</definedName>
    <definedName name="_xlnm.Print_Titles" localSheetId="2">'Sprengel'!$15:$18</definedName>
    <definedName name="CRITERIA" localSheetId="1">'Klassen'!$BP$14:$BR$15</definedName>
    <definedName name="EXTRACT" localSheetId="1">'Klassen'!$BP$21:$BR$21</definedName>
  </definedNames>
  <calcPr fullCalcOnLoad="1"/>
</workbook>
</file>

<file path=xl/comments2.xml><?xml version="1.0" encoding="utf-8"?>
<comments xmlns="http://schemas.openxmlformats.org/spreadsheetml/2006/main">
  <authors>
    <author>Flatz Johannes</author>
  </authors>
  <commentList>
    <comment ref="E6" authorId="0">
      <text>
        <r>
          <rPr>
            <sz val="10"/>
            <rFont val="Tahoma"/>
            <family val="2"/>
          </rPr>
          <t xml:space="preserve">Eigene Deutschförderklassen sind am Standort einzurichten 
</t>
        </r>
        <r>
          <rPr>
            <u val="single"/>
            <sz val="10"/>
            <rFont val="Tahoma"/>
            <family val="2"/>
          </rPr>
          <t>ab acht ao. Schülern</t>
        </r>
        <r>
          <rPr>
            <sz val="10"/>
            <rFont val="Tahoma"/>
            <family val="2"/>
          </rPr>
          <t xml:space="preserve"> mit ungenügenden Sprachkenntnissen</t>
        </r>
      </text>
    </comment>
  </commentList>
</comments>
</file>

<file path=xl/comments4.xml><?xml version="1.0" encoding="utf-8"?>
<comments xmlns="http://schemas.openxmlformats.org/spreadsheetml/2006/main">
  <authors>
    <author>Flatz Johannes</author>
    <author>Flatz</author>
  </authors>
  <commentList>
    <comment ref="R6" authorId="0">
      <text>
        <r>
          <rPr>
            <sz val="9"/>
            <rFont val="Tahoma"/>
            <family val="2"/>
          </rPr>
          <t>Diese Abstufungen stehen im Zusammenhang mit den 
schulautonomen Gestaltungsmöglichkeiten der Schülerbetreuung</t>
        </r>
      </text>
    </comment>
    <comment ref="A38" authorId="1">
      <text>
        <r>
          <rPr>
            <sz val="9"/>
            <rFont val="Segoe UI"/>
            <family val="2"/>
          </rPr>
          <t>Hier werden Stunden angezeigt, nachdem 
sie zuvor ab Zeile 32 eingetragen wurden.
Zu beachten:  Genehmigung bei BilDi 
muss eingeholt sein/werden!</t>
        </r>
      </text>
    </comment>
  </commentList>
</comments>
</file>

<file path=xl/comments5.xml><?xml version="1.0" encoding="utf-8"?>
<comments xmlns="http://schemas.openxmlformats.org/spreadsheetml/2006/main">
  <authors>
    <author>Flatz Johannes</author>
  </authors>
  <commentList>
    <comment ref="K19" authorId="0">
      <text>
        <r>
          <rPr>
            <sz val="9"/>
            <rFont val="Tahoma"/>
            <family val="2"/>
          </rPr>
          <t xml:space="preserve">Wenn </t>
        </r>
        <r>
          <rPr>
            <u val="single"/>
            <sz val="9"/>
            <rFont val="Tahoma"/>
            <family val="2"/>
          </rPr>
          <t>nicht mind</t>
        </r>
        <r>
          <rPr>
            <sz val="9"/>
            <rFont val="Tahoma"/>
            <family val="2"/>
          </rPr>
          <t>. in diesem Ausmaß in der 
gesonderten DFörderung unterrichtet wird, 
muss in der Zelle 'K21' ein entsprechendes 
Minus eingetragen werden!</t>
        </r>
      </text>
    </comment>
  </commentList>
</comments>
</file>

<file path=xl/comments6.xml><?xml version="1.0" encoding="utf-8"?>
<comments xmlns="http://schemas.openxmlformats.org/spreadsheetml/2006/main">
  <authors>
    <author>Flatz Johannes</author>
  </authors>
  <commentList>
    <comment ref="I21" authorId="0">
      <text>
        <r>
          <rPr>
            <sz val="8"/>
            <color indexed="16"/>
            <rFont val="Tahoma"/>
            <family val="2"/>
          </rPr>
          <t>bei Zutreffen bitte zusätzlich
das Blatt 'GTS' ausfüllen</t>
        </r>
      </text>
    </comment>
  </commentList>
</comments>
</file>

<file path=xl/sharedStrings.xml><?xml version="1.0" encoding="utf-8"?>
<sst xmlns="http://schemas.openxmlformats.org/spreadsheetml/2006/main" count="475" uniqueCount="366">
  <si>
    <t xml:space="preserve">Zuschlag nichtdeutsch: </t>
  </si>
  <si>
    <t>für jeden Schüler unter</t>
  </si>
  <si>
    <t xml:space="preserve">... abziehen: </t>
  </si>
  <si>
    <t xml:space="preserve">Zuschlag außerordentlich: </t>
  </si>
  <si>
    <t xml:space="preserve">davon haben... </t>
  </si>
  <si>
    <t>nichtdeutsche Muttersprache</t>
  </si>
  <si>
    <t xml:space="preserve">Zahl der Klassen: </t>
  </si>
  <si>
    <t xml:space="preserve"> (= wie tatsächlich eingerichtet)</t>
  </si>
  <si>
    <t>ganzjähriger Unterricht:</t>
  </si>
  <si>
    <t>Anzahl der Wochenstunden:</t>
  </si>
  <si>
    <t xml:space="preserve">Leistungsdifferenz. Unterricht:  </t>
  </si>
  <si>
    <t xml:space="preserve">Deutsch-Förderung für Kinder mit nichtdeutscher Muttersprache:  </t>
  </si>
  <si>
    <t xml:space="preserve"> gesonderter Förderunterricht für außerordentliche Schüler:  </t>
  </si>
  <si>
    <t xml:space="preserve">....... :  </t>
  </si>
  <si>
    <t xml:space="preserve">restliche ganzjährig gehaltene Unterrichtsstunden:  </t>
  </si>
  <si>
    <t xml:space="preserve">verbleibender Stundenrest =  </t>
  </si>
  <si>
    <t>Datum</t>
  </si>
  <si>
    <t>. . . . . . .</t>
  </si>
  <si>
    <t>Konti-Zuschlag:</t>
  </si>
  <si>
    <t xml:space="preserve"> ... als "Sockel", falls mindestens 24 Schüler</t>
  </si>
  <si>
    <t xml:space="preserve">Gesamt-Kontingent für den Unterricht: </t>
  </si>
  <si>
    <t>an Wochenstunden (ganzjährig)</t>
  </si>
  <si>
    <t xml:space="preserve">sowie generell noch: </t>
  </si>
  <si>
    <t xml:space="preserve">Grundwert pro Standort: </t>
  </si>
  <si>
    <t xml:space="preserve">Stunden pro Schüler: </t>
  </si>
  <si>
    <t xml:space="preserve">(weitere) LV-Einrechnung für </t>
  </si>
  <si>
    <t>... ohne Unterricht in Muttersprachen und 'anderen' Religionen</t>
  </si>
  <si>
    <t xml:space="preserve">LV-Einrechnung wegen Verwendung in der Personalreserve: </t>
  </si>
  <si>
    <r>
      <t xml:space="preserve">schulbezogene </t>
    </r>
    <r>
      <rPr>
        <u val="single"/>
        <sz val="14"/>
        <color indexed="18"/>
        <rFont val="Arial"/>
        <family val="2"/>
      </rPr>
      <t>Einrechnungen in die Unterrichtsverpflichtung</t>
    </r>
    <r>
      <rPr>
        <sz val="14"/>
        <color indexed="18"/>
        <rFont val="Arial"/>
        <family val="2"/>
      </rPr>
      <t>:</t>
    </r>
  </si>
  <si>
    <t>Kontingent für Unterrichtsstunden</t>
  </si>
  <si>
    <t xml:space="preserve">Polytechnische Schule </t>
  </si>
  <si>
    <t xml:space="preserve">schulautonome Tage:  </t>
  </si>
  <si>
    <t xml:space="preserve">Religion  (röm.kath.):  </t>
  </si>
  <si>
    <t xml:space="preserve">Textiles Werken sowie  Ernährung, Küche... Service (Hw):  </t>
  </si>
  <si>
    <t>in</t>
  </si>
  <si>
    <t>Religion</t>
  </si>
  <si>
    <t>Summen</t>
  </si>
  <si>
    <t>in D:</t>
  </si>
  <si>
    <t>in E:</t>
  </si>
  <si>
    <t>in M:</t>
  </si>
  <si>
    <t xml:space="preserve">Anzahl der Schülergruppen ... </t>
  </si>
  <si>
    <t xml:space="preserve">Faktoren für das PtS-Kontingent: </t>
  </si>
  <si>
    <r>
      <t xml:space="preserve">  Zahl der</t>
    </r>
    <r>
      <rPr>
        <b/>
        <sz val="12"/>
        <rFont val="Arial"/>
        <family val="2"/>
      </rPr>
      <t xml:space="preserve"> IT-Arbeitsplätze</t>
    </r>
  </si>
  <si>
    <t xml:space="preserve">davon Mädchen: </t>
  </si>
  <si>
    <t xml:space="preserve">Schülerzahl zu Beginn der 3. Schul-Wo.: </t>
  </si>
  <si>
    <t>im 9. Schuljahr</t>
  </si>
  <si>
    <t>Anmerkung:</t>
  </si>
  <si>
    <t xml:space="preserve">… laut SchOG   an der  </t>
  </si>
  <si>
    <t>067</t>
  </si>
  <si>
    <t xml:space="preserve">Wochentag:  </t>
  </si>
  <si>
    <t>Montag</t>
  </si>
  <si>
    <t>Dienstag</t>
  </si>
  <si>
    <t>Mittwoch</t>
  </si>
  <si>
    <t>Donnerstag</t>
  </si>
  <si>
    <t>Freitag</t>
  </si>
  <si>
    <t>Uhrzeit:</t>
  </si>
  <si>
    <t>Schülerzahl</t>
  </si>
  <si>
    <t>WoStunden</t>
  </si>
  <si>
    <t>von</t>
  </si>
  <si>
    <t>bis</t>
  </si>
  <si>
    <t>GL</t>
  </si>
  <si>
    <t>IL</t>
  </si>
  <si>
    <t>Schüler in Gruppen:</t>
  </si>
  <si>
    <t xml:space="preserve">Diese Datei soll jedenfalls lokal abgespeichert sein </t>
  </si>
  <si>
    <t>( ==&gt; mit der F12-Taste auf ein Arbeitsverzeichnis des eigenen PC )</t>
  </si>
  <si>
    <t>und für die Bearbeitung von dort aus geöffnet werden.</t>
  </si>
  <si>
    <t xml:space="preserve"> …für die Verwendung im lehrplanmäßigen Unterricht</t>
  </si>
  <si>
    <t>siehe dazu:</t>
  </si>
  <si>
    <t>Klassenaufstellung</t>
  </si>
  <si>
    <t>im  9. Schuljahr</t>
  </si>
  <si>
    <t xml:space="preserve">im Schwerpunkt </t>
  </si>
  <si>
    <t xml:space="preserve"> NMS</t>
  </si>
  <si>
    <t xml:space="preserve"> Sport</t>
  </si>
  <si>
    <t>Musik</t>
  </si>
  <si>
    <t>Klasse</t>
  </si>
  <si>
    <t xml:space="preserve"> Stufe_0</t>
  </si>
  <si>
    <t xml:space="preserve"> Stufe_1</t>
  </si>
  <si>
    <t xml:space="preserve"> Stufe_2</t>
  </si>
  <si>
    <t xml:space="preserve"> Stufe_3</t>
  </si>
  <si>
    <t xml:space="preserve"> Stufe_4</t>
  </si>
  <si>
    <t xml:space="preserve"> Stufe_5</t>
  </si>
  <si>
    <t xml:space="preserve"> Stufe_6</t>
  </si>
  <si>
    <t xml:space="preserve"> Stufe_7</t>
  </si>
  <si>
    <t xml:space="preserve"> Stufe_8</t>
  </si>
  <si>
    <t xml:space="preserve"> Stufe_9</t>
  </si>
  <si>
    <t xml:space="preserve"> Stufe_10</t>
  </si>
  <si>
    <t xml:space="preserve">mit    </t>
  </si>
  <si>
    <t>in …</t>
  </si>
  <si>
    <t>höchste</t>
  </si>
  <si>
    <t>SPF …in der Stufe</t>
  </si>
  <si>
    <t>m</t>
  </si>
  <si>
    <t>w</t>
  </si>
  <si>
    <t>zus.</t>
  </si>
  <si>
    <t>GAK</t>
  </si>
  <si>
    <t>mit SPF</t>
  </si>
  <si>
    <t>erhö.FöB</t>
  </si>
  <si>
    <t>Stufen</t>
  </si>
  <si>
    <t>Stufe</t>
  </si>
  <si>
    <t>sm</t>
  </si>
  <si>
    <t>sw</t>
  </si>
  <si>
    <t>ges</t>
  </si>
  <si>
    <t>stuf</t>
  </si>
  <si>
    <t>beso</t>
  </si>
  <si>
    <t>Kl1</t>
  </si>
  <si>
    <t>Kl2</t>
  </si>
  <si>
    <t>m0</t>
  </si>
  <si>
    <t>w0</t>
  </si>
  <si>
    <t>m1</t>
  </si>
  <si>
    <t>w1</t>
  </si>
  <si>
    <t>m2</t>
  </si>
  <si>
    <t>w2</t>
  </si>
  <si>
    <t>m3</t>
  </si>
  <si>
    <t>w3</t>
  </si>
  <si>
    <t>m4</t>
  </si>
  <si>
    <t>w4</t>
  </si>
  <si>
    <t>m5</t>
  </si>
  <si>
    <t>w5</t>
  </si>
  <si>
    <t>m6</t>
  </si>
  <si>
    <t>w6</t>
  </si>
  <si>
    <t>m7</t>
  </si>
  <si>
    <t>w7</t>
  </si>
  <si>
    <t>m8</t>
  </si>
  <si>
    <t>w8</t>
  </si>
  <si>
    <t>m9</t>
  </si>
  <si>
    <t>w9</t>
  </si>
  <si>
    <t>m10</t>
  </si>
  <si>
    <t>w10</t>
  </si>
  <si>
    <t>y1</t>
  </si>
  <si>
    <t>ao</t>
  </si>
  <si>
    <t>SPF</t>
  </si>
  <si>
    <t>erhö</t>
  </si>
  <si>
    <t>spre</t>
  </si>
  <si>
    <t>ps9</t>
  </si>
  <si>
    <t>Bez</t>
  </si>
  <si>
    <t>NMS</t>
  </si>
  <si>
    <t>Spor</t>
  </si>
  <si>
    <t>Musi</t>
  </si>
  <si>
    <t>SchulDaten</t>
  </si>
  <si>
    <t>Kl+SPF</t>
  </si>
  <si>
    <t>S-Kl</t>
  </si>
  <si>
    <t>B+7</t>
  </si>
  <si>
    <t>DfGAK</t>
  </si>
  <si>
    <t>DInt</t>
  </si>
  <si>
    <t>MigZu</t>
  </si>
  <si>
    <t>STB-Wo</t>
  </si>
  <si>
    <t>STB-Gru</t>
  </si>
  <si>
    <t>STB-Schü</t>
  </si>
  <si>
    <t>EöB</t>
  </si>
  <si>
    <t>Reserv</t>
  </si>
  <si>
    <t>KontiRest</t>
  </si>
  <si>
    <t>LeitFrei</t>
  </si>
  <si>
    <t>LeitLV</t>
  </si>
  <si>
    <t>GegL</t>
  </si>
  <si>
    <t>IndL</t>
  </si>
  <si>
    <t>Bedarf</t>
  </si>
  <si>
    <t>GrundKonti</t>
  </si>
  <si>
    <t>SPFÖstunden</t>
  </si>
  <si>
    <t>Einrechnung</t>
  </si>
  <si>
    <t>Sonstig Zuschlag</t>
  </si>
  <si>
    <t>WTEX</t>
  </si>
  <si>
    <t>EH</t>
  </si>
  <si>
    <t>DFG</t>
  </si>
  <si>
    <t>DINTENSIV</t>
  </si>
  <si>
    <t>Leiter freigestellt</t>
  </si>
  <si>
    <t>GLZ &gt;&gt;LeiterLV</t>
  </si>
  <si>
    <t>GTS-Std</t>
  </si>
  <si>
    <t>GTS-Schü</t>
  </si>
  <si>
    <t>GTS-Grup</t>
  </si>
  <si>
    <t>Adm</t>
  </si>
  <si>
    <t>Admini</t>
  </si>
  <si>
    <t xml:space="preserve"> nd.Mutt</t>
  </si>
  <si>
    <t>KD</t>
  </si>
  <si>
    <t>KP</t>
  </si>
  <si>
    <t>NSpr</t>
  </si>
  <si>
    <t>NNw</t>
  </si>
  <si>
    <t>NSo</t>
  </si>
  <si>
    <t>NSK</t>
  </si>
  <si>
    <t>NAHS</t>
  </si>
  <si>
    <r>
      <t xml:space="preserve">(außer bei Mail-Einreichung:)   </t>
    </r>
    <r>
      <rPr>
        <sz val="6"/>
        <rFont val="Arial"/>
        <family val="2"/>
      </rPr>
      <t>Unterschrift  [Dir.]</t>
    </r>
  </si>
  <si>
    <t>auf Papier-Ausdruck:</t>
  </si>
  <si>
    <r>
      <t xml:space="preserve">Unterschrift  </t>
    </r>
    <r>
      <rPr>
        <sz val="8"/>
        <rFont val="Arial"/>
        <family val="2"/>
      </rPr>
      <t>[Dir. der PS]</t>
    </r>
  </si>
  <si>
    <t>TS+SEB</t>
  </si>
  <si>
    <t>Gru1</t>
  </si>
  <si>
    <t>unvÜ</t>
  </si>
  <si>
    <t>STzuw</t>
  </si>
  <si>
    <t>IT-Plä</t>
  </si>
  <si>
    <t>IT-Std</t>
  </si>
  <si>
    <t>Admi</t>
  </si>
  <si>
    <t>Gde</t>
  </si>
  <si>
    <t>EinRest</t>
  </si>
  <si>
    <t>Rel</t>
  </si>
  <si>
    <t>bzw. abweichende Ferienregelung:</t>
  </si>
  <si>
    <t>( Anm.:  Schulautonome Tage sind im Blatt [Verteilung] einzutragen! )</t>
  </si>
  <si>
    <t>Besonderheiten bei Schultagen</t>
  </si>
  <si>
    <t>Anmerkungen:</t>
  </si>
  <si>
    <t>nein</t>
  </si>
  <si>
    <t>ja</t>
  </si>
  <si>
    <t>Stufe 9</t>
  </si>
  <si>
    <t>13neu</t>
  </si>
  <si>
    <t xml:space="preserve">Dann den Schulnamen eingeben: </t>
  </si>
  <si>
    <t>PS  . . .</t>
  </si>
  <si>
    <t>sum von nein</t>
  </si>
  <si>
    <t>sum von ja</t>
  </si>
  <si>
    <t>prüf 'z':Stuf</t>
  </si>
  <si>
    <t>sum der Schü</t>
  </si>
  <si>
    <t xml:space="preserve">Anzahl der Schüler: </t>
  </si>
  <si>
    <t>sum der Stufen</t>
  </si>
  <si>
    <t>ist da was?</t>
  </si>
  <si>
    <t xml:space="preserve">  Sprengelfremde,  die … 
  vorstehend bisher nicht angeführt sind</t>
  </si>
  <si>
    <r>
      <t xml:space="preserve">  Neue Sprengelfremde </t>
    </r>
    <r>
      <rPr>
        <sz val="12"/>
        <color indexed="56"/>
        <rFont val="Arial"/>
        <family val="2"/>
      </rPr>
      <t xml:space="preserve">mit
  </t>
    </r>
    <r>
      <rPr>
        <u val="single"/>
        <sz val="12"/>
        <color indexed="56"/>
        <rFont val="Arial"/>
        <family val="2"/>
      </rPr>
      <t>sonderpädagogischem Förderbedarf</t>
    </r>
  </si>
  <si>
    <t>Prüfung hat ergeben:   O.K.</t>
  </si>
  <si>
    <t>Es sollen weitere sprengelfremde Schüler aufgenommen werden, 
und es werden nachstehend daher Einträge ergänzt …</t>
  </si>
  <si>
    <t>Es werden nur die oben angeführten sprengelfremden Schüler aufgenommen</t>
  </si>
  <si>
    <t>Vorstehende Einträge bitte ergänzen oder löschen!</t>
  </si>
  <si>
    <t xml:space="preserve">wegen Arbeitsplatz ..  </t>
  </si>
  <si>
    <t xml:space="preserve">ganztägig verschränkt  </t>
  </si>
  <si>
    <t>neu aufgenommen:</t>
  </si>
  <si>
    <t xml:space="preserve">Derart "in eigener Zuständigkeit" werden </t>
  </si>
  <si>
    <r>
      <t xml:space="preserve">#  wenn ein Obsorgeberechtigter seinen </t>
    </r>
    <r>
      <rPr>
        <u val="single"/>
        <sz val="11"/>
        <rFont val="Arial"/>
        <family val="2"/>
      </rPr>
      <t>dauernden Arbeitsplatz</t>
    </r>
    <r>
      <rPr>
        <sz val="11"/>
        <rFont val="Arial"/>
        <family val="2"/>
      </rPr>
      <t xml:space="preserve"> im Schulsprengel hat.</t>
    </r>
  </si>
  <si>
    <t>oder</t>
  </si>
  <si>
    <r>
      <t xml:space="preserve">#  bei Aufnahme in eine </t>
    </r>
    <r>
      <rPr>
        <u val="single"/>
        <sz val="11"/>
        <rFont val="Arial"/>
        <family val="2"/>
      </rPr>
      <t>in verschränkter Abfolge</t>
    </r>
    <r>
      <rPr>
        <sz val="11"/>
        <rFont val="Arial"/>
        <family val="2"/>
      </rPr>
      <t xml:space="preserve"> des Unterrichts- und Betreuungsteils geführten </t>
    </r>
  </si>
  <si>
    <r>
      <t xml:space="preserve">Sind Schüler </t>
    </r>
    <r>
      <rPr>
        <u val="single"/>
        <sz val="11"/>
        <rFont val="Arial"/>
        <family val="2"/>
      </rPr>
      <t>bereits im Vorjahr</t>
    </r>
    <r>
      <rPr>
        <sz val="11"/>
        <rFont val="Arial"/>
        <family val="2"/>
      </rPr>
      <t xml:space="preserve"> hier beschult worden, gelten sie (in Folgejahren) nicht mehr als sprengelfremd.</t>
    </r>
  </si>
  <si>
    <t>Zum Thema "Sprengelfremde Schüler" an der eigenen Schule:</t>
  </si>
  <si>
    <t xml:space="preserve">    Unterschrift  [Dir. der PS]</t>
  </si>
  <si>
    <t>(außer bei Mail-Einreichung:)</t>
  </si>
  <si>
    <t xml:space="preserve">sich für die freien Stellen: </t>
  </si>
  <si>
    <t xml:space="preserve">Folgende Personen interessieren </t>
  </si>
  <si>
    <t>gewünschter Bereich ....</t>
  </si>
  <si>
    <t>möglichst mit dem Fach ....</t>
  </si>
  <si>
    <t xml:space="preserve">Zahl der Lehrer: </t>
  </si>
  <si>
    <t>M</t>
  </si>
  <si>
    <t>E</t>
  </si>
  <si>
    <t>D</t>
  </si>
  <si>
    <t xml:space="preserve">Hauptfach </t>
  </si>
  <si>
    <t>keinesfalls mit dem Fach ....</t>
  </si>
  <si>
    <t>derzeitige 'Besetzung':</t>
  </si>
  <si>
    <t>Bei Zuweisung von Lehrpersonen:</t>
  </si>
  <si>
    <r>
      <t>Fach</t>
    </r>
    <r>
      <rPr>
        <sz val="8"/>
        <rFont val="Arial"/>
        <family val="2"/>
      </rPr>
      <t xml:space="preserve">
(bzw.  Beschreibung)</t>
    </r>
  </si>
  <si>
    <r>
      <t>WoStd</t>
    </r>
    <r>
      <rPr>
        <sz val="10"/>
        <rFont val="Arial"/>
        <family val="2"/>
      </rPr>
      <t>en</t>
    </r>
  </si>
  <si>
    <r>
      <t>EH</t>
    </r>
    <r>
      <rPr>
        <sz val="10"/>
        <rFont val="Arial"/>
        <family val="2"/>
      </rPr>
      <t xml:space="preserve">  (Hw)</t>
    </r>
  </si>
  <si>
    <r>
      <t>WeTex</t>
    </r>
    <r>
      <rPr>
        <sz val="10"/>
        <rFont val="Arial"/>
        <family val="2"/>
      </rPr>
      <t>til</t>
    </r>
  </si>
  <si>
    <r>
      <t xml:space="preserve">Religion
</t>
    </r>
    <r>
      <rPr>
        <sz val="9"/>
        <rFont val="Arial"/>
        <family val="2"/>
      </rPr>
      <t>(röm.kath.)</t>
    </r>
  </si>
  <si>
    <r>
      <t xml:space="preserve">Name </t>
    </r>
    <r>
      <rPr>
        <sz val="12"/>
        <rFont val="Arial"/>
        <family val="2"/>
      </rPr>
      <t xml:space="preserve"> (+ Stammschule)
</t>
    </r>
  </si>
  <si>
    <r>
      <t xml:space="preserve">Lehrer mit </t>
    </r>
    <r>
      <rPr>
        <i/>
        <u val="single"/>
        <sz val="16"/>
        <rFont val="Arial"/>
        <family val="2"/>
      </rPr>
      <t>anderer Stammschule</t>
    </r>
    <r>
      <rPr>
        <i/>
        <sz val="16"/>
        <rFont val="Arial"/>
        <family val="2"/>
      </rPr>
      <t>,</t>
    </r>
  </si>
  <si>
    <t xml:space="preserve"> Wochenstunden</t>
  </si>
  <si>
    <t>allenfalls noch dazu...</t>
  </si>
  <si>
    <t xml:space="preserve">LV-Einrechnung für IT-Betreuung: </t>
  </si>
  <si>
    <t>(ohne den Leiterabschlag)</t>
  </si>
  <si>
    <t>Dazu kommt an Einrechnungen in die Lehrverpflichtung:</t>
  </si>
  <si>
    <r>
      <t>und für Hauswirtschaft (EKS):</t>
    </r>
    <r>
      <rPr>
        <i/>
        <sz val="8"/>
        <rFont val="Arial"/>
        <family val="2"/>
      </rPr>
      <t xml:space="preserve"> </t>
    </r>
  </si>
  <si>
    <r>
      <t>für Textiles Werken:</t>
    </r>
    <r>
      <rPr>
        <i/>
        <sz val="8"/>
        <rFont val="Arial"/>
        <family val="2"/>
      </rPr>
      <t xml:space="preserve"> </t>
    </r>
  </si>
  <si>
    <r>
      <t>für Religion:</t>
    </r>
    <r>
      <rPr>
        <i/>
        <sz val="8"/>
        <rFont val="Arial"/>
        <family val="2"/>
      </rPr>
      <t xml:space="preserve"> </t>
    </r>
  </si>
  <si>
    <t xml:space="preserve">Wochenstunden ... </t>
  </si>
  <si>
    <t>davon sind im Unterricht vorgesehen:</t>
  </si>
  <si>
    <t xml:space="preserve"> Wochenstunden für den Unterricht</t>
  </si>
  <si>
    <t xml:space="preserve">Das ergibt ein Gesamt-Kontingent von </t>
  </si>
  <si>
    <t xml:space="preserve"> außerordentliche Schüler</t>
  </si>
  <si>
    <t xml:space="preserve">davon sind... </t>
  </si>
  <si>
    <t xml:space="preserve"> nichtdeutsche Muttersprache</t>
  </si>
  <si>
    <t xml:space="preserve">Geschätzte Zahl der Schüler: </t>
  </si>
  <si>
    <t xml:space="preserve">für die Polytechnische Schule: </t>
  </si>
  <si>
    <t>für das kommende Schuljahr</t>
  </si>
  <si>
    <t>Erhebung des Lehrerbedarfes</t>
  </si>
  <si>
    <t>Unterschrift  (Dir. der PS)</t>
  </si>
  <si>
    <r>
      <t xml:space="preserve">Sonstiges
</t>
    </r>
    <r>
      <rPr>
        <sz val="10"/>
        <rFont val="Arial"/>
        <family val="2"/>
      </rPr>
      <t>(z.B.: PH-Mitarbeit)</t>
    </r>
  </si>
  <si>
    <r>
      <t xml:space="preserve">an
</t>
    </r>
    <r>
      <rPr>
        <b/>
        <sz val="10"/>
        <rFont val="Arial"/>
        <family val="2"/>
      </rPr>
      <t>anderen Schulen</t>
    </r>
  </si>
  <si>
    <t>z.B.: Instru-mentalunterr.</t>
  </si>
  <si>
    <r>
      <t>NICHT</t>
    </r>
    <r>
      <rPr>
        <sz val="10"/>
        <rFont val="Arial"/>
        <family val="2"/>
      </rPr>
      <t xml:space="preserve"> im Dienst</t>
    </r>
  </si>
  <si>
    <r>
      <t xml:space="preserve">teilbeschäftigt </t>
    </r>
    <r>
      <rPr>
        <sz val="11"/>
        <rFont val="Arial"/>
        <family val="2"/>
      </rPr>
      <t xml:space="preserve">mit ........ </t>
    </r>
    <r>
      <rPr>
        <sz val="9"/>
        <rFont val="Arial"/>
        <family val="2"/>
      </rPr>
      <t xml:space="preserve"> Wochenstunden</t>
    </r>
  </si>
  <si>
    <r>
      <t xml:space="preserve">vollbeschäftigt </t>
    </r>
    <r>
      <rPr>
        <b/>
        <sz val="10"/>
        <rFont val="Arial"/>
        <family val="2"/>
      </rPr>
      <t>ohne MdL</t>
    </r>
  </si>
  <si>
    <r>
      <t xml:space="preserve">vollbeschäftigt 
</t>
    </r>
    <r>
      <rPr>
        <b/>
        <sz val="10"/>
        <rFont val="Arial"/>
        <family val="2"/>
      </rPr>
      <t>mit MdL</t>
    </r>
  </si>
  <si>
    <r>
      <t xml:space="preserve">Leiter und Lehrer </t>
    </r>
    <r>
      <rPr>
        <sz val="18"/>
        <rFont val="Arial"/>
        <family val="2"/>
      </rPr>
      <t xml:space="preserve">
</t>
    </r>
    <r>
      <rPr>
        <sz val="18"/>
        <color indexed="16"/>
        <rFont val="Arial"/>
        <family val="2"/>
      </rPr>
      <t xml:space="preserve">der eigenen Schule 
</t>
    </r>
    <r>
      <rPr>
        <sz val="10"/>
        <color indexed="16"/>
        <rFont val="Arial"/>
        <family val="2"/>
      </rPr>
      <t>[= Stammschule]</t>
    </r>
    <r>
      <rPr>
        <sz val="10"/>
        <rFont val="Arial"/>
        <family val="2"/>
      </rPr>
      <t xml:space="preserve">
… in alphabetischer Reihenfolge</t>
    </r>
  </si>
  <si>
    <t>nicht im Kontingent enthaltene
weitere Stunden</t>
  </si>
  <si>
    <t>an dieser Schule
Stunden in …</t>
  </si>
  <si>
    <r>
      <t>Versetzung</t>
    </r>
    <r>
      <rPr>
        <sz val="10"/>
        <rFont val="Arial"/>
        <family val="2"/>
      </rPr>
      <t xml:space="preserve"> beantragt</t>
    </r>
  </si>
  <si>
    <r>
      <t>vorgesehenes Beschäftigung</t>
    </r>
    <r>
      <rPr>
        <sz val="9"/>
        <rFont val="Arial"/>
        <family val="2"/>
      </rPr>
      <t>sausmaß</t>
    </r>
  </si>
  <si>
    <t>PtS-Bedarf,   Seite 2</t>
  </si>
  <si>
    <t xml:space="preserve">… und zwar auch dann, wenn sie im/ab Herbst nicht aktiv in Dienstverwendung stehen. </t>
  </si>
  <si>
    <t xml:space="preserve">alle anderen (= eigenen) Lehrpersonen im letzten Blatt "Bed S2" </t>
  </si>
  <si>
    <t xml:space="preserve">die Lehrer anderer Schulen nur im Blatt "Bed S1" anzuführen, </t>
  </si>
  <si>
    <t>UNVERÄNDERT  sind in dieser Mappe …</t>
  </si>
  <si>
    <t>dass ab 5 Klassen "Administrative Entlastungsstunden" zuerkannt werden</t>
  </si>
  <si>
    <t>die Anpassung des Kontingentes  ... bei Schülerzahlen um die KHZ 25</t>
  </si>
  <si>
    <t>… siehe Zeile 56</t>
  </si>
  <si>
    <t>NEU  in dieser Mappe ist …</t>
  </si>
  <si>
    <r>
      <t xml:space="preserve">bis mindestens 16.00 Uhr durchgehend </t>
    </r>
    <r>
      <rPr>
        <i/>
        <sz val="12"/>
        <rFont val="Arial"/>
        <family val="2"/>
      </rPr>
      <t>betreut oder unterrichtet werden!</t>
    </r>
  </si>
  <si>
    <t>und die für den jeweiligen Kalendertag angeführten SchülerInnen am Nachmittag</t>
  </si>
  <si>
    <r>
      <t xml:space="preserve">wenn am jeweiligen Wochentag </t>
    </r>
    <r>
      <rPr>
        <b/>
        <i/>
        <sz val="12"/>
        <rFont val="Arial"/>
        <family val="2"/>
      </rPr>
      <t xml:space="preserve">ein Mittagsangebot verfügbar </t>
    </r>
    <r>
      <rPr>
        <i/>
        <sz val="12"/>
        <rFont val="Arial"/>
        <family val="2"/>
      </rPr>
      <t xml:space="preserve">ist, </t>
    </r>
  </si>
  <si>
    <t>Stunden können (dort ab Zeile 14) nur dann geltend gemacht werden, …</t>
  </si>
  <si>
    <t>Für die Einteilung und den Stellenplan werden unbedingt Daten benötigt!</t>
  </si>
  <si>
    <r>
      <t>Bemerkungen</t>
    </r>
    <r>
      <rPr>
        <b/>
        <sz val="22"/>
        <color indexed="21"/>
        <rFont val="Arial"/>
        <family val="2"/>
      </rPr>
      <t xml:space="preserve">  zur Bedarfserhebung</t>
    </r>
  </si>
  <si>
    <t>autoKl</t>
  </si>
  <si>
    <t>autonoKl</t>
  </si>
  <si>
    <t>Zuschlag</t>
  </si>
  <si>
    <t>WeX</t>
  </si>
  <si>
    <t>Zusc</t>
  </si>
  <si>
    <t>VerwStd</t>
  </si>
  <si>
    <t xml:space="preserve">davon sind... :   </t>
  </si>
  <si>
    <t>Bemerkungen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</si>
  <si>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xx</t>
  </si>
  <si>
    <t>bis mindestens 16:00 Uhr  an betreuten Nachmittagen.</t>
  </si>
  <si>
    <t xml:space="preserve">… mit einer verpflichtend durchgehenden Anwesenheit der angemeldeten Schüler </t>
  </si>
  <si>
    <t xml:space="preserve">benachbarten Sprengel zugewiesen werden/sind. </t>
  </si>
  <si>
    <t>Aus dem Vbger Schulerhaltungsgesetz:</t>
  </si>
  <si>
    <t>(siehe vor allem § 18a und § 20 ab Schuljahresbeginn 2018/2019)</t>
  </si>
  <si>
    <t xml:space="preserve">Die Schulleitung darf sprengelfremde Schüler grundsätzlich aufnehmen. Die Aufnahme kann jedoch, außer in </t>
  </si>
  <si>
    <t xml:space="preserve">den Fällen des § 20 Abs. 5 lit. b [= bei SPF oder Ausschluss], vom gesetzlichenSchulerhalter verweigert werden. </t>
  </si>
  <si>
    <t xml:space="preserve">Die Aufnahme von Sprengelfremden wird für die Berechnung der die Ressourcen auslösenden (fiktiven) Klassen </t>
  </si>
  <si>
    <t>ganztägigen Klasse  (§ 18 Abs. 3 Pflichtschulorganisationsgesetz)</t>
  </si>
  <si>
    <t>Bei Aufnahme gibt es KEINE zusätzlichen Stunden!</t>
  </si>
  <si>
    <t>DFörder-
Klasse(n)</t>
  </si>
  <si>
    <t xml:space="preserve">  In der Klasse haben ..</t>
  </si>
  <si>
    <t>2.J ao.</t>
  </si>
  <si>
    <t>ao2</t>
  </si>
  <si>
    <t>aoZweitjahr</t>
  </si>
  <si>
    <t>STveKL</t>
  </si>
  <si>
    <t>ZusDFK</t>
  </si>
  <si>
    <t>verschrä Kl</t>
  </si>
  <si>
    <t>ZusStd in DFK</t>
  </si>
  <si>
    <t xml:space="preserve">..in der Klasse sind/haben …  </t>
  </si>
  <si>
    <t xml:space="preserve">GLZ </t>
  </si>
  <si>
    <t>ILZ &gt;&gt;*2</t>
  </si>
  <si>
    <t xml:space="preserve">Details dazu siehe: </t>
  </si>
  <si>
    <t xml:space="preserve">Für allfällige Rückfragen stehen die Sachbearbeiter der BilDiV gerne zur Verfügung. </t>
  </si>
  <si>
    <t xml:space="preserve">.. sind in der </t>
  </si>
  <si>
    <t xml:space="preserve">Es gelten jene Schüler als sprengelangehörig, die von der Bildungsdirektion aus einem </t>
  </si>
  <si>
    <t>nur berücksichtigt nach ausdrücklicher Zustimmung/Zuweisung der BilDiV oder in den folgenden beiden Fällen:</t>
  </si>
  <si>
    <t>Schriftlicher Antrag an die BilDiV ist unbedingt erforderlich!</t>
  </si>
  <si>
    <t>ao./u</t>
  </si>
  <si>
    <t>ao./m</t>
  </si>
  <si>
    <t>Maßgeblicher Stichtag ist der 3. Montag des Unterrichtsjahres</t>
  </si>
  <si>
    <r>
      <t xml:space="preserve">In Getrennter Abfolge </t>
    </r>
    <r>
      <rPr>
        <u val="single"/>
        <sz val="12"/>
        <rFont val="Arial"/>
        <family val="2"/>
      </rPr>
      <t>teilnehmende Schüler</t>
    </r>
    <r>
      <rPr>
        <sz val="12"/>
        <rFont val="Arial"/>
        <family val="2"/>
      </rPr>
      <t xml:space="preserve">: </t>
    </r>
    <r>
      <rPr>
        <sz val="2"/>
        <rFont val="Arial"/>
        <family val="2"/>
      </rPr>
      <t>'</t>
    </r>
  </si>
  <si>
    <t xml:space="preserve">..und </t>
  </si>
  <si>
    <t>TBSUM</t>
  </si>
  <si>
    <t>GTSV</t>
  </si>
  <si>
    <t>J</t>
  </si>
  <si>
    <t>sprengelfremd</t>
  </si>
  <si>
    <t>STmaxGru</t>
  </si>
  <si>
    <t>STveSue</t>
  </si>
  <si>
    <t>maxiGrup</t>
  </si>
  <si>
    <t>verschräSchü</t>
  </si>
  <si>
    <r>
      <rPr>
        <sz val="12"/>
        <rFont val="Arial"/>
        <family val="2"/>
      </rPr>
      <t xml:space="preserve">Einteilung der </t>
    </r>
    <r>
      <rPr>
        <b/>
        <sz val="12"/>
        <rFont val="Arial"/>
        <family val="2"/>
      </rPr>
      <t>'</t>
    </r>
    <r>
      <rPr>
        <b/>
        <u val="single"/>
        <sz val="12"/>
        <rFont val="Arial"/>
        <family val="2"/>
      </rPr>
      <t>Lernzeiten' in getrennter Form</t>
    </r>
    <r>
      <rPr>
        <b/>
        <sz val="12"/>
        <rFont val="Arial"/>
        <family val="2"/>
      </rPr>
      <t>:</t>
    </r>
  </si>
  <si>
    <t xml:space="preserve">Lernzeiten u. Freizeit: </t>
  </si>
  <si>
    <t>LZ</t>
  </si>
  <si>
    <t>FrZ</t>
  </si>
  <si>
    <t>STFreiz</t>
  </si>
  <si>
    <t>verschräStd</t>
  </si>
  <si>
    <t>FreizeitStd</t>
  </si>
  <si>
    <t>Ganztägige Schulform:</t>
  </si>
  <si>
    <t>Die im Herbst (voraussichtlich) teilnehmenden SchülerInnen sind im Blatt "Klassen"</t>
  </si>
  <si>
    <t>Blatt "GTS" bei getrennter Abfolge in Gruppen einzuteilen ..</t>
  </si>
  <si>
    <t>http://www2.vobs.at/ftp-pub/allgemein/formulare/GTS.PDF</t>
  </si>
  <si>
    <t>in Ganztägig. Schulform</t>
  </si>
  <si>
    <t xml:space="preserve">GTS </t>
  </si>
  <si>
    <t>Ganztägige Schulform</t>
  </si>
  <si>
    <t>GTS in verschränkten Klassen:</t>
  </si>
  <si>
    <t>Ganztägige Schule:</t>
  </si>
  <si>
    <t>N</t>
  </si>
  <si>
    <t>wenn einzelne Klasse umgestellt werden soll:  #Schutz aufheben 
       #Strg+G =gehe zB zu "AL24"  #dort Formel überschreiben mit "J" oder "N"  .</t>
  </si>
  <si>
    <t>2020/2021</t>
  </si>
  <si>
    <t>BilDiV, pr3  4'2020</t>
  </si>
  <si>
    <t>Anteil zurück</t>
  </si>
  <si>
    <t>AbsG</t>
  </si>
  <si>
    <t>AntZ</t>
  </si>
  <si>
    <t>Abschlag ges.</t>
  </si>
  <si>
    <r>
      <t>jeweils</t>
    </r>
    <r>
      <rPr>
        <b/>
        <sz val="12"/>
        <color indexed="10"/>
        <rFont val="Arial"/>
        <family val="2"/>
      </rPr>
      <t xml:space="preserve"> rechts außen in der Spalte AJ </t>
    </r>
    <r>
      <rPr>
        <sz val="12"/>
        <rFont val="Arial"/>
        <family val="2"/>
      </rPr>
      <t xml:space="preserve">pro Klasse einzutragen und weiters im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</si>
</sst>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DM&quot;#,##0.00;[Red]\-&quot;DM&quot;#,##0.00"/>
    <numFmt numFmtId="165" formatCode="#,##0&quot; öS&quot;;[Red]\-#,##0&quot; öS&quot;"/>
    <numFmt numFmtId="166" formatCode="0.0"/>
    <numFmt numFmtId="167" formatCode="0\ "/>
    <numFmt numFmtId="168" formatCode="0.0\ "/>
    <numFmt numFmtId="169" formatCode="dd/mm/yy"/>
    <numFmt numFmtId="170" formatCode="ddd\ d/m/yy"/>
    <numFmt numFmtId="171" formatCode="\+\ General"/>
    <numFmt numFmtId="172" formatCode="&quot;( bei mindestens&quot;\ 0\ &quot;)&quot;"/>
    <numFmt numFmtId="173" formatCode="\+General;\-General"/>
  </numFmts>
  <fonts count="2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5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2"/>
      <name val="Arial"/>
      <family val="2"/>
    </font>
    <font>
      <b/>
      <i/>
      <sz val="10"/>
      <name val="Arial"/>
      <family val="2"/>
    </font>
    <font>
      <sz val="8"/>
      <name val="Helv"/>
      <family val="0"/>
    </font>
    <font>
      <sz val="4"/>
      <name val="Arial"/>
      <family val="2"/>
    </font>
    <font>
      <sz val="22"/>
      <name val="Arial"/>
      <family val="2"/>
    </font>
    <font>
      <sz val="14"/>
      <color indexed="18"/>
      <name val="Arial"/>
      <family val="2"/>
    </font>
    <font>
      <b/>
      <sz val="16"/>
      <name val="Arial"/>
      <family val="2"/>
    </font>
    <font>
      <sz val="3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sz val="8"/>
      <color indexed="16"/>
      <name val="Arial"/>
      <family val="2"/>
    </font>
    <font>
      <sz val="15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i/>
      <sz val="9"/>
      <color indexed="12"/>
      <name val="Arial"/>
      <family val="2"/>
    </font>
    <font>
      <sz val="6"/>
      <color indexed="53"/>
      <name val="Arial"/>
      <family val="2"/>
    </font>
    <font>
      <i/>
      <u val="single"/>
      <sz val="16"/>
      <name val="Arial"/>
      <family val="2"/>
    </font>
    <font>
      <sz val="6"/>
      <color indexed="49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3"/>
      <color indexed="18"/>
      <name val="Arial"/>
      <family val="2"/>
    </font>
    <font>
      <u val="single"/>
      <sz val="14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3"/>
      <color indexed="18"/>
      <name val="Arial"/>
      <family val="2"/>
    </font>
    <font>
      <sz val="9"/>
      <name val="Helv"/>
      <family val="0"/>
    </font>
    <font>
      <sz val="18"/>
      <color indexed="10"/>
      <name val="Arial"/>
      <family val="2"/>
    </font>
    <font>
      <i/>
      <sz val="16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i/>
      <sz val="8"/>
      <name val="Arial"/>
      <family val="2"/>
    </font>
    <font>
      <sz val="12"/>
      <color indexed="16"/>
      <name val="Arial"/>
      <family val="2"/>
    </font>
    <font>
      <sz val="26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i/>
      <sz val="12"/>
      <name val="Arial"/>
      <family val="2"/>
    </font>
    <font>
      <u val="single"/>
      <sz val="18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9"/>
      <color indexed="16"/>
      <name val="Arial"/>
      <family val="2"/>
    </font>
    <font>
      <sz val="7"/>
      <color indexed="55"/>
      <name val="Arial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u val="single"/>
      <sz val="12"/>
      <name val="Arial"/>
      <family val="2"/>
    </font>
    <font>
      <i/>
      <sz val="8"/>
      <color indexed="60"/>
      <name val="Arial"/>
      <family val="2"/>
    </font>
    <font>
      <i/>
      <sz val="11"/>
      <color indexed="62"/>
      <name val="Arial"/>
      <family val="2"/>
    </font>
    <font>
      <sz val="11"/>
      <color indexed="16"/>
      <name val="Arial"/>
      <family val="2"/>
    </font>
    <font>
      <sz val="8"/>
      <color indexed="44"/>
      <name val="Arial"/>
      <family val="2"/>
    </font>
    <font>
      <sz val="11"/>
      <color indexed="17"/>
      <name val="Arial"/>
      <family val="2"/>
    </font>
    <font>
      <sz val="9"/>
      <color indexed="17"/>
      <name val="Arial"/>
      <family val="2"/>
    </font>
    <font>
      <u val="single"/>
      <sz val="9"/>
      <name val="Arial"/>
      <family val="2"/>
    </font>
    <font>
      <sz val="7"/>
      <color indexed="12"/>
      <name val="Arial"/>
      <family val="2"/>
    </font>
    <font>
      <b/>
      <sz val="6"/>
      <color indexed="53"/>
      <name val="Arial"/>
      <family val="2"/>
    </font>
    <font>
      <b/>
      <u val="single"/>
      <sz val="8"/>
      <name val="Arial"/>
      <family val="2"/>
    </font>
    <font>
      <strike/>
      <sz val="6"/>
      <name val="Arial"/>
      <family val="2"/>
    </font>
    <font>
      <sz val="4"/>
      <color indexed="49"/>
      <name val="Arial"/>
      <family val="2"/>
    </font>
    <font>
      <sz val="2"/>
      <color indexed="49"/>
      <name val="Arial"/>
      <family val="2"/>
    </font>
    <font>
      <sz val="4"/>
      <color indexed="48"/>
      <name val="Arial"/>
      <family val="2"/>
    </font>
    <font>
      <sz val="9"/>
      <color indexed="62"/>
      <name val="Arial"/>
      <family val="2"/>
    </font>
    <font>
      <sz val="11"/>
      <color indexed="62"/>
      <name val="Arial"/>
      <family val="2"/>
    </font>
    <font>
      <u val="single"/>
      <sz val="16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48"/>
      <name val="Arial"/>
      <family val="2"/>
    </font>
    <font>
      <sz val="8"/>
      <color indexed="48"/>
      <name val="Arial"/>
      <family val="2"/>
    </font>
    <font>
      <sz val="7"/>
      <color indexed="17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sz val="14"/>
      <color indexed="16"/>
      <name val="Arial"/>
      <family val="2"/>
    </font>
    <font>
      <sz val="10"/>
      <color indexed="49"/>
      <name val="Arial"/>
      <family val="2"/>
    </font>
    <font>
      <sz val="12"/>
      <color indexed="56"/>
      <name val="Arial"/>
      <family val="2"/>
    </font>
    <font>
      <u val="single"/>
      <sz val="12"/>
      <color indexed="56"/>
      <name val="Arial"/>
      <family val="2"/>
    </font>
    <font>
      <sz val="16"/>
      <color indexed="8"/>
      <name val="Arial"/>
      <family val="2"/>
    </font>
    <font>
      <u val="single"/>
      <sz val="11"/>
      <name val="Arial"/>
      <family val="2"/>
    </font>
    <font>
      <sz val="14"/>
      <color indexed="8"/>
      <name val="Arial"/>
      <family val="2"/>
    </font>
    <font>
      <sz val="8"/>
      <color indexed="10"/>
      <name val="Arial"/>
      <family val="2"/>
    </font>
    <font>
      <sz val="14"/>
      <color indexed="12"/>
      <name val="Arial"/>
      <family val="2"/>
    </font>
    <font>
      <sz val="11"/>
      <color indexed="10"/>
      <name val="Arial"/>
      <family val="2"/>
    </font>
    <font>
      <i/>
      <sz val="14"/>
      <name val="Arial"/>
      <family val="2"/>
    </font>
    <font>
      <sz val="6"/>
      <color indexed="10"/>
      <name val="Arial"/>
      <family val="2"/>
    </font>
    <font>
      <i/>
      <sz val="26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18"/>
      <color indexed="12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8"/>
      <color indexed="16"/>
      <name val="Tahoma"/>
      <family val="2"/>
    </font>
    <font>
      <sz val="13"/>
      <color indexed="12"/>
      <name val="Arial"/>
      <family val="2"/>
    </font>
    <font>
      <sz val="18"/>
      <color indexed="16"/>
      <name val="Arial"/>
      <family val="2"/>
    </font>
    <font>
      <sz val="12"/>
      <color indexed="18"/>
      <name val="Arial"/>
      <family val="2"/>
    </font>
    <font>
      <i/>
      <sz val="8"/>
      <color indexed="18"/>
      <name val="Arial"/>
      <family val="2"/>
    </font>
    <font>
      <b/>
      <u val="single"/>
      <sz val="12"/>
      <name val="Arial"/>
      <family val="2"/>
    </font>
    <font>
      <b/>
      <u val="single"/>
      <sz val="22"/>
      <color indexed="21"/>
      <name val="Arial"/>
      <family val="2"/>
    </font>
    <font>
      <b/>
      <sz val="22"/>
      <color indexed="21"/>
      <name val="Arial"/>
      <family val="2"/>
    </font>
    <font>
      <b/>
      <sz val="16"/>
      <color indexed="59"/>
      <name val="Arial"/>
      <family val="2"/>
    </font>
    <font>
      <sz val="11"/>
      <color indexed="59"/>
      <name val="Arial"/>
      <family val="2"/>
    </font>
    <font>
      <sz val="20"/>
      <color indexed="20"/>
      <name val="Arial"/>
      <family val="2"/>
    </font>
    <font>
      <u val="single"/>
      <sz val="20"/>
      <color indexed="20"/>
      <name val="Arial"/>
      <family val="2"/>
    </font>
    <font>
      <sz val="8"/>
      <color indexed="20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24"/>
      <color indexed="12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u val="single"/>
      <sz val="8"/>
      <name val="Arial"/>
      <family val="2"/>
    </font>
    <font>
      <u val="single"/>
      <sz val="10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28"/>
      <name val="Arial"/>
      <family val="2"/>
    </font>
    <font>
      <sz val="9"/>
      <name val="Segoe UI"/>
      <family val="2"/>
    </font>
    <font>
      <strike/>
      <sz val="9"/>
      <color indexed="17"/>
      <name val="Arial"/>
      <family val="2"/>
    </font>
    <font>
      <b/>
      <sz val="12"/>
      <color indexed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62"/>
      <name val="Arial"/>
      <family val="2"/>
    </font>
    <font>
      <u val="single"/>
      <sz val="14"/>
      <color indexed="62"/>
      <name val="Arial"/>
      <family val="2"/>
    </font>
    <font>
      <u val="single"/>
      <sz val="14"/>
      <color indexed="8"/>
      <name val="Arial"/>
      <family val="2"/>
    </font>
    <font>
      <b/>
      <sz val="16"/>
      <color indexed="30"/>
      <name val="Arial"/>
      <family val="2"/>
    </font>
    <font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62"/>
      <name val="Arial"/>
      <family val="2"/>
    </font>
    <font>
      <b/>
      <sz val="20"/>
      <color indexed="8"/>
      <name val="Arial"/>
      <family val="2"/>
    </font>
    <font>
      <b/>
      <i/>
      <sz val="14"/>
      <color indexed="10"/>
      <name val="Arial"/>
      <family val="2"/>
    </font>
    <font>
      <sz val="10"/>
      <color indexed="56"/>
      <name val="Arial"/>
      <family val="2"/>
    </font>
    <font>
      <sz val="6"/>
      <color indexed="56"/>
      <name val="Arial"/>
      <family val="2"/>
    </font>
    <font>
      <sz val="6"/>
      <color indexed="47"/>
      <name val="Arial"/>
      <family val="2"/>
    </font>
    <font>
      <u val="single"/>
      <sz val="11"/>
      <color indexed="62"/>
      <name val="Arial"/>
      <family val="2"/>
    </font>
    <font>
      <sz val="8"/>
      <color indexed="53"/>
      <name val="Arial"/>
      <family val="2"/>
    </font>
    <font>
      <sz val="3"/>
      <color indexed="9"/>
      <name val="Arial"/>
      <family val="2"/>
    </font>
    <font>
      <sz val="10"/>
      <color indexed="62"/>
      <name val="Arial"/>
      <family val="2"/>
    </font>
    <font>
      <sz val="8"/>
      <color indexed="26"/>
      <name val="Arial"/>
      <family val="2"/>
    </font>
    <font>
      <sz val="18"/>
      <color indexed="26"/>
      <name val="Arial"/>
      <family val="2"/>
    </font>
    <font>
      <i/>
      <sz val="9"/>
      <color indexed="62"/>
      <name val="Arial"/>
      <family val="2"/>
    </font>
    <font>
      <b/>
      <sz val="11"/>
      <color indexed="30"/>
      <name val="Arial"/>
      <family val="2"/>
    </font>
    <font>
      <sz val="8"/>
      <color indexed="55"/>
      <name val="Arial"/>
      <family val="2"/>
    </font>
    <font>
      <sz val="6"/>
      <color indexed="17"/>
      <name val="Arial"/>
      <family val="2"/>
    </font>
    <font>
      <strike/>
      <sz val="11"/>
      <color indexed="55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b/>
      <sz val="24"/>
      <color indexed="26"/>
      <name val="Calibri"/>
      <family val="2"/>
    </font>
    <font>
      <b/>
      <sz val="20"/>
      <color indexed="26"/>
      <name val="Calibri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6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Helv"/>
      <family val="0"/>
    </font>
    <font>
      <i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7030A0"/>
      <name val="Arial"/>
      <family val="2"/>
    </font>
    <font>
      <sz val="13"/>
      <color rgb="FFC00000"/>
      <name val="Arial"/>
      <family val="2"/>
    </font>
    <font>
      <b/>
      <sz val="13"/>
      <color rgb="FFC00000"/>
      <name val="Arial"/>
      <family val="2"/>
    </font>
    <font>
      <sz val="12"/>
      <color rgb="FF7030A0"/>
      <name val="Arial"/>
      <family val="2"/>
    </font>
    <font>
      <sz val="9"/>
      <color rgb="FF7030A0"/>
      <name val="Arial"/>
      <family val="2"/>
    </font>
    <font>
      <u val="single"/>
      <sz val="14"/>
      <color rgb="FF7030A0"/>
      <name val="Arial"/>
      <family val="2"/>
    </font>
    <font>
      <u val="single"/>
      <sz val="14"/>
      <color theme="1"/>
      <name val="Arial"/>
      <family val="2"/>
    </font>
    <font>
      <b/>
      <sz val="16"/>
      <color rgb="FF0070C0"/>
      <name val="Arial"/>
      <family val="2"/>
    </font>
    <font>
      <sz val="16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14"/>
      <color rgb="FFFF0000"/>
      <name val="Arial"/>
      <family val="2"/>
    </font>
    <font>
      <sz val="14"/>
      <color theme="3"/>
      <name val="Arial"/>
      <family val="2"/>
    </font>
    <font>
      <b/>
      <sz val="20"/>
      <color theme="1"/>
      <name val="Arial"/>
      <family val="2"/>
    </font>
    <font>
      <sz val="11"/>
      <color theme="3"/>
      <name val="Arial"/>
      <family val="2"/>
    </font>
    <font>
      <b/>
      <i/>
      <sz val="14"/>
      <color rgb="FFFF0000"/>
      <name val="Arial"/>
      <family val="2"/>
    </font>
    <font>
      <sz val="10"/>
      <color theme="4"/>
      <name val="Arial"/>
      <family val="2"/>
    </font>
    <font>
      <sz val="6"/>
      <color theme="4"/>
      <name val="Arial"/>
      <family val="2"/>
    </font>
    <font>
      <sz val="14"/>
      <color theme="1"/>
      <name val="Arial"/>
      <family val="2"/>
    </font>
    <font>
      <sz val="6"/>
      <color theme="0" tint="-0.1499900072813034"/>
      <name val="Arial"/>
      <family val="2"/>
    </font>
    <font>
      <sz val="9"/>
      <color theme="3"/>
      <name val="Arial"/>
      <family val="2"/>
    </font>
    <font>
      <u val="single"/>
      <sz val="11"/>
      <color rgb="FF333399"/>
      <name val="Arial"/>
      <family val="2"/>
    </font>
    <font>
      <sz val="8"/>
      <color theme="2" tint="-0.24997000396251678"/>
      <name val="Arial"/>
      <family val="2"/>
    </font>
    <font>
      <sz val="3"/>
      <color theme="0"/>
      <name val="Arial"/>
      <family val="2"/>
    </font>
    <font>
      <sz val="10"/>
      <color rgb="FF333399"/>
      <name val="Arial"/>
      <family val="2"/>
    </font>
    <font>
      <sz val="8"/>
      <color theme="6" tint="0.7999799847602844"/>
      <name val="Arial"/>
      <family val="2"/>
    </font>
    <font>
      <sz val="18"/>
      <color theme="6" tint="0.7999799847602844"/>
      <name val="Arial"/>
      <family val="2"/>
    </font>
    <font>
      <i/>
      <sz val="9"/>
      <color rgb="FF333399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rgb="FF0070C0"/>
      <name val="Arial"/>
      <family val="2"/>
    </font>
    <font>
      <sz val="8"/>
      <color theme="0" tint="-0.3499799966812134"/>
      <name val="Arial"/>
      <family val="2"/>
    </font>
    <font>
      <sz val="6"/>
      <color rgb="FF00B050"/>
      <name val="Arial"/>
      <family val="2"/>
    </font>
    <font>
      <sz val="12"/>
      <color theme="1"/>
      <name val="Arial"/>
      <family val="2"/>
    </font>
    <font>
      <strike/>
      <sz val="11"/>
      <color theme="0" tint="-0.3499799966812134"/>
      <name val="Arial"/>
      <family val="2"/>
    </font>
    <font>
      <sz val="12"/>
      <color theme="3"/>
      <name val="Arial"/>
      <family val="2"/>
    </font>
    <font>
      <sz val="12"/>
      <color rgb="FF0070C0"/>
      <name val="Arial"/>
      <family val="2"/>
    </font>
    <font>
      <i/>
      <sz val="8"/>
      <color theme="0" tint="-0.04997999966144562"/>
      <name val="Arial"/>
      <family val="2"/>
    </font>
    <font>
      <b/>
      <sz val="8"/>
      <name val="Helv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7FFFF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 style="hair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 style="medium"/>
      <bottom/>
    </border>
    <border>
      <left style="dashed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/>
      <right style="medium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hair"/>
      <right/>
      <top style="medium"/>
      <bottom style="medium"/>
    </border>
    <border>
      <left style="hair"/>
      <right/>
      <top style="medium"/>
      <bottom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thin"/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tted"/>
    </border>
    <border>
      <left>
        <color indexed="63"/>
      </left>
      <right style="hair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/>
      <bottom style="hair"/>
    </border>
    <border>
      <left style="hair"/>
      <right style="dashed"/>
      <top style="dashed"/>
      <bottom style="hair"/>
    </border>
    <border>
      <left style="dashed"/>
      <right style="dashed"/>
      <top style="dashed"/>
      <bottom style="hair"/>
    </border>
    <border>
      <left style="dashed"/>
      <right style="hair"/>
      <top style="dashed"/>
      <bottom style="hair"/>
    </border>
    <border>
      <left style="hair"/>
      <right style="dashed"/>
      <top>
        <color indexed="63"/>
      </top>
      <bottom style="dashed"/>
    </border>
    <border>
      <left style="dashed"/>
      <right style="dashed"/>
      <top/>
      <bottom style="dashed"/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ashed"/>
      <right/>
      <top style="dashed"/>
      <bottom style="thin"/>
    </border>
    <border>
      <left/>
      <right>
        <color indexed="63"/>
      </right>
      <top style="dashed"/>
      <bottom style="thin"/>
    </border>
    <border>
      <left/>
      <right style="medium"/>
      <top style="dashed"/>
      <bottom style="thin"/>
    </border>
    <border>
      <left style="dashed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dashed"/>
      <bottom style="thin"/>
    </border>
    <border>
      <left/>
      <right style="dashed"/>
      <top style="dashed"/>
      <bottom style="thin"/>
    </border>
    <border>
      <left style="hair"/>
      <right>
        <color indexed="63"/>
      </right>
      <top style="hair"/>
      <bottom style="dashed"/>
    </border>
    <border>
      <left/>
      <right style="dashed"/>
      <top style="hair"/>
      <bottom style="dashed"/>
    </border>
    <border>
      <left style="hair"/>
      <right>
        <color indexed="63"/>
      </right>
      <top style="thin"/>
      <bottom style="hair"/>
    </border>
    <border>
      <left/>
      <right style="dash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hair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6" fillId="20" borderId="0" applyNumberFormat="0" applyBorder="0" applyAlignment="0" applyProtection="0"/>
    <xf numFmtId="0" fontId="206" fillId="21" borderId="0" applyNumberFormat="0" applyBorder="0" applyAlignment="0" applyProtection="0"/>
    <xf numFmtId="0" fontId="206" fillId="22" borderId="0" applyNumberFormat="0" applyBorder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207" fillId="26" borderId="1" applyNumberFormat="0" applyAlignment="0" applyProtection="0"/>
    <xf numFmtId="0" fontId="208" fillId="26" borderId="2" applyNumberFormat="0" applyAlignment="0" applyProtection="0"/>
    <xf numFmtId="0" fontId="71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209" fillId="27" borderId="2" applyNumberFormat="0" applyAlignment="0" applyProtection="0"/>
    <xf numFmtId="0" fontId="210" fillId="0" borderId="3" applyNumberFormat="0" applyFill="0" applyAlignment="0" applyProtection="0"/>
    <xf numFmtId="0" fontId="211" fillId="0" borderId="0" applyNumberFormat="0" applyFill="0" applyBorder="0" applyAlignment="0" applyProtection="0"/>
    <xf numFmtId="0" fontId="212" fillId="28" borderId="0" applyNumberFormat="0" applyBorder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1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1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15" fillId="0" borderId="0" applyNumberFormat="0" applyFill="0" applyBorder="0" applyAlignment="0" applyProtection="0"/>
    <xf numFmtId="0" fontId="216" fillId="0" borderId="5" applyNumberFormat="0" applyFill="0" applyAlignment="0" applyProtection="0"/>
    <xf numFmtId="0" fontId="217" fillId="0" borderId="6" applyNumberFormat="0" applyFill="0" applyAlignment="0" applyProtection="0"/>
    <xf numFmtId="0" fontId="218" fillId="0" borderId="7" applyNumberFormat="0" applyFill="0" applyAlignment="0" applyProtection="0"/>
    <xf numFmtId="0" fontId="218" fillId="0" borderId="0" applyNumberFormat="0" applyFill="0" applyBorder="0" applyAlignment="0" applyProtection="0"/>
    <xf numFmtId="0" fontId="219" fillId="0" borderId="8" applyNumberFormat="0" applyFill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32" borderId="9" applyNumberFormat="0" applyAlignment="0" applyProtection="0"/>
  </cellStyleXfs>
  <cellXfs count="9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9" fillId="0" borderId="10" xfId="0" applyFont="1" applyBorder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5" fillId="0" borderId="0" xfId="74" applyFont="1">
      <alignment/>
      <protection/>
    </xf>
    <xf numFmtId="0" fontId="17" fillId="33" borderId="0" xfId="74" applyFont="1" applyFill="1" applyAlignment="1">
      <alignment horizontal="center"/>
      <protection/>
    </xf>
    <xf numFmtId="0" fontId="5" fillId="0" borderId="0" xfId="74" applyFont="1">
      <alignment/>
      <protection/>
    </xf>
    <xf numFmtId="0" fontId="17" fillId="33" borderId="0" xfId="74" applyFont="1" applyFill="1">
      <alignment/>
      <protection/>
    </xf>
    <xf numFmtId="0" fontId="13" fillId="0" borderId="0" xfId="74" applyFont="1">
      <alignment/>
      <protection/>
    </xf>
    <xf numFmtId="0" fontId="25" fillId="34" borderId="0" xfId="74" applyFont="1" applyFill="1" applyAlignment="1">
      <alignment horizontal="center"/>
      <protection/>
    </xf>
    <xf numFmtId="0" fontId="13" fillId="0" borderId="0" xfId="74" applyFont="1" applyAlignment="1">
      <alignment horizontal="right"/>
      <protection/>
    </xf>
    <xf numFmtId="0" fontId="17" fillId="34" borderId="0" xfId="74" applyFont="1" applyFill="1" applyAlignment="1">
      <alignment horizontal="center"/>
      <protection/>
    </xf>
    <xf numFmtId="0" fontId="6" fillId="0" borderId="0" xfId="74" applyFont="1">
      <alignment/>
      <protection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74" applyFont="1" applyAlignment="1">
      <alignment horizontal="right"/>
      <protection/>
    </xf>
    <xf numFmtId="0" fontId="8" fillId="0" borderId="0" xfId="74" applyFont="1">
      <alignment/>
      <protection/>
    </xf>
    <xf numFmtId="14" fontId="9" fillId="35" borderId="10" xfId="0" applyNumberFormat="1" applyFont="1" applyFill="1" applyBorder="1" applyAlignment="1" applyProtection="1">
      <alignment horizontal="centerContinuous"/>
      <protection locked="0"/>
    </xf>
    <xf numFmtId="0" fontId="30" fillId="0" borderId="0" xfId="74" applyFont="1">
      <alignment/>
      <protection/>
    </xf>
    <xf numFmtId="0" fontId="5" fillId="36" borderId="0" xfId="74" applyFont="1" applyFill="1" applyAlignment="1">
      <alignment horizontal="right"/>
      <protection/>
    </xf>
    <xf numFmtId="0" fontId="5" fillId="0" borderId="0" xfId="74" applyFont="1" applyAlignment="1">
      <alignment horizontal="right"/>
      <protection/>
    </xf>
    <xf numFmtId="0" fontId="5" fillId="37" borderId="0" xfId="74" applyFont="1" applyFill="1" applyAlignment="1">
      <alignment horizontal="center"/>
      <protection/>
    </xf>
    <xf numFmtId="0" fontId="5" fillId="0" borderId="0" xfId="74" applyFont="1" applyAlignment="1">
      <alignment horizontal="right" vertical="center"/>
      <protection/>
    </xf>
    <xf numFmtId="0" fontId="5" fillId="0" borderId="0" xfId="74" applyFont="1" applyAlignment="1">
      <alignment vertical="center"/>
      <protection/>
    </xf>
    <xf numFmtId="0" fontId="8" fillId="35" borderId="11" xfId="0" applyFont="1" applyFill="1" applyBorder="1" applyAlignment="1">
      <alignment horizontal="centerContinuous"/>
    </xf>
    <xf numFmtId="0" fontId="8" fillId="38" borderId="12" xfId="0" applyFont="1" applyFill="1" applyBorder="1" applyAlignment="1" applyProtection="1">
      <alignment horizontal="centerContinuous"/>
      <protection locked="0"/>
    </xf>
    <xf numFmtId="0" fontId="8" fillId="35" borderId="0" xfId="74" applyFont="1" applyFill="1" applyAlignment="1" applyProtection="1">
      <alignment horizontal="right"/>
      <protection locked="0"/>
    </xf>
    <xf numFmtId="0" fontId="13" fillId="0" borderId="0" xfId="74" applyFont="1" applyAlignment="1">
      <alignment vertic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74" applyFont="1">
      <alignment/>
      <protection/>
    </xf>
    <xf numFmtId="0" fontId="31" fillId="0" borderId="0" xfId="74" applyFont="1" applyAlignment="1">
      <alignment horizontal="right"/>
      <protection/>
    </xf>
    <xf numFmtId="0" fontId="16" fillId="0" borderId="0" xfId="74" applyFont="1">
      <alignment/>
      <protection/>
    </xf>
    <xf numFmtId="0" fontId="5" fillId="0" borderId="0" xfId="74" applyFont="1" applyProtection="1">
      <alignment/>
      <protection locked="0"/>
    </xf>
    <xf numFmtId="0" fontId="36" fillId="0" borderId="0" xfId="74" applyFont="1">
      <alignment/>
      <protection/>
    </xf>
    <xf numFmtId="0" fontId="37" fillId="0" borderId="0" xfId="74" applyFont="1" applyAlignment="1">
      <alignment horizontal="right" vertical="center"/>
      <protection/>
    </xf>
    <xf numFmtId="0" fontId="5" fillId="0" borderId="13" xfId="74" applyFont="1" applyBorder="1" applyAlignment="1">
      <alignment horizontal="centerContinuous" vertic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0" xfId="74" applyFont="1">
      <alignment/>
      <protection/>
    </xf>
    <xf numFmtId="0" fontId="24" fillId="0" borderId="0" xfId="74" applyFont="1" applyAlignment="1">
      <alignment horizontal="right"/>
      <protection/>
    </xf>
    <xf numFmtId="0" fontId="27" fillId="0" borderId="0" xfId="74" applyFont="1">
      <alignment/>
      <protection/>
    </xf>
    <xf numFmtId="0" fontId="27" fillId="0" borderId="0" xfId="74" applyFont="1" applyAlignment="1">
      <alignment horizontal="right"/>
      <protection/>
    </xf>
    <xf numFmtId="0" fontId="5" fillId="0" borderId="0" xfId="74" applyFont="1" applyAlignment="1" applyProtection="1">
      <alignment horizontal="right"/>
      <protection locked="0"/>
    </xf>
    <xf numFmtId="0" fontId="5" fillId="38" borderId="0" xfId="74" applyFont="1" applyFill="1" applyProtection="1">
      <alignment/>
      <protection locked="0"/>
    </xf>
    <xf numFmtId="0" fontId="16" fillId="0" borderId="0" xfId="0" applyFont="1" applyAlignment="1">
      <alignment/>
    </xf>
    <xf numFmtId="0" fontId="6" fillId="0" borderId="0" xfId="74" applyFont="1" applyAlignment="1">
      <alignment horizontal="right" vertical="center"/>
      <protection/>
    </xf>
    <xf numFmtId="0" fontId="17" fillId="39" borderId="0" xfId="74" applyFont="1" applyFill="1" applyAlignment="1">
      <alignment horizontal="center"/>
      <protection/>
    </xf>
    <xf numFmtId="0" fontId="38" fillId="38" borderId="0" xfId="74" applyFont="1" applyFill="1" applyProtection="1">
      <alignment/>
      <protection locked="0"/>
    </xf>
    <xf numFmtId="0" fontId="42" fillId="0" borderId="0" xfId="74" applyFont="1">
      <alignment/>
      <protection/>
    </xf>
    <xf numFmtId="0" fontId="42" fillId="0" borderId="0" xfId="74" applyFont="1" applyAlignment="1">
      <alignment vertical="center"/>
      <protection/>
    </xf>
    <xf numFmtId="0" fontId="42" fillId="0" borderId="0" xfId="0" applyFont="1" applyAlignment="1">
      <alignment/>
    </xf>
    <xf numFmtId="0" fontId="8" fillId="0" borderId="0" xfId="70" applyFont="1" applyAlignment="1">
      <alignment vertical="center"/>
      <protection/>
    </xf>
    <xf numFmtId="0" fontId="8" fillId="0" borderId="0" xfId="70">
      <alignment/>
      <protection/>
    </xf>
    <xf numFmtId="0" fontId="8" fillId="0" borderId="0" xfId="70" applyFont="1">
      <alignment/>
      <protection/>
    </xf>
    <xf numFmtId="0" fontId="5" fillId="0" borderId="0" xfId="70" applyFont="1">
      <alignment/>
      <protection/>
    </xf>
    <xf numFmtId="0" fontId="5" fillId="0" borderId="0" xfId="70" applyFont="1" applyAlignment="1">
      <alignment vertical="center"/>
      <protection/>
    </xf>
    <xf numFmtId="0" fontId="8" fillId="0" borderId="0" xfId="70" applyFont="1" applyAlignment="1">
      <alignment horizontal="right" vertical="center"/>
      <protection/>
    </xf>
    <xf numFmtId="0" fontId="16" fillId="0" borderId="0" xfId="70" applyFont="1">
      <alignment/>
      <protection/>
    </xf>
    <xf numFmtId="0" fontId="5" fillId="0" borderId="0" xfId="74" applyAlignment="1">
      <alignment horizontal="right" vertical="center"/>
      <protection/>
    </xf>
    <xf numFmtId="0" fontId="5" fillId="0" borderId="0" xfId="70" applyFont="1" applyAlignment="1">
      <alignment horizontal="left" vertical="center"/>
      <protection/>
    </xf>
    <xf numFmtId="0" fontId="20" fillId="38" borderId="14" xfId="74" applyFont="1" applyFill="1" applyBorder="1" applyAlignment="1" applyProtection="1">
      <alignment horizontal="center" vertical="center"/>
      <protection locked="0"/>
    </xf>
    <xf numFmtId="0" fontId="19" fillId="0" borderId="0" xfId="74" applyFont="1" applyAlignment="1">
      <alignment horizontal="right"/>
      <protection/>
    </xf>
    <xf numFmtId="0" fontId="44" fillId="0" borderId="0" xfId="74" applyFont="1" applyAlignment="1">
      <alignment horizontal="right" vertical="center"/>
      <protection/>
    </xf>
    <xf numFmtId="0" fontId="44" fillId="0" borderId="0" xfId="74" applyFont="1" applyAlignment="1">
      <alignment vertical="center"/>
      <protection/>
    </xf>
    <xf numFmtId="0" fontId="44" fillId="0" borderId="0" xfId="70" applyFont="1" applyAlignment="1">
      <alignment vertical="center"/>
      <protection/>
    </xf>
    <xf numFmtId="0" fontId="45" fillId="0" borderId="0" xfId="74" applyFont="1" applyAlignment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Continuous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7" fillId="0" borderId="0" xfId="74" applyFont="1">
      <alignment/>
      <protection/>
    </xf>
    <xf numFmtId="0" fontId="16" fillId="0" borderId="0" xfId="0" applyFont="1" applyAlignment="1">
      <alignment horizontal="right"/>
    </xf>
    <xf numFmtId="0" fontId="11" fillId="0" borderId="0" xfId="74" applyFont="1" applyAlignment="1">
      <alignment horizontal="center"/>
      <protection/>
    </xf>
    <xf numFmtId="0" fontId="18" fillId="0" borderId="0" xfId="74" applyFont="1" applyAlignment="1">
      <alignment horizontal="left"/>
      <protection/>
    </xf>
    <xf numFmtId="0" fontId="11" fillId="0" borderId="0" xfId="74" applyFont="1" applyAlignment="1">
      <alignment horizontal="right"/>
      <protection/>
    </xf>
    <xf numFmtId="0" fontId="16" fillId="0" borderId="0" xfId="74" applyFont="1" applyAlignment="1">
      <alignment vertical="center"/>
      <protection/>
    </xf>
    <xf numFmtId="0" fontId="18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33" fillId="0" borderId="0" xfId="0" applyFont="1" applyAlignment="1">
      <alignment vertical="center"/>
    </xf>
    <xf numFmtId="0" fontId="67" fillId="0" borderId="12" xfId="0" applyFont="1" applyBorder="1" applyAlignment="1">
      <alignment horizontal="right" vertical="center"/>
    </xf>
    <xf numFmtId="0" fontId="54" fillId="38" borderId="11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7" fillId="0" borderId="15" xfId="74" applyFont="1" applyBorder="1" applyAlignment="1">
      <alignment horizontal="centerContinuous" vertical="center"/>
      <protection/>
    </xf>
    <xf numFmtId="0" fontId="57" fillId="0" borderId="0" xfId="74" applyFont="1" applyAlignment="1">
      <alignment horizontal="right" vertical="center"/>
      <protection/>
    </xf>
    <xf numFmtId="0" fontId="70" fillId="0" borderId="0" xfId="0" applyFont="1" applyAlignment="1">
      <alignment/>
    </xf>
    <xf numFmtId="0" fontId="69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40" fillId="0" borderId="0" xfId="74" applyFont="1" applyAlignment="1">
      <alignment horizontal="left" indent="4"/>
      <protection/>
    </xf>
    <xf numFmtId="0" fontId="8" fillId="0" borderId="0" xfId="62">
      <alignment/>
      <protection/>
    </xf>
    <xf numFmtId="0" fontId="8" fillId="0" borderId="0" xfId="62" applyAlignment="1">
      <alignment horizontal="right"/>
      <protection/>
    </xf>
    <xf numFmtId="0" fontId="13" fillId="0" borderId="0" xfId="62" applyFont="1">
      <alignment/>
      <protection/>
    </xf>
    <xf numFmtId="0" fontId="9" fillId="0" borderId="0" xfId="62" applyFont="1">
      <alignment/>
      <protection/>
    </xf>
    <xf numFmtId="0" fontId="8" fillId="0" borderId="0" xfId="62" applyAlignment="1">
      <alignment horizontal="right" vertical="top"/>
      <protection/>
    </xf>
    <xf numFmtId="0" fontId="38" fillId="0" borderId="0" xfId="62" applyFont="1" applyAlignment="1">
      <alignment horizontal="left" vertical="top"/>
      <protection/>
    </xf>
    <xf numFmtId="0" fontId="8" fillId="0" borderId="0" xfId="62" applyFont="1" applyAlignment="1">
      <alignment horizontal="left" vertical="top"/>
      <protection/>
    </xf>
    <xf numFmtId="0" fontId="8" fillId="0" borderId="16" xfId="62" applyFont="1" applyBorder="1" applyAlignment="1">
      <alignment horizontal="left" vertical="top"/>
      <protection/>
    </xf>
    <xf numFmtId="0" fontId="8" fillId="0" borderId="0" xfId="62" applyAlignment="1">
      <alignment horizontal="left" vertical="top"/>
      <protection/>
    </xf>
    <xf numFmtId="0" fontId="76" fillId="0" borderId="0" xfId="62" applyFont="1">
      <alignment/>
      <protection/>
    </xf>
    <xf numFmtId="0" fontId="8" fillId="0" borderId="17" xfId="62" applyBorder="1" applyAlignment="1">
      <alignment horizontal="centerContinuous"/>
      <protection/>
    </xf>
    <xf numFmtId="0" fontId="8" fillId="0" borderId="18" xfId="62" applyBorder="1" applyAlignment="1">
      <alignment horizontal="centerContinuous"/>
      <protection/>
    </xf>
    <xf numFmtId="0" fontId="15" fillId="0" borderId="19" xfId="62" applyFont="1" applyBorder="1" applyAlignment="1">
      <alignment horizontal="center"/>
      <protection/>
    </xf>
    <xf numFmtId="0" fontId="15" fillId="0" borderId="20" xfId="62" applyFont="1" applyBorder="1" applyAlignment="1">
      <alignment horizontal="center"/>
      <protection/>
    </xf>
    <xf numFmtId="0" fontId="5" fillId="0" borderId="21" xfId="62" applyFont="1" applyBorder="1" applyAlignment="1">
      <alignment horizontal="centerContinuous"/>
      <protection/>
    </xf>
    <xf numFmtId="0" fontId="13" fillId="0" borderId="22" xfId="62" applyFont="1" applyBorder="1" applyAlignment="1">
      <alignment horizontal="centerContinuous"/>
      <protection/>
    </xf>
    <xf numFmtId="20" fontId="77" fillId="0" borderId="0" xfId="62" applyNumberFormat="1" applyFont="1">
      <alignment/>
      <protection/>
    </xf>
    <xf numFmtId="0" fontId="76" fillId="0" borderId="23" xfId="62" applyFont="1" applyBorder="1" applyAlignment="1">
      <alignment horizontal="center"/>
      <protection/>
    </xf>
    <xf numFmtId="0" fontId="76" fillId="0" borderId="24" xfId="62" applyFont="1" applyBorder="1" applyAlignment="1">
      <alignment horizontal="center"/>
      <protection/>
    </xf>
    <xf numFmtId="0" fontId="76" fillId="0" borderId="0" xfId="62" applyFont="1" applyAlignment="1">
      <alignment horizontal="center"/>
      <protection/>
    </xf>
    <xf numFmtId="0" fontId="38" fillId="0" borderId="25" xfId="62" applyFont="1" applyBorder="1" applyAlignment="1">
      <alignment horizontal="center"/>
      <protection/>
    </xf>
    <xf numFmtId="0" fontId="38" fillId="0" borderId="26" xfId="62" applyFont="1" applyBorder="1" applyAlignment="1">
      <alignment horizontal="center"/>
      <protection/>
    </xf>
    <xf numFmtId="0" fontId="8" fillId="0" borderId="27" xfId="62" applyBorder="1" applyAlignment="1">
      <alignment horizontal="center"/>
      <protection/>
    </xf>
    <xf numFmtId="0" fontId="8" fillId="0" borderId="28" xfId="62" applyBorder="1" applyAlignment="1">
      <alignment horizontal="center"/>
      <protection/>
    </xf>
    <xf numFmtId="0" fontId="77" fillId="0" borderId="0" xfId="62" applyFont="1">
      <alignment/>
      <protection/>
    </xf>
    <xf numFmtId="0" fontId="78" fillId="0" borderId="0" xfId="62" applyFont="1">
      <alignment/>
      <protection/>
    </xf>
    <xf numFmtId="0" fontId="79" fillId="0" borderId="0" xfId="62" applyFont="1" applyAlignment="1">
      <alignment horizontal="left"/>
      <protection/>
    </xf>
    <xf numFmtId="0" fontId="79" fillId="0" borderId="0" xfId="62" applyFont="1" applyAlignment="1">
      <alignment horizontal="center"/>
      <protection/>
    </xf>
    <xf numFmtId="0" fontId="10" fillId="0" borderId="0" xfId="74" applyFont="1">
      <alignment/>
      <protection/>
    </xf>
    <xf numFmtId="0" fontId="8" fillId="39" borderId="12" xfId="0" applyFont="1" applyFill="1" applyBorder="1" applyAlignment="1" applyProtection="1">
      <alignment horizontal="centerContinuous"/>
      <protection locked="0"/>
    </xf>
    <xf numFmtId="0" fontId="8" fillId="39" borderId="11" xfId="0" applyFont="1" applyFill="1" applyBorder="1" applyAlignment="1">
      <alignment horizontal="centerContinuous"/>
    </xf>
    <xf numFmtId="14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/>
    </xf>
    <xf numFmtId="0" fontId="77" fillId="0" borderId="0" xfId="0" applyFont="1" applyAlignment="1">
      <alignment/>
    </xf>
    <xf numFmtId="0" fontId="80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0" fillId="40" borderId="0" xfId="0" applyFill="1" applyAlignment="1">
      <alignment/>
    </xf>
    <xf numFmtId="0" fontId="15" fillId="0" borderId="0" xfId="0" applyFont="1" applyAlignment="1">
      <alignment horizontal="right" vertical="top"/>
    </xf>
    <xf numFmtId="0" fontId="0" fillId="39" borderId="0" xfId="0" applyFill="1" applyAlignment="1">
      <alignment/>
    </xf>
    <xf numFmtId="0" fontId="69" fillId="0" borderId="0" xfId="0" applyFont="1" applyAlignment="1">
      <alignment vertical="top"/>
    </xf>
    <xf numFmtId="0" fontId="56" fillId="0" borderId="0" xfId="74" applyFont="1" applyAlignment="1">
      <alignment horizontal="center" vertical="center"/>
      <protection/>
    </xf>
    <xf numFmtId="0" fontId="41" fillId="0" borderId="0" xfId="74" applyFont="1" applyAlignment="1">
      <alignment vertical="center"/>
      <protection/>
    </xf>
    <xf numFmtId="0" fontId="61" fillId="0" borderId="0" xfId="74" applyFont="1">
      <alignment/>
      <protection/>
    </xf>
    <xf numFmtId="0" fontId="42" fillId="41" borderId="0" xfId="74" applyFont="1" applyFill="1">
      <alignment/>
      <protection/>
    </xf>
    <xf numFmtId="0" fontId="82" fillId="41" borderId="0" xfId="74" applyFont="1" applyFill="1">
      <alignment/>
      <protection/>
    </xf>
    <xf numFmtId="0" fontId="16" fillId="41" borderId="0" xfId="74" applyFont="1" applyFill="1">
      <alignment/>
      <protection/>
    </xf>
    <xf numFmtId="0" fontId="84" fillId="0" borderId="0" xfId="74" applyFont="1" applyAlignment="1">
      <alignment horizontal="right" vertical="center"/>
      <protection/>
    </xf>
    <xf numFmtId="0" fontId="20" fillId="0" borderId="0" xfId="74" applyFont="1" applyAlignment="1">
      <alignment horizontal="center" vertical="center"/>
      <protection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0" xfId="74" applyFont="1">
      <alignment/>
      <protection/>
    </xf>
    <xf numFmtId="0" fontId="19" fillId="0" borderId="0" xfId="74" applyFont="1" applyAlignment="1">
      <alignment horizontal="right" vertical="center"/>
      <protection/>
    </xf>
    <xf numFmtId="1" fontId="87" fillId="0" borderId="0" xfId="0" applyNumberFormat="1" applyFont="1" applyAlignment="1">
      <alignment/>
    </xf>
    <xf numFmtId="166" fontId="87" fillId="0" borderId="0" xfId="0" applyNumberFormat="1" applyFont="1" applyAlignment="1">
      <alignment horizontal="center"/>
    </xf>
    <xf numFmtId="1" fontId="87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89" fillId="0" borderId="0" xfId="62" applyFont="1">
      <alignment/>
      <protection/>
    </xf>
    <xf numFmtId="0" fontId="90" fillId="0" borderId="0" xfId="71" applyFont="1">
      <alignment/>
      <protection/>
    </xf>
    <xf numFmtId="0" fontId="91" fillId="34" borderId="0" xfId="71" applyFont="1" applyFill="1">
      <alignment/>
      <protection/>
    </xf>
    <xf numFmtId="0" fontId="92" fillId="34" borderId="0" xfId="71" applyFont="1" applyFill="1">
      <alignment/>
      <protection/>
    </xf>
    <xf numFmtId="0" fontId="93" fillId="34" borderId="0" xfId="71" applyFont="1" applyFill="1" applyAlignment="1">
      <alignment horizontal="left" indent="1"/>
      <protection/>
    </xf>
    <xf numFmtId="0" fontId="93" fillId="34" borderId="0" xfId="71" applyFont="1" applyFill="1">
      <alignment/>
      <protection/>
    </xf>
    <xf numFmtId="0" fontId="91" fillId="34" borderId="0" xfId="71" applyFont="1" applyFill="1" applyAlignment="1">
      <alignment horizontal="left" indent="1"/>
      <protection/>
    </xf>
    <xf numFmtId="0" fontId="92" fillId="34" borderId="0" xfId="71" applyFont="1" applyFill="1" applyAlignment="1">
      <alignment horizontal="center"/>
      <protection/>
    </xf>
    <xf numFmtId="0" fontId="94" fillId="34" borderId="0" xfId="71" applyFont="1" applyFill="1">
      <alignment/>
      <protection/>
    </xf>
    <xf numFmtId="0" fontId="90" fillId="0" borderId="0" xfId="71" applyFont="1" applyAlignment="1">
      <alignment horizontal="right"/>
      <protection/>
    </xf>
    <xf numFmtId="1" fontId="8" fillId="0" borderId="14" xfId="74" applyNumberFormat="1" applyFont="1" applyBorder="1" applyAlignment="1">
      <alignment horizontal="center" vertical="center"/>
      <protection/>
    </xf>
    <xf numFmtId="1" fontId="8" fillId="0" borderId="30" xfId="74" applyNumberFormat="1" applyFont="1" applyBorder="1" applyAlignment="1">
      <alignment horizontal="center" vertical="center"/>
      <protection/>
    </xf>
    <xf numFmtId="0" fontId="38" fillId="0" borderId="14" xfId="74" applyFont="1" applyBorder="1" applyAlignment="1">
      <alignment horizontal="center" vertical="center"/>
      <protection/>
    </xf>
    <xf numFmtId="0" fontId="8" fillId="0" borderId="30" xfId="74" applyFont="1" applyBorder="1" applyAlignment="1">
      <alignment horizontal="center" vertical="center"/>
      <protection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4" fillId="34" borderId="0" xfId="73" applyFont="1" applyFill="1" applyAlignment="1">
      <alignment vertical="top"/>
      <protection/>
    </xf>
    <xf numFmtId="0" fontId="89" fillId="0" borderId="0" xfId="0" applyFont="1" applyAlignment="1">
      <alignment/>
    </xf>
    <xf numFmtId="0" fontId="89" fillId="34" borderId="0" xfId="0" applyFont="1" applyFill="1" applyAlignment="1">
      <alignment/>
    </xf>
    <xf numFmtId="0" fontId="89" fillId="0" borderId="0" xfId="0" applyFont="1" applyAlignment="1" quotePrefix="1">
      <alignment/>
    </xf>
    <xf numFmtId="0" fontId="89" fillId="41" borderId="0" xfId="0" applyFont="1" applyFill="1" applyAlignment="1" quotePrefix="1">
      <alignment/>
    </xf>
    <xf numFmtId="0" fontId="89" fillId="42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textRotation="90"/>
    </xf>
    <xf numFmtId="0" fontId="88" fillId="0" borderId="0" xfId="0" applyFont="1" applyAlignment="1">
      <alignment horizontal="right" textRotation="90"/>
    </xf>
    <xf numFmtId="0" fontId="76" fillId="0" borderId="0" xfId="0" applyFont="1" applyAlignment="1">
      <alignment/>
    </xf>
    <xf numFmtId="0" fontId="76" fillId="34" borderId="0" xfId="0" applyFont="1" applyFill="1" applyAlignment="1">
      <alignment/>
    </xf>
    <xf numFmtId="0" fontId="76" fillId="41" borderId="0" xfId="0" applyFont="1" applyFill="1" applyAlignment="1">
      <alignment/>
    </xf>
    <xf numFmtId="0" fontId="76" fillId="42" borderId="0" xfId="0" applyFont="1" applyFill="1" applyAlignment="1">
      <alignment/>
    </xf>
    <xf numFmtId="0" fontId="92" fillId="34" borderId="0" xfId="0" applyFont="1" applyFill="1" applyAlignment="1">
      <alignment/>
    </xf>
    <xf numFmtId="0" fontId="93" fillId="34" borderId="0" xfId="0" applyFont="1" applyFill="1" applyAlignment="1">
      <alignment/>
    </xf>
    <xf numFmtId="0" fontId="0" fillId="0" borderId="29" xfId="0" applyBorder="1" applyAlignment="1">
      <alignment/>
    </xf>
    <xf numFmtId="0" fontId="16" fillId="0" borderId="29" xfId="0" applyFont="1" applyBorder="1" applyAlignment="1">
      <alignment vertical="center"/>
    </xf>
    <xf numFmtId="0" fontId="96" fillId="0" borderId="29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 indent="2"/>
    </xf>
    <xf numFmtId="0" fontId="222" fillId="35" borderId="31" xfId="62" applyFont="1" applyFill="1" applyBorder="1" applyAlignment="1" applyProtection="1">
      <alignment horizontal="right" indent="1"/>
      <protection locked="0"/>
    </xf>
    <xf numFmtId="0" fontId="222" fillId="35" borderId="32" xfId="62" applyFont="1" applyFill="1" applyBorder="1" applyAlignment="1" applyProtection="1">
      <alignment horizontal="right" indent="1"/>
      <protection locked="0"/>
    </xf>
    <xf numFmtId="0" fontId="7" fillId="0" borderId="0" xfId="63" applyFont="1" applyAlignment="1">
      <alignment horizontal="right" indent="1"/>
      <protection/>
    </xf>
    <xf numFmtId="0" fontId="222" fillId="35" borderId="31" xfId="63" applyFont="1" applyFill="1" applyBorder="1" applyAlignment="1" applyProtection="1">
      <alignment horizontal="right" indent="1"/>
      <protection locked="0"/>
    </xf>
    <xf numFmtId="0" fontId="222" fillId="35" borderId="32" xfId="63" applyFont="1" applyFill="1" applyBorder="1" applyAlignment="1" applyProtection="1">
      <alignment horizontal="right" indent="1"/>
      <protection locked="0"/>
    </xf>
    <xf numFmtId="0" fontId="8" fillId="0" borderId="0" xfId="63" applyAlignment="1">
      <alignment horizontal="right" indent="1"/>
      <protection/>
    </xf>
    <xf numFmtId="0" fontId="222" fillId="35" borderId="33" xfId="63" applyFont="1" applyFill="1" applyBorder="1" applyAlignment="1" applyProtection="1">
      <alignment horizontal="right" indent="1"/>
      <protection locked="0"/>
    </xf>
    <xf numFmtId="0" fontId="222" fillId="35" borderId="34" xfId="63" applyFont="1" applyFill="1" applyBorder="1" applyAlignment="1" applyProtection="1">
      <alignment horizontal="right" indent="1"/>
      <protection locked="0"/>
    </xf>
    <xf numFmtId="0" fontId="222" fillId="35" borderId="30" xfId="63" applyFont="1" applyFill="1" applyBorder="1" applyAlignment="1" applyProtection="1">
      <alignment horizontal="right" indent="1"/>
      <protection locked="0"/>
    </xf>
    <xf numFmtId="0" fontId="222" fillId="35" borderId="35" xfId="63" applyFont="1" applyFill="1" applyBorder="1" applyAlignment="1" applyProtection="1">
      <alignment horizontal="right" indent="1"/>
      <protection locked="0"/>
    </xf>
    <xf numFmtId="0" fontId="222" fillId="0" borderId="31" xfId="62" applyFont="1" applyBorder="1" applyAlignment="1" applyProtection="1">
      <alignment horizontal="right" indent="1"/>
      <protection locked="0"/>
    </xf>
    <xf numFmtId="0" fontId="222" fillId="0" borderId="32" xfId="62" applyFont="1" applyBorder="1" applyAlignment="1" applyProtection="1">
      <alignment horizontal="right" indent="1"/>
      <protection locked="0"/>
    </xf>
    <xf numFmtId="0" fontId="222" fillId="0" borderId="31" xfId="63" applyFont="1" applyBorder="1" applyAlignment="1" applyProtection="1">
      <alignment horizontal="right" indent="1"/>
      <protection locked="0"/>
    </xf>
    <xf numFmtId="0" fontId="222" fillId="0" borderId="32" xfId="63" applyFont="1" applyBorder="1" applyAlignment="1" applyProtection="1">
      <alignment horizontal="right" indent="1"/>
      <protection locked="0"/>
    </xf>
    <xf numFmtId="0" fontId="222" fillId="0" borderId="0" xfId="63" applyFont="1" applyAlignment="1" applyProtection="1">
      <alignment horizontal="right" indent="1"/>
      <protection locked="0"/>
    </xf>
    <xf numFmtId="0" fontId="222" fillId="0" borderId="36" xfId="63" applyFont="1" applyBorder="1" applyAlignment="1" applyProtection="1">
      <alignment horizontal="right" indent="1"/>
      <protection locked="0"/>
    </xf>
    <xf numFmtId="0" fontId="222" fillId="0" borderId="37" xfId="62" applyFont="1" applyBorder="1" applyAlignment="1" applyProtection="1">
      <alignment horizontal="right" indent="1"/>
      <protection locked="0"/>
    </xf>
    <xf numFmtId="0" fontId="222" fillId="0" borderId="38" xfId="62" applyFont="1" applyBorder="1" applyAlignment="1" applyProtection="1">
      <alignment horizontal="right" indent="1"/>
      <protection locked="0"/>
    </xf>
    <xf numFmtId="0" fontId="222" fillId="0" borderId="37" xfId="63" applyFont="1" applyBorder="1" applyAlignment="1" applyProtection="1">
      <alignment horizontal="right" indent="1"/>
      <protection locked="0"/>
    </xf>
    <xf numFmtId="0" fontId="222" fillId="0" borderId="38" xfId="63" applyFont="1" applyBorder="1" applyAlignment="1" applyProtection="1">
      <alignment horizontal="right" indent="1"/>
      <protection locked="0"/>
    </xf>
    <xf numFmtId="0" fontId="35" fillId="10" borderId="0" xfId="0" applyFont="1" applyFill="1" applyAlignment="1">
      <alignment/>
    </xf>
    <xf numFmtId="0" fontId="35" fillId="10" borderId="0" xfId="0" applyFont="1" applyFill="1" applyAlignment="1">
      <alignment horizontal="right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left" vertical="center"/>
    </xf>
    <xf numFmtId="0" fontId="28" fillId="0" borderId="0" xfId="74" applyFont="1">
      <alignment/>
      <protection/>
    </xf>
    <xf numFmtId="0" fontId="223" fillId="0" borderId="0" xfId="59" applyFont="1" applyAlignment="1">
      <alignment horizontal="right" vertical="center"/>
      <protection/>
    </xf>
    <xf numFmtId="0" fontId="223" fillId="0" borderId="0" xfId="59" applyFont="1" applyAlignment="1">
      <alignment vertical="center"/>
      <protection/>
    </xf>
    <xf numFmtId="0" fontId="8" fillId="0" borderId="0" xfId="59">
      <alignment/>
      <protection/>
    </xf>
    <xf numFmtId="0" fontId="224" fillId="0" borderId="0" xfId="74" applyFont="1" applyAlignment="1" applyProtection="1">
      <alignment horizontal="center" vertical="center"/>
      <protection locked="0"/>
    </xf>
    <xf numFmtId="0" fontId="44" fillId="0" borderId="0" xfId="74" applyFont="1" applyAlignment="1">
      <alignment horizontal="left" vertical="center"/>
      <protection/>
    </xf>
    <xf numFmtId="0" fontId="16" fillId="0" borderId="0" xfId="59" applyFont="1" applyAlignment="1">
      <alignment horizontal="center" vertical="center"/>
      <protection/>
    </xf>
    <xf numFmtId="0" fontId="64" fillId="0" borderId="0" xfId="62" applyFont="1">
      <alignment/>
      <protection/>
    </xf>
    <xf numFmtId="0" fontId="39" fillId="4" borderId="0" xfId="74" applyFont="1" applyFill="1">
      <alignment/>
      <protection/>
    </xf>
    <xf numFmtId="0" fontId="5" fillId="4" borderId="0" xfId="74" applyFont="1" applyFill="1">
      <alignment/>
      <protection/>
    </xf>
    <xf numFmtId="0" fontId="11" fillId="0" borderId="0" xfId="0" applyFont="1" applyAlignment="1">
      <alignment/>
    </xf>
    <xf numFmtId="0" fontId="8" fillId="0" borderId="0" xfId="58">
      <alignment/>
      <protection/>
    </xf>
    <xf numFmtId="0" fontId="225" fillId="0" borderId="0" xfId="58" applyFont="1" applyAlignment="1">
      <alignment horizontal="right" vertical="center"/>
      <protection/>
    </xf>
    <xf numFmtId="0" fontId="9" fillId="0" borderId="0" xfId="58" applyFont="1">
      <alignment/>
      <protection/>
    </xf>
    <xf numFmtId="0" fontId="226" fillId="0" borderId="0" xfId="58" applyFont="1" applyAlignment="1">
      <alignment horizontal="right"/>
      <protection/>
    </xf>
    <xf numFmtId="0" fontId="227" fillId="0" borderId="0" xfId="58" applyFont="1">
      <alignment/>
      <protection/>
    </xf>
    <xf numFmtId="0" fontId="5" fillId="43" borderId="0" xfId="58" applyFont="1" applyFill="1" applyAlignment="1">
      <alignment horizontal="center" vertical="center"/>
      <protection/>
    </xf>
    <xf numFmtId="0" fontId="8" fillId="43" borderId="0" xfId="58" applyFill="1">
      <alignment/>
      <protection/>
    </xf>
    <xf numFmtId="0" fontId="5" fillId="43" borderId="0" xfId="58" applyFont="1" applyFill="1" applyAlignment="1">
      <alignment horizontal="left" vertical="center" indent="1"/>
      <protection/>
    </xf>
    <xf numFmtId="0" fontId="8" fillId="0" borderId="0" xfId="58" applyAlignment="1">
      <alignment horizontal="right"/>
      <protection/>
    </xf>
    <xf numFmtId="0" fontId="228" fillId="0" borderId="0" xfId="58" applyFont="1">
      <alignment/>
      <protection/>
    </xf>
    <xf numFmtId="0" fontId="8" fillId="0" borderId="26" xfId="58" applyBorder="1">
      <alignment/>
      <protection/>
    </xf>
    <xf numFmtId="0" fontId="8" fillId="0" borderId="39" xfId="58" applyBorder="1">
      <alignment/>
      <protection/>
    </xf>
    <xf numFmtId="0" fontId="8" fillId="0" borderId="40" xfId="58" applyBorder="1">
      <alignment/>
      <protection/>
    </xf>
    <xf numFmtId="0" fontId="229" fillId="0" borderId="18" xfId="58" applyFont="1" applyBorder="1" applyAlignment="1">
      <alignment horizontal="right" indent="2"/>
      <protection/>
    </xf>
    <xf numFmtId="0" fontId="8" fillId="0" borderId="41" xfId="58" applyBorder="1">
      <alignment/>
      <protection/>
    </xf>
    <xf numFmtId="0" fontId="8" fillId="0" borderId="42" xfId="58" applyBorder="1">
      <alignment/>
      <protection/>
    </xf>
    <xf numFmtId="0" fontId="230" fillId="0" borderId="0" xfId="61" applyFont="1" applyAlignment="1">
      <alignment horizontal="left"/>
      <protection/>
    </xf>
    <xf numFmtId="0" fontId="231" fillId="0" borderId="29" xfId="58" applyFont="1" applyBorder="1" applyAlignment="1">
      <alignment horizontal="center"/>
      <protection/>
    </xf>
    <xf numFmtId="0" fontId="8" fillId="0" borderId="43" xfId="58" applyBorder="1">
      <alignment/>
      <protection/>
    </xf>
    <xf numFmtId="0" fontId="22" fillId="0" borderId="0" xfId="58" applyFont="1">
      <alignment/>
      <protection/>
    </xf>
    <xf numFmtId="0" fontId="232" fillId="30" borderId="44" xfId="58" applyFont="1" applyFill="1" applyBorder="1" applyAlignment="1" applyProtection="1">
      <alignment horizontal="center" vertical="center"/>
      <protection locked="0"/>
    </xf>
    <xf numFmtId="0" fontId="8" fillId="0" borderId="45" xfId="58" applyBorder="1" applyAlignment="1">
      <alignment horizontal="center"/>
      <protection/>
    </xf>
    <xf numFmtId="0" fontId="8" fillId="0" borderId="46" xfId="58" applyBorder="1" applyAlignment="1">
      <alignment horizontal="center"/>
      <protection/>
    </xf>
    <xf numFmtId="0" fontId="8" fillId="0" borderId="47" xfId="58" applyBorder="1">
      <alignment/>
      <protection/>
    </xf>
    <xf numFmtId="0" fontId="8" fillId="0" borderId="48" xfId="58" applyBorder="1">
      <alignment/>
      <protection/>
    </xf>
    <xf numFmtId="0" fontId="8" fillId="0" borderId="0" xfId="58" applyAlignment="1">
      <alignment vertical="center"/>
      <protection/>
    </xf>
    <xf numFmtId="0" fontId="233" fillId="0" borderId="0" xfId="58" applyFont="1">
      <alignment/>
      <protection/>
    </xf>
    <xf numFmtId="0" fontId="233" fillId="0" borderId="49" xfId="58" applyFont="1" applyBorder="1" applyAlignment="1">
      <alignment horizontal="center"/>
      <protection/>
    </xf>
    <xf numFmtId="0" fontId="234" fillId="0" borderId="50" xfId="58" applyFont="1" applyBorder="1" applyAlignment="1">
      <alignment horizontal="right" vertical="top"/>
      <protection/>
    </xf>
    <xf numFmtId="0" fontId="233" fillId="0" borderId="42" xfId="58" applyFont="1" applyBorder="1">
      <alignment/>
      <protection/>
    </xf>
    <xf numFmtId="0" fontId="233" fillId="0" borderId="51" xfId="58" applyFont="1" applyBorder="1">
      <alignment/>
      <protection/>
    </xf>
    <xf numFmtId="0" fontId="6" fillId="13" borderId="52" xfId="58" applyFont="1" applyFill="1" applyBorder="1" applyAlignment="1">
      <alignment horizontal="right"/>
      <protection/>
    </xf>
    <xf numFmtId="0" fontId="8" fillId="13" borderId="53" xfId="58" applyFill="1" applyBorder="1">
      <alignment/>
      <protection/>
    </xf>
    <xf numFmtId="0" fontId="8" fillId="13" borderId="54" xfId="58" applyFill="1" applyBorder="1">
      <alignment/>
      <protection/>
    </xf>
    <xf numFmtId="0" fontId="8" fillId="13" borderId="55" xfId="58" applyFill="1" applyBorder="1">
      <alignment/>
      <protection/>
    </xf>
    <xf numFmtId="0" fontId="7" fillId="0" borderId="47" xfId="58" applyFont="1" applyBorder="1">
      <alignment/>
      <protection/>
    </xf>
    <xf numFmtId="0" fontId="8" fillId="0" borderId="55" xfId="58" applyBorder="1">
      <alignment/>
      <protection/>
    </xf>
    <xf numFmtId="0" fontId="7" fillId="0" borderId="0" xfId="58" applyFont="1">
      <alignment/>
      <protection/>
    </xf>
    <xf numFmtId="0" fontId="235" fillId="0" borderId="0" xfId="59" applyFont="1" applyAlignment="1">
      <alignment horizontal="left"/>
      <protection/>
    </xf>
    <xf numFmtId="0" fontId="236" fillId="0" borderId="0" xfId="58" applyFont="1" applyAlignment="1">
      <alignment horizontal="right"/>
      <protection/>
    </xf>
    <xf numFmtId="0" fontId="5" fillId="44" borderId="0" xfId="58" applyFont="1" applyFill="1" applyAlignment="1">
      <alignment vertical="center"/>
      <protection/>
    </xf>
    <xf numFmtId="0" fontId="5" fillId="0" borderId="0" xfId="58" applyFont="1">
      <alignment/>
      <protection/>
    </xf>
    <xf numFmtId="0" fontId="237" fillId="45" borderId="56" xfId="58" applyFont="1" applyFill="1" applyBorder="1" applyAlignment="1" applyProtection="1">
      <alignment horizontal="center" vertical="center"/>
      <protection locked="0"/>
    </xf>
    <xf numFmtId="0" fontId="103" fillId="0" borderId="0" xfId="58" applyFont="1" applyAlignment="1">
      <alignment horizontal="right" vertical="center"/>
      <protection/>
    </xf>
    <xf numFmtId="0" fontId="28" fillId="0" borderId="0" xfId="58" applyFont="1">
      <alignment/>
      <protection/>
    </xf>
    <xf numFmtId="0" fontId="7" fillId="0" borderId="0" xfId="58" applyFont="1" applyAlignment="1">
      <alignment horizontal="left" vertical="center" indent="1"/>
      <protection/>
    </xf>
    <xf numFmtId="0" fontId="5" fillId="0" borderId="0" xfId="61" applyFont="1" applyAlignment="1">
      <alignment vertical="center"/>
      <protection/>
    </xf>
    <xf numFmtId="0" fontId="103" fillId="0" borderId="0" xfId="58" applyFont="1">
      <alignment/>
      <protection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238" fillId="13" borderId="39" xfId="58" applyFont="1" applyFill="1" applyBorder="1" applyAlignment="1">
      <alignment horizontal="right" vertical="center"/>
      <protection/>
    </xf>
    <xf numFmtId="0" fontId="238" fillId="13" borderId="39" xfId="58" applyFont="1" applyFill="1" applyBorder="1" applyAlignment="1">
      <alignment vertical="center"/>
      <protection/>
    </xf>
    <xf numFmtId="0" fontId="238" fillId="13" borderId="40" xfId="58" applyFont="1" applyFill="1" applyBorder="1" applyAlignment="1">
      <alignment horizontal="left" vertical="center" indent="1"/>
      <protection/>
    </xf>
    <xf numFmtId="0" fontId="6" fillId="0" borderId="0" xfId="58" applyFont="1">
      <alignment/>
      <protection/>
    </xf>
    <xf numFmtId="0" fontId="238" fillId="13" borderId="0" xfId="58" applyFont="1" applyFill="1" applyAlignment="1">
      <alignment horizontal="right" vertical="center"/>
      <protection/>
    </xf>
    <xf numFmtId="0" fontId="238" fillId="13" borderId="0" xfId="58" applyFont="1" applyFill="1" applyAlignment="1">
      <alignment vertical="center"/>
      <protection/>
    </xf>
    <xf numFmtId="0" fontId="238" fillId="13" borderId="57" xfId="58" applyFont="1" applyFill="1" applyBorder="1" applyAlignment="1">
      <alignment horizontal="left" vertical="center" indent="1"/>
      <protection/>
    </xf>
    <xf numFmtId="0" fontId="238" fillId="13" borderId="58" xfId="58" applyFont="1" applyFill="1" applyBorder="1" applyAlignment="1">
      <alignment vertical="center"/>
      <protection/>
    </xf>
    <xf numFmtId="0" fontId="238" fillId="13" borderId="41" xfId="58" applyFont="1" applyFill="1" applyBorder="1" applyAlignment="1">
      <alignment vertical="center"/>
      <protection/>
    </xf>
    <xf numFmtId="0" fontId="238" fillId="13" borderId="17" xfId="58" applyFont="1" applyFill="1" applyBorder="1" applyAlignment="1">
      <alignment horizontal="left" indent="1"/>
      <protection/>
    </xf>
    <xf numFmtId="0" fontId="8" fillId="4" borderId="0" xfId="58" applyFill="1">
      <alignment/>
      <protection/>
    </xf>
    <xf numFmtId="0" fontId="9" fillId="4" borderId="0" xfId="58" applyFont="1" applyFill="1">
      <alignment/>
      <protection/>
    </xf>
    <xf numFmtId="0" fontId="8" fillId="4" borderId="0" xfId="58" applyFill="1" applyAlignment="1">
      <alignment horizontal="left" indent="2"/>
      <protection/>
    </xf>
    <xf numFmtId="0" fontId="6" fillId="4" borderId="0" xfId="58" applyFont="1" applyFill="1">
      <alignment/>
      <protection/>
    </xf>
    <xf numFmtId="0" fontId="28" fillId="4" borderId="0" xfId="58" applyFont="1" applyFill="1">
      <alignment/>
      <protection/>
    </xf>
    <xf numFmtId="0" fontId="8" fillId="0" borderId="0" xfId="75" applyAlignment="1">
      <alignment vertical="center"/>
      <protection/>
    </xf>
    <xf numFmtId="0" fontId="106" fillId="0" borderId="0" xfId="75" applyFont="1" applyAlignment="1">
      <alignment horizontal="center" vertical="center" textRotation="90"/>
      <protection/>
    </xf>
    <xf numFmtId="0" fontId="32" fillId="0" borderId="0" xfId="75" applyFont="1" applyAlignment="1">
      <alignment vertical="center"/>
      <protection/>
    </xf>
    <xf numFmtId="0" fontId="13" fillId="0" borderId="0" xfId="75" applyFont="1" applyAlignment="1">
      <alignment vertical="center"/>
      <protection/>
    </xf>
    <xf numFmtId="0" fontId="13" fillId="0" borderId="0" xfId="64" applyFont="1">
      <alignment/>
      <protection/>
    </xf>
    <xf numFmtId="0" fontId="13" fillId="0" borderId="0" xfId="75" applyFont="1" applyAlignment="1">
      <alignment horizontal="centerContinuous" vertical="center"/>
      <protection/>
    </xf>
    <xf numFmtId="0" fontId="16" fillId="0" borderId="59" xfId="0" applyFont="1" applyBorder="1" applyAlignment="1">
      <alignment vertical="center"/>
    </xf>
    <xf numFmtId="0" fontId="96" fillId="0" borderId="59" xfId="0" applyFont="1" applyBorder="1" applyAlignment="1">
      <alignment horizontal="right" vertical="center"/>
    </xf>
    <xf numFmtId="0" fontId="7" fillId="0" borderId="0" xfId="75" applyFont="1" applyAlignment="1">
      <alignment vertical="center"/>
      <protection/>
    </xf>
    <xf numFmtId="0" fontId="107" fillId="0" borderId="0" xfId="75" applyFont="1" applyAlignment="1">
      <alignment vertical="center"/>
      <protection/>
    </xf>
    <xf numFmtId="0" fontId="6" fillId="0" borderId="0" xfId="64" applyFont="1">
      <alignment/>
      <protection/>
    </xf>
    <xf numFmtId="0" fontId="7" fillId="0" borderId="60" xfId="75" applyFont="1" applyBorder="1" applyAlignment="1">
      <alignment horizontal="centerContinuous" vertical="center"/>
      <protection/>
    </xf>
    <xf numFmtId="169" fontId="105" fillId="0" borderId="60" xfId="75" applyNumberFormat="1" applyFont="1" applyBorder="1" applyAlignment="1" applyProtection="1">
      <alignment horizontal="centerContinuous" vertical="center"/>
      <protection locked="0"/>
    </xf>
    <xf numFmtId="0" fontId="8" fillId="0" borderId="0" xfId="75">
      <alignment/>
      <protection/>
    </xf>
    <xf numFmtId="0" fontId="6" fillId="0" borderId="0" xfId="75" applyFont="1">
      <alignment/>
      <protection/>
    </xf>
    <xf numFmtId="0" fontId="6" fillId="0" borderId="0" xfId="75" applyFont="1" applyAlignment="1">
      <alignment horizontal="right"/>
      <protection/>
    </xf>
    <xf numFmtId="0" fontId="7" fillId="0" borderId="0" xfId="75" applyFont="1" applyAlignment="1">
      <alignment horizontal="right"/>
      <protection/>
    </xf>
    <xf numFmtId="0" fontId="4" fillId="0" borderId="0" xfId="64">
      <alignment/>
      <protection/>
    </xf>
    <xf numFmtId="0" fontId="7" fillId="0" borderId="0" xfId="75" applyFont="1">
      <alignment/>
      <protection/>
    </xf>
    <xf numFmtId="0" fontId="7" fillId="0" borderId="0" xfId="75" applyFont="1" applyAlignment="1">
      <alignment horizontal="left"/>
      <protection/>
    </xf>
    <xf numFmtId="0" fontId="16" fillId="0" borderId="0" xfId="75" applyFont="1">
      <alignment/>
      <protection/>
    </xf>
    <xf numFmtId="0" fontId="16" fillId="0" borderId="0" xfId="75" applyFont="1" applyAlignment="1">
      <alignment horizontal="right"/>
      <protection/>
    </xf>
    <xf numFmtId="0" fontId="8" fillId="0" borderId="0" xfId="75" applyAlignment="1">
      <alignment horizontal="left" vertical="top"/>
      <protection/>
    </xf>
    <xf numFmtId="0" fontId="108" fillId="0" borderId="0" xfId="75" applyFont="1" applyAlignment="1">
      <alignment horizontal="left" vertical="top" textRotation="90"/>
      <protection/>
    </xf>
    <xf numFmtId="0" fontId="33" fillId="0" borderId="0" xfId="75" applyFont="1" applyAlignment="1">
      <alignment horizontal="left" vertical="top" textRotation="90"/>
      <protection/>
    </xf>
    <xf numFmtId="0" fontId="21" fillId="0" borderId="0" xfId="75" applyFont="1" applyAlignment="1">
      <alignment horizontal="left" vertical="top"/>
      <protection/>
    </xf>
    <xf numFmtId="0" fontId="38" fillId="0" borderId="61" xfId="75" applyFont="1" applyBorder="1" applyAlignment="1" applyProtection="1">
      <alignment horizontal="center" vertical="center"/>
      <protection locked="0"/>
    </xf>
    <xf numFmtId="0" fontId="8" fillId="0" borderId="36" xfId="75" applyBorder="1" applyAlignment="1">
      <alignment horizontal="right" vertical="center"/>
      <protection/>
    </xf>
    <xf numFmtId="0" fontId="7" fillId="0" borderId="0" xfId="75" applyFont="1" applyAlignment="1">
      <alignment horizontal="left" vertical="top"/>
      <protection/>
    </xf>
    <xf numFmtId="0" fontId="8" fillId="1" borderId="61" xfId="75" applyFill="1" applyBorder="1" applyAlignment="1">
      <alignment horizontal="center" vertical="center"/>
      <protection/>
    </xf>
    <xf numFmtId="0" fontId="8" fillId="0" borderId="28" xfId="75" applyBorder="1" applyAlignment="1">
      <alignment horizontal="right" vertical="center"/>
      <protection/>
    </xf>
    <xf numFmtId="0" fontId="8" fillId="0" borderId="0" xfId="75" applyAlignment="1">
      <alignment horizontal="left" vertical="center"/>
      <protection/>
    </xf>
    <xf numFmtId="0" fontId="109" fillId="0" borderId="0" xfId="75" applyFont="1" applyAlignment="1">
      <alignment horizontal="left" vertical="top"/>
      <protection/>
    </xf>
    <xf numFmtId="0" fontId="16" fillId="0" borderId="0" xfId="75" applyFont="1" applyAlignment="1">
      <alignment horizontal="left" vertical="top"/>
      <protection/>
    </xf>
    <xf numFmtId="0" fontId="110" fillId="0" borderId="0" xfId="75" applyFont="1" applyAlignment="1">
      <alignment horizontal="left" vertical="top" textRotation="90"/>
      <protection/>
    </xf>
    <xf numFmtId="0" fontId="55" fillId="0" borderId="0" xfId="75" applyFont="1" applyAlignment="1">
      <alignment horizontal="left" vertical="top" textRotation="90"/>
      <protection/>
    </xf>
    <xf numFmtId="0" fontId="16" fillId="0" borderId="62" xfId="75" applyFont="1" applyBorder="1" applyAlignment="1">
      <alignment horizontal="left" vertical="top"/>
      <protection/>
    </xf>
    <xf numFmtId="0" fontId="96" fillId="0" borderId="0" xfId="75" applyFont="1" applyAlignment="1">
      <alignment horizontal="left" vertical="top"/>
      <protection/>
    </xf>
    <xf numFmtId="0" fontId="12" fillId="0" borderId="0" xfId="75" applyFont="1" applyAlignment="1">
      <alignment horizontal="right"/>
      <protection/>
    </xf>
    <xf numFmtId="0" fontId="12" fillId="0" borderId="0" xfId="75" applyFont="1" applyAlignment="1">
      <alignment horizontal="center"/>
      <protection/>
    </xf>
    <xf numFmtId="0" fontId="12" fillId="0" borderId="0" xfId="75" applyFont="1">
      <alignment/>
      <protection/>
    </xf>
    <xf numFmtId="0" fontId="8" fillId="0" borderId="0" xfId="75" applyAlignment="1">
      <alignment horizontal="center" vertical="center" textRotation="90"/>
      <protection/>
    </xf>
    <xf numFmtId="0" fontId="33" fillId="0" borderId="0" xfId="75" applyFont="1" applyAlignment="1">
      <alignment horizontal="center" vertical="center" textRotation="90"/>
      <protection/>
    </xf>
    <xf numFmtId="0" fontId="8" fillId="0" borderId="0" xfId="75" applyAlignment="1">
      <alignment horizontal="center" vertical="center"/>
      <protection/>
    </xf>
    <xf numFmtId="0" fontId="107" fillId="0" borderId="0" xfId="75" applyFont="1" applyAlignment="1">
      <alignment horizontal="center" vertical="center" textRotation="90"/>
      <protection/>
    </xf>
    <xf numFmtId="0" fontId="8" fillId="0" borderId="0" xfId="75" applyAlignment="1" applyProtection="1">
      <alignment horizontal="center" vertical="center"/>
      <protection locked="0"/>
    </xf>
    <xf numFmtId="0" fontId="38" fillId="0" borderId="0" xfId="75" applyFont="1" applyAlignment="1" applyProtection="1">
      <alignment horizontal="center" vertical="center"/>
      <protection locked="0"/>
    </xf>
    <xf numFmtId="0" fontId="8" fillId="0" borderId="63" xfId="75" applyBorder="1" applyAlignment="1" applyProtection="1">
      <alignment horizontal="center" vertical="center"/>
      <protection locked="0"/>
    </xf>
    <xf numFmtId="0" fontId="8" fillId="0" borderId="36" xfId="75" applyBorder="1">
      <alignment/>
      <protection/>
    </xf>
    <xf numFmtId="0" fontId="8" fillId="0" borderId="64" xfId="75" applyBorder="1">
      <alignment/>
      <protection/>
    </xf>
    <xf numFmtId="0" fontId="38" fillId="0" borderId="65" xfId="75" applyFont="1" applyBorder="1" applyAlignment="1" applyProtection="1">
      <alignment horizontal="center" vertical="center"/>
      <protection locked="0"/>
    </xf>
    <xf numFmtId="0" fontId="38" fillId="0" borderId="63" xfId="75" applyFont="1" applyBorder="1" applyAlignment="1" applyProtection="1">
      <alignment horizontal="center" vertical="center"/>
      <protection locked="0"/>
    </xf>
    <xf numFmtId="0" fontId="38" fillId="0" borderId="66" xfId="75" applyFont="1" applyBorder="1" applyAlignment="1" applyProtection="1">
      <alignment horizontal="center" vertical="center"/>
      <protection locked="0"/>
    </xf>
    <xf numFmtId="0" fontId="24" fillId="0" borderId="0" xfId="75" applyFont="1" applyAlignment="1">
      <alignment vertical="center"/>
      <protection/>
    </xf>
    <xf numFmtId="0" fontId="32" fillId="0" borderId="0" xfId="75" applyFont="1" applyAlignment="1">
      <alignment horizontal="center" vertical="center" textRotation="90"/>
      <protection/>
    </xf>
    <xf numFmtId="0" fontId="24" fillId="0" borderId="67" xfId="75" applyFont="1" applyBorder="1" applyAlignment="1">
      <alignment vertical="center"/>
      <protection/>
    </xf>
    <xf numFmtId="0" fontId="24" fillId="0" borderId="68" xfId="75" applyFont="1" applyBorder="1" applyAlignment="1">
      <alignment vertical="center"/>
      <protection/>
    </xf>
    <xf numFmtId="0" fontId="24" fillId="0" borderId="69" xfId="75" applyFont="1" applyBorder="1" applyAlignment="1">
      <alignment vertical="center"/>
      <protection/>
    </xf>
    <xf numFmtId="0" fontId="24" fillId="0" borderId="70" xfId="75" applyFont="1" applyBorder="1" applyAlignment="1">
      <alignment vertical="center"/>
      <protection/>
    </xf>
    <xf numFmtId="0" fontId="24" fillId="0" borderId="71" xfId="75" applyFont="1" applyBorder="1" applyAlignment="1">
      <alignment vertical="center"/>
      <protection/>
    </xf>
    <xf numFmtId="0" fontId="24" fillId="0" borderId="72" xfId="75" applyFont="1" applyBorder="1" applyAlignment="1">
      <alignment vertical="center"/>
      <protection/>
    </xf>
    <xf numFmtId="0" fontId="24" fillId="0" borderId="73" xfId="75" applyFont="1" applyBorder="1" applyAlignment="1">
      <alignment vertical="center"/>
      <protection/>
    </xf>
    <xf numFmtId="0" fontId="17" fillId="0" borderId="74" xfId="67" applyFont="1" applyBorder="1" applyAlignment="1">
      <alignment horizontal="center" textRotation="90" wrapText="1"/>
      <protection/>
    </xf>
    <xf numFmtId="0" fontId="17" fillId="0" borderId="75" xfId="75" applyFont="1" applyBorder="1" applyAlignment="1">
      <alignment horizontal="center" textRotation="90" wrapText="1"/>
      <protection/>
    </xf>
    <xf numFmtId="0" fontId="17" fillId="0" borderId="76" xfId="75" applyFont="1" applyBorder="1" applyAlignment="1">
      <alignment horizontal="center" textRotation="90" wrapText="1"/>
      <protection/>
    </xf>
    <xf numFmtId="0" fontId="17" fillId="0" borderId="77" xfId="75" applyFont="1" applyBorder="1" applyAlignment="1">
      <alignment horizontal="center" textRotation="90" wrapText="1"/>
      <protection/>
    </xf>
    <xf numFmtId="0" fontId="22" fillId="0" borderId="78" xfId="75" applyFont="1" applyBorder="1" applyAlignment="1">
      <alignment horizontal="right" vertical="center" wrapText="1" indent="3"/>
      <protection/>
    </xf>
    <xf numFmtId="0" fontId="8" fillId="0" borderId="0" xfId="67" applyAlignment="1">
      <alignment vertical="center"/>
      <protection/>
    </xf>
    <xf numFmtId="0" fontId="106" fillId="0" borderId="0" xfId="67" applyFont="1" applyAlignment="1">
      <alignment vertical="center" textRotation="90"/>
      <protection/>
    </xf>
    <xf numFmtId="0" fontId="32" fillId="0" borderId="0" xfId="67" applyFont="1" applyAlignment="1">
      <alignment vertical="center"/>
      <protection/>
    </xf>
    <xf numFmtId="0" fontId="63" fillId="46" borderId="22" xfId="67" applyFont="1" applyFill="1" applyBorder="1" applyAlignment="1">
      <alignment horizontal="right" vertical="center"/>
      <protection/>
    </xf>
    <xf numFmtId="0" fontId="8" fillId="46" borderId="79" xfId="67" applyFill="1" applyBorder="1" applyAlignment="1">
      <alignment vertical="center"/>
      <protection/>
    </xf>
    <xf numFmtId="0" fontId="37" fillId="46" borderId="79" xfId="67" applyFont="1" applyFill="1" applyBorder="1" applyAlignment="1">
      <alignment vertical="center"/>
      <protection/>
    </xf>
    <xf numFmtId="0" fontId="53" fillId="46" borderId="79" xfId="67" applyFont="1" applyFill="1" applyBorder="1" applyAlignment="1">
      <alignment horizontal="right" vertical="center"/>
      <protection/>
    </xf>
    <xf numFmtId="0" fontId="22" fillId="46" borderId="79" xfId="67" applyFont="1" applyFill="1" applyBorder="1" applyAlignment="1">
      <alignment vertical="center"/>
      <protection/>
    </xf>
    <xf numFmtId="0" fontId="111" fillId="46" borderId="79" xfId="67" applyFont="1" applyFill="1" applyBorder="1" applyAlignment="1">
      <alignment vertical="center"/>
      <protection/>
    </xf>
    <xf numFmtId="0" fontId="53" fillId="46" borderId="80" xfId="67" applyFont="1" applyFill="1" applyBorder="1" applyAlignment="1">
      <alignment vertical="center"/>
      <protection/>
    </xf>
    <xf numFmtId="0" fontId="96" fillId="0" borderId="0" xfId="75" applyFont="1" applyAlignment="1">
      <alignment vertical="top"/>
      <protection/>
    </xf>
    <xf numFmtId="0" fontId="6" fillId="0" borderId="0" xfId="75" applyFont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112" fillId="0" borderId="0" xfId="0" applyFont="1" applyAlignment="1" applyProtection="1">
      <alignment horizontal="right"/>
      <protection locked="0"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24" fillId="0" borderId="0" xfId="64" applyFont="1" applyAlignment="1">
      <alignment vertical="center"/>
      <protection/>
    </xf>
    <xf numFmtId="0" fontId="108" fillId="0" borderId="0" xfId="75" applyFont="1" applyAlignment="1">
      <alignment horizontal="center" vertical="center" textRotation="90"/>
      <protection/>
    </xf>
    <xf numFmtId="0" fontId="33" fillId="0" borderId="0" xfId="75" applyFont="1" applyAlignment="1">
      <alignment vertical="center"/>
      <protection/>
    </xf>
    <xf numFmtId="0" fontId="21" fillId="0" borderId="0" xfId="75" applyFont="1" applyAlignment="1">
      <alignment horizontal="right" vertical="center"/>
      <protection/>
    </xf>
    <xf numFmtId="0" fontId="59" fillId="0" borderId="0" xfId="64" applyFont="1" applyAlignment="1">
      <alignment horizontal="right" vertical="center"/>
      <protection/>
    </xf>
    <xf numFmtId="0" fontId="15" fillId="0" borderId="0" xfId="64" applyFont="1" applyAlignment="1">
      <alignment horizontal="right" vertical="center"/>
      <protection/>
    </xf>
    <xf numFmtId="0" fontId="59" fillId="0" borderId="0" xfId="64" applyFont="1" applyAlignment="1">
      <alignment vertical="center"/>
      <protection/>
    </xf>
    <xf numFmtId="0" fontId="5" fillId="0" borderId="0" xfId="75" applyFont="1" applyAlignment="1">
      <alignment horizontal="right" vertical="center"/>
      <protection/>
    </xf>
    <xf numFmtId="0" fontId="8" fillId="0" borderId="0" xfId="75" applyAlignment="1">
      <alignment horizontal="centerContinuous" vertical="center"/>
      <protection/>
    </xf>
    <xf numFmtId="0" fontId="8" fillId="0" borderId="0" xfId="75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0" fontId="60" fillId="0" borderId="0" xfId="75" applyFont="1" applyAlignment="1">
      <alignment vertical="center"/>
      <protection/>
    </xf>
    <xf numFmtId="0" fontId="63" fillId="0" borderId="14" xfId="75" applyFont="1" applyBorder="1" applyAlignment="1" applyProtection="1">
      <alignment horizontal="center" vertical="center"/>
      <protection locked="0"/>
    </xf>
    <xf numFmtId="0" fontId="63" fillId="0" borderId="0" xfId="64" applyFont="1" applyAlignment="1">
      <alignment horizontal="right" vertical="center"/>
      <protection/>
    </xf>
    <xf numFmtId="0" fontId="20" fillId="0" borderId="0" xfId="64" applyFont="1" applyAlignment="1">
      <alignment vertical="center"/>
      <protection/>
    </xf>
    <xf numFmtId="0" fontId="8" fillId="0" borderId="0" xfId="65">
      <alignment/>
      <protection/>
    </xf>
    <xf numFmtId="0" fontId="63" fillId="0" borderId="81" xfId="75" applyFont="1" applyBorder="1" applyAlignment="1" applyProtection="1">
      <alignment horizontal="center" vertical="center"/>
      <protection locked="0"/>
    </xf>
    <xf numFmtId="0" fontId="37" fillId="0" borderId="0" xfId="75" applyFont="1" applyAlignment="1">
      <alignment horizontal="right" vertical="center"/>
      <protection/>
    </xf>
    <xf numFmtId="0" fontId="12" fillId="0" borderId="0" xfId="75" applyFont="1" applyAlignment="1">
      <alignment horizontal="right" vertical="top"/>
      <protection/>
    </xf>
    <xf numFmtId="0" fontId="9" fillId="0" borderId="0" xfId="64" applyFont="1">
      <alignment/>
      <protection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75" applyFont="1" applyAlignment="1">
      <alignment vertical="center"/>
      <protection/>
    </xf>
    <xf numFmtId="0" fontId="58" fillId="0" borderId="0" xfId="75" applyFont="1" applyAlignment="1">
      <alignment horizontal="right" vertical="center"/>
      <protection/>
    </xf>
    <xf numFmtId="1" fontId="7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2" fontId="113" fillId="0" borderId="0" xfId="0" applyNumberFormat="1" applyFont="1" applyAlignment="1">
      <alignment horizontal="centerContinuous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4" fillId="0" borderId="0" xfId="75" applyFont="1" applyAlignment="1">
      <alignment horizontal="center" vertical="center" textRotation="90"/>
      <protection/>
    </xf>
    <xf numFmtId="0" fontId="68" fillId="0" borderId="0" xfId="75" applyFont="1" applyAlignment="1">
      <alignment vertical="center"/>
      <protection/>
    </xf>
    <xf numFmtId="0" fontId="63" fillId="0" borderId="0" xfId="75" applyFont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11" fillId="0" borderId="0" xfId="75" applyFont="1" applyAlignment="1">
      <alignment vertical="center"/>
      <protection/>
    </xf>
    <xf numFmtId="0" fontId="52" fillId="0" borderId="0" xfId="75" applyFont="1" applyAlignment="1">
      <alignment horizontal="center" vertical="center" textRotation="90"/>
      <protection/>
    </xf>
    <xf numFmtId="0" fontId="116" fillId="0" borderId="0" xfId="75" applyFont="1" applyAlignment="1">
      <alignment vertical="center"/>
      <protection/>
    </xf>
    <xf numFmtId="0" fontId="117" fillId="0" borderId="0" xfId="75" applyFont="1" applyAlignment="1">
      <alignment horizontal="right" vertical="center"/>
      <protection/>
    </xf>
    <xf numFmtId="0" fontId="118" fillId="0" borderId="0" xfId="0" applyFont="1" applyAlignment="1">
      <alignment horizontal="right"/>
    </xf>
    <xf numFmtId="0" fontId="34" fillId="0" borderId="0" xfId="0" applyFont="1" applyAlignment="1">
      <alignment/>
    </xf>
    <xf numFmtId="0" fontId="119" fillId="0" borderId="0" xfId="0" applyFont="1" applyAlignment="1">
      <alignment/>
    </xf>
    <xf numFmtId="0" fontId="15" fillId="0" borderId="0" xfId="75" applyFont="1" applyAlignment="1" applyProtection="1">
      <alignment vertical="center"/>
      <protection locked="0"/>
    </xf>
    <xf numFmtId="0" fontId="8" fillId="0" borderId="0" xfId="75" applyAlignment="1" applyProtection="1">
      <alignment horizontal="right" vertical="center"/>
      <protection locked="0"/>
    </xf>
    <xf numFmtId="0" fontId="66" fillId="0" borderId="0" xfId="75" applyFont="1" applyAlignment="1">
      <alignment vertical="center"/>
      <protection/>
    </xf>
    <xf numFmtId="0" fontId="13" fillId="0" borderId="0" xfId="75" applyFont="1" applyAlignment="1">
      <alignment horizontal="left" vertical="center"/>
      <protection/>
    </xf>
    <xf numFmtId="14" fontId="105" fillId="0" borderId="60" xfId="75" applyNumberFormat="1" applyFont="1" applyBorder="1" applyAlignment="1">
      <alignment horizontal="centerContinuous" vertical="center"/>
      <protection/>
    </xf>
    <xf numFmtId="0" fontId="7" fillId="0" borderId="0" xfId="75" applyFont="1" applyAlignment="1">
      <alignment horizontal="left" vertical="center"/>
      <protection/>
    </xf>
    <xf numFmtId="0" fontId="63" fillId="0" borderId="60" xfId="75" applyFont="1" applyBorder="1" applyAlignment="1">
      <alignment horizontal="centerContinuous" vertical="center"/>
      <protection/>
    </xf>
    <xf numFmtId="0" fontId="15" fillId="0" borderId="0" xfId="75" applyFont="1" applyAlignment="1">
      <alignment horizontal="center" vertical="top"/>
      <protection/>
    </xf>
    <xf numFmtId="0" fontId="15" fillId="0" borderId="0" xfId="75" applyFont="1" applyAlignment="1">
      <alignment vertical="top"/>
      <protection/>
    </xf>
    <xf numFmtId="0" fontId="121" fillId="0" borderId="0" xfId="75" applyFont="1" applyAlignment="1">
      <alignment horizontal="center" vertical="center" textRotation="90"/>
      <protection/>
    </xf>
    <xf numFmtId="0" fontId="8" fillId="0" borderId="82" xfId="75" applyBorder="1" applyAlignment="1" applyProtection="1">
      <alignment horizontal="center" vertical="center"/>
      <protection locked="0"/>
    </xf>
    <xf numFmtId="0" fontId="8" fillId="0" borderId="83" xfId="75" applyBorder="1" applyAlignment="1" applyProtection="1">
      <alignment horizontal="center" vertical="center"/>
      <protection locked="0"/>
    </xf>
    <xf numFmtId="0" fontId="8" fillId="0" borderId="84" xfId="75" applyBorder="1" applyAlignment="1" applyProtection="1">
      <alignment horizontal="center" vertical="center"/>
      <protection locked="0"/>
    </xf>
    <xf numFmtId="0" fontId="10" fillId="0" borderId="36" xfId="75" applyFont="1" applyBorder="1" applyAlignment="1">
      <alignment horizontal="center" vertical="center"/>
      <protection/>
    </xf>
    <xf numFmtId="0" fontId="8" fillId="0" borderId="85" xfId="75" applyBorder="1" applyAlignment="1" applyProtection="1">
      <alignment horizontal="center" vertical="center"/>
      <protection locked="0"/>
    </xf>
    <xf numFmtId="0" fontId="8" fillId="0" borderId="86" xfId="75" applyBorder="1" applyAlignment="1" applyProtection="1">
      <alignment horizontal="center" vertical="center"/>
      <protection locked="0"/>
    </xf>
    <xf numFmtId="0" fontId="65" fillId="0" borderId="36" xfId="75" applyFont="1" applyBorder="1" applyAlignment="1">
      <alignment horizontal="left" vertical="center" textRotation="90"/>
      <protection/>
    </xf>
    <xf numFmtId="0" fontId="8" fillId="0" borderId="61" xfId="75" applyBorder="1" applyAlignment="1" applyProtection="1">
      <alignment horizontal="center" vertical="center"/>
      <protection locked="0"/>
    </xf>
    <xf numFmtId="0" fontId="8" fillId="0" borderId="87" xfId="75" applyBorder="1" applyAlignment="1" applyProtection="1">
      <alignment horizontal="center" vertical="center"/>
      <protection locked="0"/>
    </xf>
    <xf numFmtId="0" fontId="38" fillId="0" borderId="88" xfId="75" applyFont="1" applyBorder="1" applyAlignment="1" applyProtection="1">
      <alignment horizontal="center" vertical="center"/>
      <protection locked="0"/>
    </xf>
    <xf numFmtId="0" fontId="10" fillId="0" borderId="61" xfId="75" applyFont="1" applyBorder="1" applyAlignment="1">
      <alignment horizontal="right" vertical="center"/>
      <protection/>
    </xf>
    <xf numFmtId="0" fontId="6" fillId="0" borderId="89" xfId="75" applyFont="1" applyBorder="1" applyAlignment="1" applyProtection="1">
      <alignment horizontal="left" vertical="center" indent="1"/>
      <protection locked="0"/>
    </xf>
    <xf numFmtId="0" fontId="8" fillId="0" borderId="90" xfId="75" applyBorder="1" applyAlignment="1" applyProtection="1">
      <alignment horizontal="center" vertical="center"/>
      <protection locked="0"/>
    </xf>
    <xf numFmtId="0" fontId="8" fillId="0" borderId="91" xfId="75" applyBorder="1" applyAlignment="1" applyProtection="1">
      <alignment horizontal="center" vertical="center"/>
      <protection locked="0"/>
    </xf>
    <xf numFmtId="0" fontId="8" fillId="0" borderId="65" xfId="75" applyBorder="1" applyAlignment="1" applyProtection="1">
      <alignment horizontal="center" vertical="center"/>
      <protection locked="0"/>
    </xf>
    <xf numFmtId="0" fontId="8" fillId="0" borderId="60" xfId="75" applyBorder="1" applyAlignment="1" applyProtection="1">
      <alignment horizontal="center" vertical="center"/>
      <protection locked="0"/>
    </xf>
    <xf numFmtId="0" fontId="8" fillId="0" borderId="66" xfId="75" applyBorder="1" applyAlignment="1" applyProtection="1">
      <alignment horizontal="center" vertical="center"/>
      <protection locked="0"/>
    </xf>
    <xf numFmtId="0" fontId="8" fillId="0" borderId="92" xfId="75" applyBorder="1" applyAlignment="1" applyProtection="1">
      <alignment horizontal="center" vertical="center"/>
      <protection locked="0"/>
    </xf>
    <xf numFmtId="0" fontId="38" fillId="0" borderId="91" xfId="75" applyFont="1" applyBorder="1" applyAlignment="1" applyProtection="1">
      <alignment horizontal="center" vertical="center"/>
      <protection locked="0"/>
    </xf>
    <xf numFmtId="0" fontId="10" fillId="0" borderId="90" xfId="75" applyFont="1" applyBorder="1" applyAlignment="1">
      <alignment horizontal="right" vertical="center"/>
      <protection/>
    </xf>
    <xf numFmtId="0" fontId="6" fillId="0" borderId="93" xfId="75" applyFont="1" applyBorder="1" applyAlignment="1" applyProtection="1">
      <alignment horizontal="left" vertical="center" indent="1"/>
      <protection locked="0"/>
    </xf>
    <xf numFmtId="0" fontId="6" fillId="0" borderId="94" xfId="75" applyFont="1" applyBorder="1" applyAlignment="1" applyProtection="1">
      <alignment horizontal="left" vertical="center" indent="1"/>
      <protection locked="0"/>
    </xf>
    <xf numFmtId="0" fontId="8" fillId="0" borderId="95" xfId="75" applyBorder="1" applyAlignment="1" applyProtection="1">
      <alignment horizontal="center" vertical="center"/>
      <protection locked="0"/>
    </xf>
    <xf numFmtId="0" fontId="8" fillId="0" borderId="36" xfId="75" applyBorder="1" applyAlignment="1">
      <alignment horizontal="center" vertical="center"/>
      <protection/>
    </xf>
    <xf numFmtId="0" fontId="8" fillId="0" borderId="96" xfId="67" applyBorder="1" applyAlignment="1" applyProtection="1">
      <alignment horizontal="left" vertical="center"/>
      <protection locked="0"/>
    </xf>
    <xf numFmtId="0" fontId="8" fillId="0" borderId="97" xfId="67" applyBorder="1" applyAlignment="1">
      <alignment horizontal="left" vertical="center"/>
      <protection/>
    </xf>
    <xf numFmtId="0" fontId="38" fillId="0" borderId="97" xfId="75" applyFont="1" applyBorder="1" applyAlignment="1">
      <alignment horizontal="center" vertical="center"/>
      <protection/>
    </xf>
    <xf numFmtId="0" fontId="8" fillId="0" borderId="98" xfId="75" applyBorder="1" applyAlignment="1">
      <alignment horizontal="left" vertical="center" indent="1"/>
      <protection/>
    </xf>
    <xf numFmtId="0" fontId="10" fillId="0" borderId="99" xfId="75" applyFont="1" applyBorder="1" applyAlignment="1">
      <alignment horizontal="right" vertical="center"/>
      <protection/>
    </xf>
    <xf numFmtId="0" fontId="6" fillId="0" borderId="100" xfId="75" applyFont="1" applyBorder="1" applyAlignment="1" applyProtection="1">
      <alignment horizontal="centerContinuous" vertical="center"/>
      <protection locked="0"/>
    </xf>
    <xf numFmtId="0" fontId="24" fillId="0" borderId="101" xfId="75" applyFont="1" applyBorder="1" applyAlignment="1">
      <alignment vertical="center"/>
      <protection/>
    </xf>
    <xf numFmtId="0" fontId="24" fillId="0" borderId="36" xfId="75" applyFont="1" applyBorder="1" applyAlignment="1">
      <alignment vertical="center"/>
      <protection/>
    </xf>
    <xf numFmtId="0" fontId="24" fillId="0" borderId="36" xfId="75" applyFont="1" applyBorder="1" applyAlignment="1">
      <alignment horizontal="left" vertical="center"/>
      <protection/>
    </xf>
    <xf numFmtId="0" fontId="24" fillId="47" borderId="67" xfId="75" applyFont="1" applyFill="1" applyBorder="1" applyAlignment="1">
      <alignment vertical="center"/>
      <protection/>
    </xf>
    <xf numFmtId="0" fontId="24" fillId="47" borderId="73" xfId="75" applyFont="1" applyFill="1" applyBorder="1" applyAlignment="1">
      <alignment vertical="center"/>
      <protection/>
    </xf>
    <xf numFmtId="0" fontId="17" fillId="0" borderId="36" xfId="75" applyFont="1" applyBorder="1" applyAlignment="1">
      <alignment horizontal="center" wrapText="1"/>
      <protection/>
    </xf>
    <xf numFmtId="0" fontId="5" fillId="0" borderId="102" xfId="75" applyFont="1" applyBorder="1" applyAlignment="1">
      <alignment horizontal="center" wrapText="1"/>
      <protection/>
    </xf>
    <xf numFmtId="0" fontId="13" fillId="0" borderId="36" xfId="75" applyFont="1" applyBorder="1" applyAlignment="1">
      <alignment horizontal="center" textRotation="90" wrapText="1"/>
      <protection/>
    </xf>
    <xf numFmtId="0" fontId="17" fillId="0" borderId="0" xfId="75" applyFont="1" applyAlignment="1">
      <alignment horizontal="center" textRotation="90" wrapText="1"/>
      <protection/>
    </xf>
    <xf numFmtId="0" fontId="17" fillId="0" borderId="103" xfId="75" applyFont="1" applyBorder="1" applyAlignment="1">
      <alignment horizontal="center" textRotation="90" wrapText="1"/>
      <protection/>
    </xf>
    <xf numFmtId="0" fontId="8" fillId="0" borderId="36" xfId="75" applyBorder="1" applyAlignment="1">
      <alignment horizontal="left"/>
      <protection/>
    </xf>
    <xf numFmtId="0" fontId="38" fillId="0" borderId="0" xfId="75" applyFont="1" applyAlignment="1">
      <alignment horizontal="center" textRotation="90" wrapText="1"/>
      <protection/>
    </xf>
    <xf numFmtId="0" fontId="38" fillId="0" borderId="36" xfId="75" applyFont="1" applyBorder="1" applyAlignment="1">
      <alignment horizontal="right" textRotation="90" wrapText="1"/>
      <protection/>
    </xf>
    <xf numFmtId="0" fontId="5" fillId="0" borderId="102" xfId="75" applyFont="1" applyBorder="1" applyAlignment="1">
      <alignment horizontal="center" textRotation="90" wrapText="1"/>
      <protection/>
    </xf>
    <xf numFmtId="0" fontId="8" fillId="47" borderId="36" xfId="75" applyFill="1" applyBorder="1" applyAlignment="1">
      <alignment horizontal="left"/>
      <protection/>
    </xf>
    <xf numFmtId="0" fontId="22" fillId="47" borderId="64" xfId="75" applyFont="1" applyFill="1" applyBorder="1" applyAlignment="1">
      <alignment horizontal="right" vertical="center" wrapText="1" indent="2"/>
      <protection/>
    </xf>
    <xf numFmtId="0" fontId="8" fillId="0" borderId="104" xfId="75" applyBorder="1" applyAlignment="1">
      <alignment horizontal="centerContinuous" vertical="center"/>
      <protection/>
    </xf>
    <xf numFmtId="0" fontId="5" fillId="0" borderId="105" xfId="75" applyFont="1" applyBorder="1" applyAlignment="1">
      <alignment horizontal="centerContinuous" vertical="center" wrapText="1"/>
      <protection/>
    </xf>
    <xf numFmtId="0" fontId="8" fillId="0" borderId="106" xfId="75" applyBorder="1" applyAlignment="1">
      <alignment horizontal="right" vertical="center" wrapText="1"/>
      <protection/>
    </xf>
    <xf numFmtId="0" fontId="8" fillId="0" borderId="107" xfId="75" applyBorder="1" applyAlignment="1">
      <alignment horizontal="centerContinuous" vertical="center" wrapText="1"/>
      <protection/>
    </xf>
    <xf numFmtId="0" fontId="8" fillId="0" borderId="108" xfId="75" applyBorder="1" applyAlignment="1">
      <alignment horizontal="centerContinuous" vertical="center" wrapText="1"/>
      <protection/>
    </xf>
    <xf numFmtId="0" fontId="5" fillId="0" borderId="109" xfId="75" applyFont="1" applyBorder="1" applyAlignment="1">
      <alignment horizontal="centerContinuous" vertical="top" wrapText="1"/>
      <protection/>
    </xf>
    <xf numFmtId="0" fontId="8" fillId="0" borderId="62" xfId="75" applyBorder="1" applyAlignment="1">
      <alignment horizontal="centerContinuous" vertical="center" wrapText="1"/>
      <protection/>
    </xf>
    <xf numFmtId="0" fontId="109" fillId="0" borderId="62" xfId="75" applyFont="1" applyBorder="1" applyAlignment="1">
      <alignment horizontal="right" vertical="top"/>
      <protection/>
    </xf>
    <xf numFmtId="0" fontId="8" fillId="0" borderId="0" xfId="75" applyAlignment="1">
      <alignment vertical="top"/>
      <protection/>
    </xf>
    <xf numFmtId="0" fontId="32" fillId="0" borderId="0" xfId="75" applyFont="1" applyAlignment="1">
      <alignment vertical="top"/>
      <protection/>
    </xf>
    <xf numFmtId="0" fontId="27" fillId="0" borderId="0" xfId="75" applyFont="1" applyAlignment="1">
      <alignment horizontal="center" vertical="top"/>
      <protection/>
    </xf>
    <xf numFmtId="0" fontId="9" fillId="0" borderId="0" xfId="75" applyFont="1" applyAlignment="1">
      <alignment horizontal="centerContinuous" vertical="top"/>
      <protection/>
    </xf>
    <xf numFmtId="0" fontId="16" fillId="0" borderId="0" xfId="75" applyFont="1" applyAlignment="1">
      <alignment horizontal="center" vertical="top"/>
      <protection/>
    </xf>
    <xf numFmtId="0" fontId="117" fillId="0" borderId="0" xfId="75" applyFont="1" applyAlignment="1">
      <alignment horizontal="right" vertical="top"/>
      <protection/>
    </xf>
    <xf numFmtId="0" fontId="11" fillId="0" borderId="0" xfId="75" applyFont="1">
      <alignment/>
      <protection/>
    </xf>
    <xf numFmtId="0" fontId="8" fillId="0" borderId="0" xfId="75" applyAlignment="1">
      <alignment horizontal="left"/>
      <protection/>
    </xf>
    <xf numFmtId="0" fontId="27" fillId="0" borderId="0" xfId="75" applyFont="1" applyAlignment="1">
      <alignment horizontal="center"/>
      <protection/>
    </xf>
    <xf numFmtId="0" fontId="62" fillId="0" borderId="0" xfId="75" applyFont="1" applyAlignment="1">
      <alignment vertical="center"/>
      <protection/>
    </xf>
    <xf numFmtId="0" fontId="64" fillId="0" borderId="0" xfId="75" applyFont="1" applyAlignment="1" applyProtection="1">
      <alignment horizontal="left" vertical="top"/>
      <protection locked="0"/>
    </xf>
    <xf numFmtId="0" fontId="5" fillId="0" borderId="0" xfId="68">
      <alignment/>
      <protection/>
    </xf>
    <xf numFmtId="0" fontId="5" fillId="0" borderId="0" xfId="68" applyProtection="1">
      <alignment/>
      <protection locked="0"/>
    </xf>
    <xf numFmtId="0" fontId="5" fillId="0" borderId="0" xfId="68" applyFont="1">
      <alignment/>
      <protection/>
    </xf>
    <xf numFmtId="0" fontId="5" fillId="36" borderId="0" xfId="68" applyFont="1" applyFill="1">
      <alignment/>
      <protection/>
    </xf>
    <xf numFmtId="0" fontId="5" fillId="36" borderId="0" xfId="68" applyFont="1" applyFill="1" applyProtection="1">
      <alignment/>
      <protection locked="0"/>
    </xf>
    <xf numFmtId="0" fontId="8" fillId="36" borderId="0" xfId="68" applyFont="1" applyFill="1">
      <alignment/>
      <protection/>
    </xf>
    <xf numFmtId="0" fontId="34" fillId="36" borderId="0" xfId="68" applyFont="1" applyFill="1" applyAlignment="1">
      <alignment horizontal="right"/>
      <protection/>
    </xf>
    <xf numFmtId="0" fontId="21" fillId="36" borderId="0" xfId="68" applyFont="1" applyFill="1" applyAlignment="1">
      <alignment horizontal="left"/>
      <protection/>
    </xf>
    <xf numFmtId="0" fontId="8" fillId="36" borderId="0" xfId="68" applyFont="1" applyFill="1" applyAlignment="1">
      <alignment horizontal="left" indent="1"/>
      <protection/>
    </xf>
    <xf numFmtId="0" fontId="8" fillId="0" borderId="0" xfId="66">
      <alignment/>
      <protection/>
    </xf>
    <xf numFmtId="0" fontId="8" fillId="38" borderId="0" xfId="66" applyFill="1">
      <alignment/>
      <protection/>
    </xf>
    <xf numFmtId="0" fontId="5" fillId="34" borderId="0" xfId="66" applyFont="1" applyFill="1">
      <alignment/>
      <protection/>
    </xf>
    <xf numFmtId="0" fontId="5" fillId="36" borderId="0" xfId="66" applyFont="1" applyFill="1">
      <alignment/>
      <protection/>
    </xf>
    <xf numFmtId="0" fontId="7" fillId="36" borderId="0" xfId="66" applyFont="1" applyFill="1">
      <alignment/>
      <protection/>
    </xf>
    <xf numFmtId="0" fontId="8" fillId="36" borderId="0" xfId="68" applyFont="1" applyFill="1" applyAlignment="1">
      <alignment horizontal="right"/>
      <protection/>
    </xf>
    <xf numFmtId="0" fontId="6" fillId="36" borderId="0" xfId="68" applyFont="1" applyFill="1">
      <alignment/>
      <protection/>
    </xf>
    <xf numFmtId="0" fontId="6" fillId="36" borderId="0" xfId="68" applyFont="1" applyFill="1" applyAlignment="1">
      <alignment horizontal="left" indent="1"/>
      <protection/>
    </xf>
    <xf numFmtId="0" fontId="5" fillId="36" borderId="0" xfId="66" applyFont="1" applyFill="1" applyAlignment="1">
      <alignment horizontal="left" indent="1"/>
      <protection/>
    </xf>
    <xf numFmtId="0" fontId="8" fillId="36" borderId="0" xfId="66" applyFill="1">
      <alignment/>
      <protection/>
    </xf>
    <xf numFmtId="0" fontId="8" fillId="36" borderId="0" xfId="66" applyFont="1" applyFill="1">
      <alignment/>
      <protection/>
    </xf>
    <xf numFmtId="0" fontId="123" fillId="36" borderId="0" xfId="0" applyFont="1" applyFill="1" applyAlignment="1">
      <alignment/>
    </xf>
    <xf numFmtId="0" fontId="6" fillId="36" borderId="0" xfId="66" applyFont="1" applyFill="1">
      <alignment/>
      <protection/>
    </xf>
    <xf numFmtId="0" fontId="124" fillId="36" borderId="0" xfId="68" applyFont="1" applyFill="1">
      <alignment/>
      <protection/>
    </xf>
    <xf numFmtId="0" fontId="6" fillId="36" borderId="0" xfId="66" applyFont="1" applyFill="1" applyAlignment="1">
      <alignment horizontal="left" indent="1"/>
      <protection/>
    </xf>
    <xf numFmtId="0" fontId="5" fillId="0" borderId="0" xfId="66" applyFont="1">
      <alignment/>
      <protection/>
    </xf>
    <xf numFmtId="0" fontId="5" fillId="38" borderId="0" xfId="66" applyFont="1" applyFill="1">
      <alignment/>
      <protection/>
    </xf>
    <xf numFmtId="0" fontId="5" fillId="0" borderId="0" xfId="66" applyFont="1">
      <alignment/>
      <protection/>
    </xf>
    <xf numFmtId="0" fontId="5" fillId="38" borderId="0" xfId="66" applyFont="1" applyFill="1">
      <alignment/>
      <protection/>
    </xf>
    <xf numFmtId="0" fontId="9" fillId="38" borderId="0" xfId="66" applyFont="1" applyFill="1" applyProtection="1">
      <alignment/>
      <protection locked="0"/>
    </xf>
    <xf numFmtId="0" fontId="63" fillId="38" borderId="0" xfId="0" applyFont="1" applyFill="1" applyAlignment="1">
      <alignment horizontal="right"/>
    </xf>
    <xf numFmtId="0" fontId="5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112" fillId="38" borderId="0" xfId="0" applyFont="1" applyFill="1" applyAlignment="1">
      <alignment horizontal="right"/>
    </xf>
    <xf numFmtId="0" fontId="63" fillId="38" borderId="0" xfId="0" applyFont="1" applyFill="1" applyAlignment="1">
      <alignment horizontal="left" indent="2"/>
    </xf>
    <xf numFmtId="0" fontId="63" fillId="38" borderId="0" xfId="0" applyFont="1" applyFill="1" applyAlignment="1">
      <alignment horizontal="left"/>
    </xf>
    <xf numFmtId="0" fontId="8" fillId="38" borderId="0" xfId="68" applyFont="1" applyFill="1">
      <alignment/>
      <protection/>
    </xf>
    <xf numFmtId="0" fontId="6" fillId="38" borderId="0" xfId="66" applyFont="1" applyFill="1" applyAlignment="1">
      <alignment horizontal="left" indent="1"/>
      <protection/>
    </xf>
    <xf numFmtId="0" fontId="7" fillId="38" borderId="0" xfId="66" applyFont="1" applyFill="1">
      <alignment/>
      <protection/>
    </xf>
    <xf numFmtId="0" fontId="8" fillId="38" borderId="0" xfId="66" applyFont="1" applyFill="1">
      <alignment/>
      <protection/>
    </xf>
    <xf numFmtId="0" fontId="5" fillId="38" borderId="0" xfId="66" applyFont="1" applyFill="1" applyAlignment="1">
      <alignment horizontal="left" indent="1"/>
      <protection/>
    </xf>
    <xf numFmtId="0" fontId="125" fillId="38" borderId="0" xfId="66" applyFont="1" applyFill="1" applyAlignment="1">
      <alignment horizontal="left" indent="1"/>
      <protection/>
    </xf>
    <xf numFmtId="0" fontId="5" fillId="34" borderId="0" xfId="68" applyFont="1" applyFill="1">
      <alignment/>
      <protection/>
    </xf>
    <xf numFmtId="0" fontId="9" fillId="34" borderId="0" xfId="68" applyFont="1" applyFill="1">
      <alignment/>
      <protection/>
    </xf>
    <xf numFmtId="0" fontId="126" fillId="34" borderId="0" xfId="68" applyFont="1" applyFill="1" applyAlignment="1">
      <alignment horizontal="left" indent="1"/>
      <protection/>
    </xf>
    <xf numFmtId="0" fontId="9" fillId="34" borderId="0" xfId="68" applyFont="1" applyFill="1" applyProtection="1">
      <alignment/>
      <protection locked="0"/>
    </xf>
    <xf numFmtId="0" fontId="134" fillId="48" borderId="29" xfId="72" applyFont="1" applyFill="1" applyBorder="1" applyAlignment="1" applyProtection="1">
      <alignment horizontal="left" vertical="center"/>
      <protection locked="0"/>
    </xf>
    <xf numFmtId="0" fontId="5" fillId="49" borderId="0" xfId="68" applyFont="1" applyFill="1">
      <alignment/>
      <protection/>
    </xf>
    <xf numFmtId="0" fontId="28" fillId="49" borderId="0" xfId="68" applyFont="1" applyFill="1">
      <alignment/>
      <protection/>
    </xf>
    <xf numFmtId="0" fontId="9" fillId="43" borderId="0" xfId="68" applyFont="1" applyFill="1">
      <alignment/>
      <protection/>
    </xf>
    <xf numFmtId="0" fontId="5" fillId="43" borderId="0" xfId="68" applyFill="1">
      <alignment/>
      <protection/>
    </xf>
    <xf numFmtId="0" fontId="5" fillId="43" borderId="0" xfId="68" applyFill="1" applyProtection="1">
      <alignment/>
      <protection locked="0"/>
    </xf>
    <xf numFmtId="0" fontId="5" fillId="43" borderId="0" xfId="68" applyFill="1">
      <alignment/>
      <protection/>
    </xf>
    <xf numFmtId="0" fontId="128" fillId="43" borderId="0" xfId="66" applyFont="1" applyFill="1" applyAlignment="1">
      <alignment horizontal="center"/>
      <protection/>
    </xf>
    <xf numFmtId="0" fontId="9" fillId="43" borderId="0" xfId="68" applyFont="1" applyFill="1" applyAlignment="1">
      <alignment horizontal="left" indent="1"/>
      <protection/>
    </xf>
    <xf numFmtId="0" fontId="5" fillId="43" borderId="0" xfId="68" applyFont="1" applyFill="1">
      <alignment/>
      <protection/>
    </xf>
    <xf numFmtId="0" fontId="129" fillId="43" borderId="0" xfId="66" applyFont="1" applyFill="1" applyAlignment="1">
      <alignment horizontal="center" vertical="top"/>
      <protection/>
    </xf>
    <xf numFmtId="0" fontId="11" fillId="43" borderId="0" xfId="68" applyFont="1" applyFill="1">
      <alignment/>
      <protection/>
    </xf>
    <xf numFmtId="0" fontId="135" fillId="38" borderId="29" xfId="72" applyFont="1" applyFill="1" applyBorder="1" applyAlignment="1">
      <alignment horizontal="right" vertical="top" indent="2"/>
      <protection/>
    </xf>
    <xf numFmtId="0" fontId="67" fillId="38" borderId="29" xfId="72" applyFont="1" applyFill="1" applyBorder="1" applyAlignment="1">
      <alignment horizontal="right" vertical="top" indent="2"/>
      <protection/>
    </xf>
    <xf numFmtId="0" fontId="133" fillId="38" borderId="29" xfId="72" applyFont="1" applyFill="1" applyBorder="1" applyAlignment="1">
      <alignment horizontal="right" vertical="center" indent="1"/>
      <protection/>
    </xf>
    <xf numFmtId="0" fontId="5" fillId="38" borderId="29" xfId="72" applyFont="1" applyFill="1" applyBorder="1" applyAlignment="1">
      <alignment horizontal="right"/>
      <protection/>
    </xf>
    <xf numFmtId="0" fontId="115" fillId="0" borderId="0" xfId="0" applyFont="1" applyAlignment="1">
      <alignment/>
    </xf>
    <xf numFmtId="0" fontId="239" fillId="0" borderId="0" xfId="0" applyFont="1" applyAlignment="1">
      <alignment/>
    </xf>
    <xf numFmtId="0" fontId="40" fillId="0" borderId="0" xfId="74" applyFont="1">
      <alignment/>
      <protection/>
    </xf>
    <xf numFmtId="0" fontId="240" fillId="0" borderId="0" xfId="74" applyFont="1" applyAlignment="1">
      <alignment horizontal="left" indent="2"/>
      <protection/>
    </xf>
    <xf numFmtId="0" fontId="240" fillId="0" borderId="0" xfId="74" applyFont="1">
      <alignment/>
      <protection/>
    </xf>
    <xf numFmtId="0" fontId="241" fillId="0" borderId="0" xfId="74" applyFont="1" applyAlignment="1">
      <alignment horizontal="right"/>
      <protection/>
    </xf>
    <xf numFmtId="0" fontId="83" fillId="43" borderId="0" xfId="74" applyFont="1" applyFill="1">
      <alignment/>
      <protection/>
    </xf>
    <xf numFmtId="0" fontId="15" fillId="43" borderId="0" xfId="74" applyFont="1" applyFill="1">
      <alignment/>
      <protection/>
    </xf>
    <xf numFmtId="0" fontId="5" fillId="0" borderId="60" xfId="75" applyFont="1" applyBorder="1" applyAlignment="1">
      <alignment vertical="center"/>
      <protection/>
    </xf>
    <xf numFmtId="0" fontId="5" fillId="0" borderId="0" xfId="75" applyFont="1" applyAlignment="1">
      <alignment vertical="center"/>
      <protection/>
    </xf>
    <xf numFmtId="0" fontId="5" fillId="0" borderId="0" xfId="64" applyFont="1">
      <alignment/>
      <protection/>
    </xf>
    <xf numFmtId="0" fontId="5" fillId="0" borderId="60" xfId="75" applyFont="1" applyBorder="1" applyAlignment="1">
      <alignment horizontal="centerContinuous" vertical="center"/>
      <protection/>
    </xf>
    <xf numFmtId="0" fontId="67" fillId="0" borderId="0" xfId="75" applyFont="1" applyAlignment="1">
      <alignment vertical="center"/>
      <protection/>
    </xf>
    <xf numFmtId="0" fontId="136" fillId="0" borderId="0" xfId="75" applyFont="1" applyAlignment="1">
      <alignment horizontal="center" vertical="center" textRotation="90"/>
      <protection/>
    </xf>
    <xf numFmtId="0" fontId="9" fillId="0" borderId="0" xfId="75" applyFont="1">
      <alignment/>
      <protection/>
    </xf>
    <xf numFmtId="0" fontId="66" fillId="0" borderId="0" xfId="0" applyFont="1" applyAlignment="1">
      <alignment horizontal="center" vertical="top"/>
    </xf>
    <xf numFmtId="0" fontId="69" fillId="50" borderId="0" xfId="0" applyFont="1" applyFill="1" applyAlignment="1">
      <alignment horizontal="center" vertical="center"/>
    </xf>
    <xf numFmtId="0" fontId="69" fillId="41" borderId="0" xfId="0" applyFont="1" applyFill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75" fillId="0" borderId="0" xfId="0" applyFont="1" applyAlignment="1">
      <alignment horizontal="right"/>
    </xf>
    <xf numFmtId="0" fontId="20" fillId="0" borderId="0" xfId="74" applyFont="1" applyAlignment="1">
      <alignment horizontal="right"/>
      <protection/>
    </xf>
    <xf numFmtId="0" fontId="17" fillId="0" borderId="0" xfId="74" applyFont="1" applyAlignment="1">
      <alignment horizontal="right"/>
      <protection/>
    </xf>
    <xf numFmtId="0" fontId="8" fillId="4" borderId="0" xfId="58" applyFill="1" applyAlignment="1">
      <alignment vertical="top"/>
      <protection/>
    </xf>
    <xf numFmtId="0" fontId="5" fillId="4" borderId="0" xfId="58" applyFont="1" applyFill="1">
      <alignment/>
      <protection/>
    </xf>
    <xf numFmtId="0" fontId="8" fillId="4" borderId="0" xfId="58" applyFill="1" applyAlignment="1">
      <alignment horizontal="right" vertical="top"/>
      <protection/>
    </xf>
    <xf numFmtId="0" fontId="21" fillId="4" borderId="0" xfId="58" applyFont="1" applyFill="1" applyAlignment="1">
      <alignment horizontal="right"/>
      <protection/>
    </xf>
    <xf numFmtId="0" fontId="237" fillId="45" borderId="56" xfId="58" applyFont="1" applyFill="1" applyBorder="1" applyAlignment="1" applyProtection="1">
      <alignment horizontal="center" vertical="center"/>
      <protection hidden="1" locked="0"/>
    </xf>
    <xf numFmtId="0" fontId="232" fillId="30" borderId="14" xfId="58" applyFont="1" applyFill="1" applyBorder="1" applyAlignment="1" applyProtection="1">
      <alignment horizontal="center" vertical="center"/>
      <protection locked="0"/>
    </xf>
    <xf numFmtId="0" fontId="242" fillId="0" borderId="110" xfId="58" applyFont="1" applyBorder="1" applyAlignment="1">
      <alignment horizontal="center" vertical="center"/>
      <protection/>
    </xf>
    <xf numFmtId="0" fontId="242" fillId="4" borderId="111" xfId="58" applyFont="1" applyFill="1" applyBorder="1" applyAlignment="1">
      <alignment horizontal="center" vertical="center"/>
      <protection/>
    </xf>
    <xf numFmtId="0" fontId="32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38" fillId="0" borderId="64" xfId="63" applyFont="1" applyBorder="1" applyAlignment="1" applyProtection="1">
      <alignment horizontal="center"/>
      <protection hidden="1" locked="0"/>
    </xf>
    <xf numFmtId="0" fontId="38" fillId="0" borderId="112" xfId="63" applyFont="1" applyBorder="1" applyAlignment="1" applyProtection="1">
      <alignment horizontal="center"/>
      <protection hidden="1" locked="0"/>
    </xf>
    <xf numFmtId="0" fontId="65" fillId="0" borderId="0" xfId="0" applyFont="1" applyAlignment="1">
      <alignment horizontal="left" vertical="top" indent="1"/>
    </xf>
    <xf numFmtId="0" fontId="15" fillId="0" borderId="0" xfId="0" applyFont="1" applyAlignment="1">
      <alignment horizontal="left" vertical="top" indent="1"/>
    </xf>
    <xf numFmtId="0" fontId="15" fillId="0" borderId="0" xfId="0" applyFont="1" applyAlignment="1">
      <alignment vertical="top"/>
    </xf>
    <xf numFmtId="0" fontId="65" fillId="0" borderId="0" xfId="0" applyFont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3" fillId="0" borderId="48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1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43" fillId="0" borderId="0" xfId="0" applyFont="1" applyAlignment="1">
      <alignment/>
    </xf>
    <xf numFmtId="0" fontId="24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114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right" vertical="center"/>
    </xf>
    <xf numFmtId="0" fontId="8" fillId="0" borderId="0" xfId="71" applyFont="1">
      <alignment/>
      <protection/>
    </xf>
    <xf numFmtId="0" fontId="9" fillId="0" borderId="0" xfId="71" applyFont="1" applyAlignment="1" quotePrefix="1">
      <alignment horizontal="right"/>
      <protection/>
    </xf>
    <xf numFmtId="0" fontId="8" fillId="34" borderId="0" xfId="71" applyFont="1" applyFill="1">
      <alignment/>
      <protection/>
    </xf>
    <xf numFmtId="0" fontId="5" fillId="0" borderId="80" xfId="0" applyFont="1" applyBorder="1" applyAlignment="1">
      <alignment/>
    </xf>
    <xf numFmtId="0" fontId="5" fillId="0" borderId="22" xfId="0" applyFont="1" applyBorder="1" applyAlignment="1">
      <alignment/>
    </xf>
    <xf numFmtId="0" fontId="8" fillId="51" borderId="115" xfId="0" applyFont="1" applyFill="1" applyBorder="1" applyAlignment="1">
      <alignment/>
    </xf>
    <xf numFmtId="0" fontId="30" fillId="0" borderId="0" xfId="0" applyFont="1" applyAlignment="1">
      <alignment vertical="center" wrapText="1"/>
    </xf>
    <xf numFmtId="0" fontId="233" fillId="0" borderId="0" xfId="0" applyFont="1" applyAlignment="1">
      <alignment/>
    </xf>
    <xf numFmtId="0" fontId="6" fillId="34" borderId="0" xfId="0" applyFont="1" applyFill="1" applyAlignment="1">
      <alignment/>
    </xf>
    <xf numFmtId="0" fontId="92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0" borderId="116" xfId="0" applyFont="1" applyBorder="1" applyAlignment="1">
      <alignment/>
    </xf>
    <xf numFmtId="0" fontId="12" fillId="0" borderId="0" xfId="0" applyFont="1" applyAlignment="1">
      <alignment vertical="center" wrapText="1"/>
    </xf>
    <xf numFmtId="0" fontId="8" fillId="51" borderId="117" xfId="0" applyFont="1" applyFill="1" applyBorder="1" applyAlignment="1">
      <alignment vertical="center"/>
    </xf>
    <xf numFmtId="0" fontId="8" fillId="51" borderId="118" xfId="0" applyFont="1" applyFill="1" applyBorder="1" applyAlignment="1">
      <alignment vertical="center"/>
    </xf>
    <xf numFmtId="0" fontId="8" fillId="51" borderId="17" xfId="0" applyFont="1" applyFill="1" applyBorder="1" applyAlignment="1">
      <alignment vertical="center"/>
    </xf>
    <xf numFmtId="0" fontId="8" fillId="50" borderId="115" xfId="0" applyFont="1" applyFill="1" applyBorder="1" applyAlignment="1">
      <alignment horizontal="center"/>
    </xf>
    <xf numFmtId="0" fontId="5" fillId="0" borderId="62" xfId="0" applyFont="1" applyBorder="1" applyAlignment="1">
      <alignment/>
    </xf>
    <xf numFmtId="0" fontId="238" fillId="0" borderId="0" xfId="0" applyFont="1" applyAlignment="1">
      <alignment/>
    </xf>
    <xf numFmtId="0" fontId="244" fillId="0" borderId="0" xfId="0" applyFont="1" applyAlignment="1">
      <alignment horizontal="right" textRotation="90"/>
    </xf>
    <xf numFmtId="0" fontId="65" fillId="0" borderId="0" xfId="71" applyFont="1" applyAlignment="1">
      <alignment horizontal="right"/>
      <protection/>
    </xf>
    <xf numFmtId="0" fontId="13" fillId="0" borderId="0" xfId="71" applyFont="1" applyAlignment="1">
      <alignment horizontal="center"/>
      <protection/>
    </xf>
    <xf numFmtId="0" fontId="13" fillId="0" borderId="119" xfId="71" applyFont="1" applyBorder="1" applyAlignment="1">
      <alignment horizontal="center"/>
      <protection/>
    </xf>
    <xf numFmtId="0" fontId="15" fillId="0" borderId="0" xfId="71" applyFont="1">
      <alignment/>
      <protection/>
    </xf>
    <xf numFmtId="0" fontId="15" fillId="0" borderId="0" xfId="71" applyFont="1" applyAlignment="1">
      <alignment horizontal="left" vertical="top" textRotation="90"/>
      <protection/>
    </xf>
    <xf numFmtId="0" fontId="8" fillId="0" borderId="0" xfId="71" applyFont="1" applyAlignment="1">
      <alignment horizontal="center"/>
      <protection/>
    </xf>
    <xf numFmtId="0" fontId="65" fillId="0" borderId="0" xfId="71" applyFont="1" applyAlignment="1">
      <alignment horizontal="center"/>
      <protection/>
    </xf>
    <xf numFmtId="0" fontId="13" fillId="0" borderId="10" xfId="71" applyFont="1" applyBorder="1">
      <alignment/>
      <protection/>
    </xf>
    <xf numFmtId="0" fontId="65" fillId="0" borderId="0" xfId="71" applyFont="1" applyAlignment="1">
      <alignment horizontal="center" vertical="top"/>
      <protection/>
    </xf>
    <xf numFmtId="0" fontId="15" fillId="0" borderId="48" xfId="71" applyFont="1" applyBorder="1" applyAlignment="1">
      <alignment vertical="top"/>
      <protection/>
    </xf>
    <xf numFmtId="0" fontId="5" fillId="0" borderId="0" xfId="71" applyFont="1">
      <alignment/>
      <protection/>
    </xf>
    <xf numFmtId="0" fontId="5" fillId="0" borderId="0" xfId="71" applyFont="1" applyAlignment="1">
      <alignment horizontal="center"/>
      <protection/>
    </xf>
    <xf numFmtId="0" fontId="5" fillId="0" borderId="39" xfId="71" applyFont="1" applyBorder="1">
      <alignment/>
      <protection/>
    </xf>
    <xf numFmtId="0" fontId="5" fillId="52" borderId="120" xfId="71" applyFont="1" applyFill="1" applyBorder="1">
      <alignment/>
      <protection/>
    </xf>
    <xf numFmtId="0" fontId="8" fillId="52" borderId="29" xfId="71" applyFont="1" applyFill="1" applyBorder="1" applyAlignment="1">
      <alignment horizontal="center"/>
      <protection/>
    </xf>
    <xf numFmtId="0" fontId="8" fillId="52" borderId="16" xfId="71" applyFont="1" applyFill="1" applyBorder="1" applyAlignment="1">
      <alignment horizontal="right" vertical="center"/>
      <protection/>
    </xf>
    <xf numFmtId="0" fontId="5" fillId="34" borderId="0" xfId="71" applyFont="1" applyFill="1">
      <alignment/>
      <protection/>
    </xf>
    <xf numFmtId="0" fontId="8" fillId="0" borderId="87" xfId="71" applyFont="1" applyBorder="1">
      <alignment/>
      <protection/>
    </xf>
    <xf numFmtId="0" fontId="8" fillId="52" borderId="41" xfId="71" applyFont="1" applyFill="1" applyBorder="1" applyAlignment="1">
      <alignment horizontal="center" vertical="center"/>
      <protection/>
    </xf>
    <xf numFmtId="0" fontId="13" fillId="0" borderId="48" xfId="71" applyFont="1" applyBorder="1">
      <alignment/>
      <protection/>
    </xf>
    <xf numFmtId="0" fontId="13" fillId="0" borderId="0" xfId="71" applyFont="1" applyAlignment="1">
      <alignment horizontal="right"/>
      <protection/>
    </xf>
    <xf numFmtId="0" fontId="8" fillId="0" borderId="80" xfId="71" applyFont="1" applyBorder="1">
      <alignment/>
      <protection/>
    </xf>
    <xf numFmtId="0" fontId="8" fillId="0" borderId="22" xfId="71" applyFont="1" applyBorder="1">
      <alignment/>
      <protection/>
    </xf>
    <xf numFmtId="0" fontId="8" fillId="0" borderId="80" xfId="71" applyFont="1" applyBorder="1" applyAlignment="1">
      <alignment horizontal="left" indent="3"/>
      <protection/>
    </xf>
    <xf numFmtId="0" fontId="8" fillId="52" borderId="0" xfId="71" applyFont="1" applyFill="1" applyAlignment="1">
      <alignment horizontal="center" vertical="center"/>
      <protection/>
    </xf>
    <xf numFmtId="0" fontId="13" fillId="0" borderId="113" xfId="71" applyFont="1" applyBorder="1" applyAlignment="1">
      <alignment horizontal="center" vertical="center"/>
      <protection/>
    </xf>
    <xf numFmtId="0" fontId="13" fillId="0" borderId="10" xfId="71" applyFont="1" applyBorder="1" applyAlignment="1">
      <alignment horizontal="center" vertical="center"/>
      <protection/>
    </xf>
    <xf numFmtId="0" fontId="5" fillId="0" borderId="0" xfId="71" applyFont="1" applyAlignment="1">
      <alignment horizontal="right" vertical="center"/>
      <protection/>
    </xf>
    <xf numFmtId="0" fontId="5" fillId="0" borderId="0" xfId="71" applyFont="1" applyAlignment="1">
      <alignment horizontal="center" vertical="center"/>
      <protection/>
    </xf>
    <xf numFmtId="0" fontId="8" fillId="0" borderId="121" xfId="71" applyFont="1" applyBorder="1" applyAlignment="1">
      <alignment horizontal="center"/>
      <protection/>
    </xf>
    <xf numFmtId="0" fontId="8" fillId="0" borderId="122" xfId="71" applyFont="1" applyBorder="1" applyAlignment="1">
      <alignment horizontal="center"/>
      <protection/>
    </xf>
    <xf numFmtId="0" fontId="8" fillId="50" borderId="115" xfId="0" applyFont="1" applyFill="1" applyBorder="1" applyAlignment="1">
      <alignment horizontal="left"/>
    </xf>
    <xf numFmtId="0" fontId="5" fillId="50" borderId="115" xfId="0" applyFont="1" applyFill="1" applyBorder="1" applyAlignment="1">
      <alignment horizontal="center"/>
    </xf>
    <xf numFmtId="0" fontId="5" fillId="0" borderId="0" xfId="71" applyFont="1" applyAlignment="1">
      <alignment horizontal="right"/>
      <protection/>
    </xf>
    <xf numFmtId="0" fontId="65" fillId="0" borderId="0" xfId="71" applyFont="1" applyAlignment="1">
      <alignment horizontal="right" vertical="center"/>
      <protection/>
    </xf>
    <xf numFmtId="0" fontId="8" fillId="0" borderId="12" xfId="71" applyFont="1" applyBorder="1" applyAlignment="1" applyProtection="1">
      <alignment horizontal="right"/>
      <protection locked="0"/>
    </xf>
    <xf numFmtId="0" fontId="8" fillId="0" borderId="35" xfId="71" applyFont="1" applyBorder="1" applyAlignment="1" applyProtection="1">
      <alignment horizontal="left"/>
      <protection locked="0"/>
    </xf>
    <xf numFmtId="0" fontId="8" fillId="0" borderId="123" xfId="71" applyFont="1" applyBorder="1" applyAlignment="1" applyProtection="1">
      <alignment horizontal="center"/>
      <protection locked="0"/>
    </xf>
    <xf numFmtId="0" fontId="8" fillId="0" borderId="124" xfId="71" applyFont="1" applyBorder="1" applyAlignment="1" applyProtection="1">
      <alignment horizontal="center"/>
      <protection locked="0"/>
    </xf>
    <xf numFmtId="0" fontId="8" fillId="0" borderId="125" xfId="71" applyFont="1" applyBorder="1" applyAlignment="1" applyProtection="1">
      <alignment horizontal="center"/>
      <protection locked="0"/>
    </xf>
    <xf numFmtId="0" fontId="8" fillId="0" borderId="116" xfId="71" applyFont="1" applyBorder="1" applyAlignment="1" applyProtection="1">
      <alignment horizontal="center"/>
      <protection locked="0"/>
    </xf>
    <xf numFmtId="0" fontId="8" fillId="0" borderId="126" xfId="71" applyFont="1" applyBorder="1" applyAlignment="1" applyProtection="1">
      <alignment horizontal="center"/>
      <protection locked="0"/>
    </xf>
    <xf numFmtId="0" fontId="65" fillId="0" borderId="0" xfId="71" applyFont="1" applyAlignment="1">
      <alignment horizontal="left"/>
      <protection/>
    </xf>
    <xf numFmtId="0" fontId="6" fillId="34" borderId="0" xfId="71" applyFont="1" applyFill="1">
      <alignment/>
      <protection/>
    </xf>
    <xf numFmtId="0" fontId="22" fillId="0" borderId="0" xfId="71" applyFont="1">
      <alignment/>
      <protection/>
    </xf>
    <xf numFmtId="0" fontId="5" fillId="0" borderId="0" xfId="0" applyFont="1" applyAlignment="1">
      <alignment horizontal="center" textRotation="90"/>
    </xf>
    <xf numFmtId="0" fontId="6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 vertical="top" indent="3"/>
    </xf>
    <xf numFmtId="0" fontId="8" fillId="0" borderId="12" xfId="0" applyFont="1" applyBorder="1" applyAlignment="1" applyProtection="1">
      <alignment horizontal="right"/>
      <protection hidden="1" locked="0"/>
    </xf>
    <xf numFmtId="0" fontId="8" fillId="0" borderId="35" xfId="0" applyFont="1" applyBorder="1" applyAlignment="1">
      <alignment horizontal="center"/>
    </xf>
    <xf numFmtId="0" fontId="8" fillId="0" borderId="121" xfId="0" applyFont="1" applyBorder="1" applyAlignment="1">
      <alignment horizontal="center" vertical="top"/>
    </xf>
    <xf numFmtId="0" fontId="8" fillId="0" borderId="122" xfId="0" applyFont="1" applyBorder="1" applyAlignment="1">
      <alignment horizontal="center" vertical="top"/>
    </xf>
    <xf numFmtId="0" fontId="8" fillId="0" borderId="123" xfId="0" applyFont="1" applyBorder="1" applyAlignment="1" applyProtection="1">
      <alignment horizontal="center"/>
      <protection locked="0"/>
    </xf>
    <xf numFmtId="0" fontId="8" fillId="0" borderId="124" xfId="0" applyFont="1" applyBorder="1" applyAlignment="1" applyProtection="1">
      <alignment horizontal="center"/>
      <protection locked="0"/>
    </xf>
    <xf numFmtId="0" fontId="8" fillId="0" borderId="127" xfId="0" applyFont="1" applyBorder="1" applyAlignment="1" applyProtection="1">
      <alignment horizontal="center"/>
      <protection locked="0"/>
    </xf>
    <xf numFmtId="0" fontId="0" fillId="53" borderId="0" xfId="0" applyFill="1" applyAlignment="1">
      <alignment/>
    </xf>
    <xf numFmtId="0" fontId="229" fillId="0" borderId="0" xfId="0" applyFont="1" applyAlignment="1">
      <alignment vertical="center"/>
    </xf>
    <xf numFmtId="20" fontId="76" fillId="54" borderId="120" xfId="62" applyNumberFormat="1" applyFont="1" applyFill="1" applyBorder="1" applyAlignment="1" applyProtection="1">
      <alignment horizontal="center"/>
      <protection hidden="1" locked="0"/>
    </xf>
    <xf numFmtId="20" fontId="76" fillId="35" borderId="16" xfId="62" applyNumberFormat="1" applyFont="1" applyFill="1" applyBorder="1" applyAlignment="1" applyProtection="1">
      <alignment horizontal="center"/>
      <protection hidden="1" locked="0"/>
    </xf>
    <xf numFmtId="20" fontId="76" fillId="35" borderId="48" xfId="62" applyNumberFormat="1" applyFont="1" applyFill="1" applyBorder="1" applyAlignment="1" applyProtection="1">
      <alignment horizontal="center"/>
      <protection hidden="1" locked="0"/>
    </xf>
    <xf numFmtId="20" fontId="76" fillId="35" borderId="114" xfId="62" applyNumberFormat="1" applyFont="1" applyFill="1" applyBorder="1" applyAlignment="1" applyProtection="1">
      <alignment horizontal="center"/>
      <protection hidden="1" locked="0"/>
    </xf>
    <xf numFmtId="20" fontId="76" fillId="35" borderId="113" xfId="62" applyNumberFormat="1" applyFont="1" applyFill="1" applyBorder="1" applyAlignment="1" applyProtection="1">
      <alignment horizontal="center"/>
      <protection hidden="1" locked="0"/>
    </xf>
    <xf numFmtId="20" fontId="76" fillId="35" borderId="24" xfId="62" applyNumberFormat="1" applyFont="1" applyFill="1" applyBorder="1" applyAlignment="1" applyProtection="1">
      <alignment horizontal="center"/>
      <protection hidden="1" locked="0"/>
    </xf>
    <xf numFmtId="0" fontId="15" fillId="0" borderId="0" xfId="62" applyFont="1">
      <alignment/>
      <protection/>
    </xf>
    <xf numFmtId="0" fontId="15" fillId="0" borderId="0" xfId="62" applyFont="1" applyAlignment="1">
      <alignment horizontal="left"/>
      <protection/>
    </xf>
    <xf numFmtId="0" fontId="15" fillId="0" borderId="0" xfId="62" applyFont="1" applyAlignment="1">
      <alignment horizontal="right"/>
      <protection/>
    </xf>
    <xf numFmtId="0" fontId="138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 horizontal="center" vertical="top"/>
      <protection/>
    </xf>
    <xf numFmtId="0" fontId="15" fillId="0" borderId="0" xfId="62" applyFont="1" applyAlignment="1">
      <alignment horizontal="left" vertical="top"/>
      <protection/>
    </xf>
    <xf numFmtId="0" fontId="74" fillId="0" borderId="0" xfId="62" applyFont="1" applyAlignment="1">
      <alignment wrapText="1"/>
      <protection/>
    </xf>
    <xf numFmtId="0" fontId="32" fillId="0" borderId="0" xfId="62" applyFont="1" applyAlignment="1">
      <alignment horizontal="left"/>
      <protection/>
    </xf>
    <xf numFmtId="0" fontId="245" fillId="0" borderId="0" xfId="51" applyFont="1" applyAlignment="1" applyProtection="1">
      <alignment/>
      <protection/>
    </xf>
    <xf numFmtId="0" fontId="7" fillId="0" borderId="0" xfId="62" applyFont="1">
      <alignment/>
      <protection/>
    </xf>
    <xf numFmtId="0" fontId="6" fillId="0" borderId="0" xfId="62" applyFont="1" applyAlignment="1">
      <alignment horizontal="right" vertical="center"/>
      <protection/>
    </xf>
    <xf numFmtId="166" fontId="8" fillId="0" borderId="128" xfId="62" applyNumberFormat="1" applyFont="1" applyBorder="1" applyAlignment="1">
      <alignment horizontal="center"/>
      <protection/>
    </xf>
    <xf numFmtId="166" fontId="5" fillId="0" borderId="129" xfId="62" applyNumberFormat="1" applyFont="1" applyBorder="1" applyAlignment="1">
      <alignment horizontal="center"/>
      <protection/>
    </xf>
    <xf numFmtId="166" fontId="5" fillId="0" borderId="130" xfId="62" applyNumberFormat="1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5" fillId="0" borderId="131" xfId="62" applyFont="1" applyBorder="1" applyAlignment="1">
      <alignment horizontal="right" vertical="center"/>
      <protection/>
    </xf>
    <xf numFmtId="0" fontId="5" fillId="0" borderId="132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vertical="center"/>
      <protection/>
    </xf>
    <xf numFmtId="0" fontId="246" fillId="0" borderId="0" xfId="62" applyFont="1">
      <alignment/>
      <protection/>
    </xf>
    <xf numFmtId="166" fontId="246" fillId="0" borderId="0" xfId="62" applyNumberFormat="1" applyFont="1" applyAlignment="1">
      <alignment horizontal="left"/>
      <protection/>
    </xf>
    <xf numFmtId="0" fontId="8" fillId="0" borderId="0" xfId="0" applyFont="1" applyAlignment="1">
      <alignment vertical="center"/>
    </xf>
    <xf numFmtId="0" fontId="240" fillId="0" borderId="0" xfId="74" applyFont="1" applyAlignment="1">
      <alignment horizont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55" borderId="18" xfId="0" applyFont="1" applyFill="1" applyBorder="1" applyAlignment="1">
      <alignment horizontal="right" vertical="center"/>
    </xf>
    <xf numFmtId="0" fontId="8" fillId="55" borderId="115" xfId="0" applyFont="1" applyFill="1" applyBorder="1" applyAlignment="1">
      <alignment horizontal="right"/>
    </xf>
    <xf numFmtId="0" fontId="0" fillId="0" borderId="126" xfId="0" applyBorder="1" applyAlignment="1" applyProtection="1">
      <alignment horizontal="center"/>
      <protection locked="0"/>
    </xf>
    <xf numFmtId="0" fontId="8" fillId="52" borderId="62" xfId="71" applyFont="1" applyFill="1" applyBorder="1" applyAlignment="1">
      <alignment horizontal="center"/>
      <protection/>
    </xf>
    <xf numFmtId="0" fontId="8" fillId="55" borderId="117" xfId="0" applyFont="1" applyFill="1" applyBorder="1" applyAlignment="1">
      <alignment horizontal="right" vertical="center"/>
    </xf>
    <xf numFmtId="0" fontId="0" fillId="0" borderId="116" xfId="0" applyBorder="1" applyAlignment="1">
      <alignment/>
    </xf>
    <xf numFmtId="0" fontId="247" fillId="0" borderId="0" xfId="62" applyFont="1" quotePrefix="1">
      <alignment/>
      <protection/>
    </xf>
    <xf numFmtId="0" fontId="248" fillId="0" borderId="0" xfId="62" applyFont="1" applyAlignment="1">
      <alignment horizontal="left" vertical="top" indent="1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8" fillId="0" borderId="0" xfId="62" applyFont="1" applyAlignment="1">
      <alignment horizontal="right" vertical="center"/>
      <protection/>
    </xf>
    <xf numFmtId="173" fontId="20" fillId="45" borderId="133" xfId="62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125" fillId="0" borderId="0" xfId="62" applyFont="1">
      <alignment/>
      <protection/>
    </xf>
    <xf numFmtId="0" fontId="142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6" fillId="0" borderId="0" xfId="62" applyFont="1" applyAlignment="1">
      <alignment horizontal="right"/>
      <protection/>
    </xf>
    <xf numFmtId="0" fontId="20" fillId="0" borderId="0" xfId="62" applyFont="1" applyAlignment="1">
      <alignment horizontal="center"/>
      <protection/>
    </xf>
    <xf numFmtId="0" fontId="6" fillId="0" borderId="0" xfId="62" applyFont="1">
      <alignment/>
      <protection/>
    </xf>
    <xf numFmtId="0" fontId="38" fillId="0" borderId="0" xfId="62" applyFont="1" applyAlignment="1">
      <alignment horizontal="center"/>
      <protection/>
    </xf>
    <xf numFmtId="0" fontId="5" fillId="0" borderId="80" xfId="62" applyFont="1" applyBorder="1" applyAlignment="1">
      <alignment horizontal="centerContinuous"/>
      <protection/>
    </xf>
    <xf numFmtId="0" fontId="13" fillId="0" borderId="22" xfId="62" applyFont="1" applyBorder="1" applyAlignment="1">
      <alignment horizontal="centerContinuous"/>
      <protection/>
    </xf>
    <xf numFmtId="0" fontId="8" fillId="0" borderId="134" xfId="62" applyBorder="1" applyAlignment="1">
      <alignment horizontal="left" indent="1"/>
      <protection/>
    </xf>
    <xf numFmtId="0" fontId="8" fillId="0" borderId="135" xfId="62" applyBorder="1">
      <alignment/>
      <protection/>
    </xf>
    <xf numFmtId="0" fontId="8" fillId="0" borderId="24" xfId="62" applyBorder="1" applyAlignment="1">
      <alignment horizontal="center"/>
      <protection/>
    </xf>
    <xf numFmtId="0" fontId="16" fillId="0" borderId="0" xfId="0" applyFont="1" applyAlignment="1">
      <alignment horizontal="left" vertical="center"/>
    </xf>
    <xf numFmtId="0" fontId="5" fillId="0" borderId="94" xfId="62" applyFont="1" applyBorder="1" applyAlignment="1">
      <alignment horizontal="centerContinuous"/>
      <protection/>
    </xf>
    <xf numFmtId="0" fontId="8" fillId="0" borderId="61" xfId="62" applyBorder="1" applyAlignment="1">
      <alignment horizontal="centerContinuous"/>
      <protection/>
    </xf>
    <xf numFmtId="0" fontId="38" fillId="30" borderId="136" xfId="63" applyFont="1" applyFill="1" applyBorder="1" applyAlignment="1" applyProtection="1">
      <alignment horizontal="center"/>
      <protection hidden="1" locked="0"/>
    </xf>
    <xf numFmtId="0" fontId="38" fillId="30" borderId="137" xfId="63" applyFont="1" applyFill="1" applyBorder="1" applyAlignment="1" applyProtection="1">
      <alignment horizontal="center"/>
      <protection hidden="1" locked="0"/>
    </xf>
    <xf numFmtId="0" fontId="38" fillId="0" borderId="136" xfId="63" applyFont="1" applyFill="1" applyBorder="1" applyAlignment="1" applyProtection="1">
      <alignment horizontal="center"/>
      <protection hidden="1" locked="0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0" fillId="56" borderId="0" xfId="0" applyFill="1" applyAlignment="1">
      <alignment/>
    </xf>
    <xf numFmtId="0" fontId="0" fillId="0" borderId="126" xfId="0" applyBorder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left"/>
    </xf>
    <xf numFmtId="0" fontId="0" fillId="0" borderId="0" xfId="0" applyAlignment="1">
      <alignment horizontal="center" textRotation="90"/>
    </xf>
    <xf numFmtId="0" fontId="76" fillId="48" borderId="0" xfId="0" applyFont="1" applyFill="1" applyAlignment="1">
      <alignment/>
    </xf>
    <xf numFmtId="0" fontId="76" fillId="0" borderId="0" xfId="0" applyFont="1" applyFill="1" applyAlignment="1">
      <alignment/>
    </xf>
    <xf numFmtId="0" fontId="238" fillId="48" borderId="0" xfId="0" applyFont="1" applyFill="1" applyAlignment="1">
      <alignment/>
    </xf>
    <xf numFmtId="0" fontId="238" fillId="0" borderId="0" xfId="0" applyFont="1" applyFill="1" applyAlignment="1">
      <alignment/>
    </xf>
    <xf numFmtId="0" fontId="15" fillId="52" borderId="138" xfId="0" applyFont="1" applyFill="1" applyBorder="1" applyAlignment="1">
      <alignment horizontal="center"/>
    </xf>
    <xf numFmtId="0" fontId="35" fillId="48" borderId="0" xfId="0" applyFont="1" applyFill="1" applyAlignment="1">
      <alignment horizontal="right"/>
    </xf>
    <xf numFmtId="0" fontId="244" fillId="48" borderId="0" xfId="0" applyFont="1" applyFill="1" applyAlignment="1">
      <alignment horizontal="right" textRotation="90"/>
    </xf>
    <xf numFmtId="0" fontId="8" fillId="50" borderId="115" xfId="71" applyFont="1" applyFill="1" applyBorder="1" applyAlignment="1">
      <alignment horizontal="center"/>
      <protection/>
    </xf>
    <xf numFmtId="0" fontId="20" fillId="0" borderId="0" xfId="62" applyFont="1">
      <alignment/>
      <protection/>
    </xf>
    <xf numFmtId="0" fontId="249" fillId="0" borderId="0" xfId="62" applyFont="1" applyAlignment="1">
      <alignment horizontal="right" indent="1"/>
      <protection/>
    </xf>
    <xf numFmtId="0" fontId="249" fillId="0" borderId="79" xfId="62" applyFont="1" applyBorder="1" applyAlignment="1">
      <alignment horizontal="center"/>
      <protection/>
    </xf>
    <xf numFmtId="0" fontId="250" fillId="0" borderId="0" xfId="62" applyFont="1" applyAlignment="1">
      <alignment horizontal="right" indent="1"/>
      <protection/>
    </xf>
    <xf numFmtId="0" fontId="249" fillId="0" borderId="0" xfId="62" applyFont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 indent="1"/>
    </xf>
    <xf numFmtId="0" fontId="66" fillId="0" borderId="0" xfId="0" applyFont="1" applyAlignment="1">
      <alignment horizontal="right"/>
    </xf>
    <xf numFmtId="0" fontId="144" fillId="0" borderId="0" xfId="0" applyFont="1" applyAlignment="1">
      <alignment horizontal="right" vertical="top"/>
    </xf>
    <xf numFmtId="0" fontId="234" fillId="0" borderId="0" xfId="0" applyFont="1" applyAlignment="1">
      <alignment horizontal="right" vertical="center"/>
    </xf>
    <xf numFmtId="0" fontId="234" fillId="0" borderId="0" xfId="0" applyFont="1" applyAlignment="1">
      <alignment vertical="center"/>
    </xf>
    <xf numFmtId="0" fontId="38" fillId="0" borderId="137" xfId="63" applyFont="1" applyFill="1" applyBorder="1" applyAlignment="1" applyProtection="1">
      <alignment horizontal="center"/>
      <protection hidden="1" locked="0"/>
    </xf>
    <xf numFmtId="0" fontId="33" fillId="38" borderId="0" xfId="51" applyFont="1" applyFill="1" applyAlignment="1" applyProtection="1">
      <alignment/>
      <protection/>
    </xf>
    <xf numFmtId="0" fontId="62" fillId="0" borderId="0" xfId="0" applyFont="1" applyAlignment="1">
      <alignment/>
    </xf>
    <xf numFmtId="0" fontId="251" fillId="0" borderId="0" xfId="62" applyFont="1">
      <alignment/>
      <protection/>
    </xf>
    <xf numFmtId="0" fontId="252" fillId="0" borderId="0" xfId="62" applyFont="1" applyAlignment="1">
      <alignment horizontal="left" vertical="top" indent="1"/>
      <protection/>
    </xf>
    <xf numFmtId="0" fontId="21" fillId="30" borderId="0" xfId="0" applyFont="1" applyFill="1" applyAlignment="1">
      <alignment/>
    </xf>
    <xf numFmtId="0" fontId="0" fillId="57" borderId="0" xfId="0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left" indent="1"/>
    </xf>
    <xf numFmtId="0" fontId="253" fillId="30" borderId="0" xfId="0" applyFont="1" applyFill="1" applyAlignment="1" applyProtection="1">
      <alignment horizontal="center"/>
      <protection hidden="1" locked="0"/>
    </xf>
    <xf numFmtId="0" fontId="8" fillId="0" borderId="0" xfId="0" applyFont="1" applyAlignment="1">
      <alignment horizontal="center"/>
    </xf>
    <xf numFmtId="0" fontId="254" fillId="34" borderId="0" xfId="0" applyFont="1" applyFill="1" applyAlignment="1">
      <alignment horizontal="right"/>
    </xf>
    <xf numFmtId="0" fontId="0" fillId="0" borderId="0" xfId="0" applyAlignment="1" applyProtection="1">
      <alignment horizontal="center"/>
      <protection locked="0"/>
    </xf>
    <xf numFmtId="167" fontId="81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27" fillId="0" borderId="0" xfId="0" applyNumberFormat="1" applyFont="1" applyAlignment="1">
      <alignment horizontal="left"/>
    </xf>
    <xf numFmtId="166" fontId="21" fillId="3" borderId="0" xfId="59" applyNumberFormat="1" applyFont="1" applyFill="1">
      <alignment/>
      <protection/>
    </xf>
    <xf numFmtId="0" fontId="13" fillId="0" borderId="0" xfId="74" applyFont="1" applyAlignment="1">
      <alignment horizontal="right" indent="2"/>
      <protection/>
    </xf>
    <xf numFmtId="0" fontId="6" fillId="0" borderId="0" xfId="74" applyFont="1" applyAlignment="1">
      <alignment horizontal="right" vertical="top"/>
      <protection/>
    </xf>
    <xf numFmtId="166" fontId="255" fillId="0" borderId="0" xfId="0" applyNumberFormat="1" applyFont="1" applyAlignment="1">
      <alignment horizontal="left"/>
    </xf>
    <xf numFmtId="0" fontId="65" fillId="0" borderId="0" xfId="74" applyFont="1" applyAlignment="1">
      <alignment vertical="center"/>
      <protection/>
    </xf>
    <xf numFmtId="0" fontId="65" fillId="0" borderId="0" xfId="74" applyFont="1" applyAlignment="1">
      <alignment vertical="center" wrapText="1"/>
      <protection/>
    </xf>
    <xf numFmtId="0" fontId="27" fillId="0" borderId="0" xfId="69" applyFont="1" applyAlignment="1">
      <alignment vertical="top"/>
      <protection/>
    </xf>
    <xf numFmtId="0" fontId="15" fillId="3" borderId="0" xfId="64" applyFont="1" applyFill="1" applyAlignment="1">
      <alignment vertical="center"/>
      <protection/>
    </xf>
    <xf numFmtId="166" fontId="21" fillId="0" borderId="0" xfId="59" applyNumberFormat="1" applyFont="1" applyFill="1">
      <alignment/>
      <protection/>
    </xf>
    <xf numFmtId="0" fontId="5" fillId="58" borderId="0" xfId="0" applyFont="1" applyFill="1" applyAlignment="1">
      <alignment/>
    </xf>
    <xf numFmtId="0" fontId="5" fillId="0" borderId="0" xfId="71" applyFont="1" applyAlignment="1">
      <alignment horizontal="right" indent="2"/>
      <protection/>
    </xf>
    <xf numFmtId="0" fontId="8" fillId="52" borderId="138" xfId="71" applyFont="1" applyFill="1" applyBorder="1" applyAlignment="1">
      <alignment horizontal="center" vertical="top" textRotation="90"/>
      <protection/>
    </xf>
    <xf numFmtId="0" fontId="8" fillId="52" borderId="23" xfId="71" applyFont="1" applyFill="1" applyBorder="1" applyAlignment="1">
      <alignment horizontal="center" vertical="top" textRotation="90"/>
      <protection/>
    </xf>
    <xf numFmtId="0" fontId="13" fillId="0" borderId="0" xfId="0" applyFont="1" applyAlignment="1">
      <alignment horizontal="center"/>
    </xf>
    <xf numFmtId="0" fontId="8" fillId="50" borderId="17" xfId="0" applyFont="1" applyFill="1" applyBorder="1" applyAlignment="1">
      <alignment horizontal="center" vertical="center"/>
    </xf>
    <xf numFmtId="0" fontId="8" fillId="50" borderId="41" xfId="0" applyFont="1" applyFill="1" applyBorder="1" applyAlignment="1">
      <alignment horizontal="center" vertical="center"/>
    </xf>
    <xf numFmtId="0" fontId="8" fillId="50" borderId="57" xfId="0" applyFont="1" applyFill="1" applyBorder="1" applyAlignment="1">
      <alignment horizontal="center" vertical="center"/>
    </xf>
    <xf numFmtId="0" fontId="8" fillId="50" borderId="0" xfId="0" applyFont="1" applyFill="1" applyAlignment="1">
      <alignment horizontal="center" vertical="center"/>
    </xf>
    <xf numFmtId="0" fontId="13" fillId="0" borderId="0" xfId="71" applyFont="1" applyAlignment="1">
      <alignment horizontal="center"/>
      <protection/>
    </xf>
    <xf numFmtId="0" fontId="8" fillId="52" borderId="139" xfId="71" applyFont="1" applyFill="1" applyBorder="1" applyAlignment="1">
      <alignment horizontal="center" textRotation="90"/>
      <protection/>
    </xf>
    <xf numFmtId="0" fontId="8" fillId="52" borderId="140" xfId="71" applyFont="1" applyFill="1" applyBorder="1" applyAlignment="1">
      <alignment horizontal="center" textRotation="90"/>
      <protection/>
    </xf>
    <xf numFmtId="0" fontId="8" fillId="52" borderId="141" xfId="71" applyFont="1" applyFill="1" applyBorder="1" applyAlignment="1">
      <alignment horizontal="center" textRotation="90"/>
      <protection/>
    </xf>
    <xf numFmtId="0" fontId="8" fillId="52" borderId="142" xfId="71" applyFont="1" applyFill="1" applyBorder="1" applyAlignment="1">
      <alignment horizontal="center" textRotation="90"/>
      <protection/>
    </xf>
    <xf numFmtId="0" fontId="8" fillId="59" borderId="143" xfId="0" applyFont="1" applyFill="1" applyBorder="1" applyAlignment="1">
      <alignment horizontal="center" vertical="center" textRotation="90" wrapText="1"/>
    </xf>
    <xf numFmtId="0" fontId="8" fillId="59" borderId="144" xfId="0" applyFont="1" applyFill="1" applyBorder="1" applyAlignment="1">
      <alignment horizontal="center" vertical="center" textRotation="90" wrapText="1"/>
    </xf>
    <xf numFmtId="0" fontId="8" fillId="59" borderId="20" xfId="0" applyFont="1" applyFill="1" applyBorder="1" applyAlignment="1">
      <alignment horizontal="center" vertical="center" textRotation="90" wrapText="1"/>
    </xf>
    <xf numFmtId="0" fontId="8" fillId="59" borderId="145" xfId="0" applyFont="1" applyFill="1" applyBorder="1" applyAlignment="1">
      <alignment horizontal="center" vertical="center" textRotation="90" wrapText="1"/>
    </xf>
    <xf numFmtId="0" fontId="8" fillId="41" borderId="120" xfId="71" applyFont="1" applyFill="1" applyBorder="1" applyAlignment="1">
      <alignment horizontal="center" vertical="center"/>
      <protection/>
    </xf>
    <xf numFmtId="0" fontId="8" fillId="41" borderId="16" xfId="71" applyFont="1" applyFill="1" applyBorder="1" applyAlignment="1">
      <alignment horizontal="center" vertical="center"/>
      <protection/>
    </xf>
    <xf numFmtId="0" fontId="8" fillId="41" borderId="113" xfId="71" applyFont="1" applyFill="1" applyBorder="1" applyAlignment="1">
      <alignment horizontal="center" vertical="center"/>
      <protection/>
    </xf>
    <xf numFmtId="0" fontId="8" fillId="41" borderId="24" xfId="7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indent="2"/>
    </xf>
    <xf numFmtId="0" fontId="8" fillId="54" borderId="138" xfId="71" applyFont="1" applyFill="1" applyBorder="1" applyAlignment="1">
      <alignment horizontal="center" vertical="center" textRotation="90" wrapText="1"/>
      <protection/>
    </xf>
    <xf numFmtId="0" fontId="8" fillId="54" borderId="23" xfId="71" applyFont="1" applyFill="1" applyBorder="1" applyAlignment="1">
      <alignment horizontal="center" vertical="center" textRotation="90" wrapText="1"/>
      <protection/>
    </xf>
    <xf numFmtId="0" fontId="8" fillId="13" borderId="120" xfId="0" applyFont="1" applyFill="1" applyBorder="1" applyAlignment="1">
      <alignment horizontal="left" vertical="center" wrapText="1" indent="1"/>
    </xf>
    <xf numFmtId="0" fontId="8" fillId="13" borderId="29" xfId="0" applyFont="1" applyFill="1" applyBorder="1" applyAlignment="1">
      <alignment horizontal="left" vertical="center" wrapText="1" indent="1"/>
    </xf>
    <xf numFmtId="0" fontId="8" fillId="13" borderId="146" xfId="0" applyFont="1" applyFill="1" applyBorder="1" applyAlignment="1">
      <alignment horizontal="left" vertical="center" wrapText="1" indent="1"/>
    </xf>
    <xf numFmtId="0" fontId="8" fillId="13" borderId="113" xfId="0" applyFont="1" applyFill="1" applyBorder="1" applyAlignment="1">
      <alignment horizontal="left" vertical="center" wrapText="1" indent="1"/>
    </xf>
    <xf numFmtId="0" fontId="8" fillId="13" borderId="10" xfId="0" applyFont="1" applyFill="1" applyBorder="1" applyAlignment="1">
      <alignment horizontal="left" vertical="center" wrapText="1" indent="1"/>
    </xf>
    <xf numFmtId="0" fontId="8" fillId="13" borderId="28" xfId="0" applyFont="1" applyFill="1" applyBorder="1" applyAlignment="1">
      <alignment horizontal="left" vertical="center" wrapText="1" indent="1"/>
    </xf>
    <xf numFmtId="0" fontId="15" fillId="0" borderId="0" xfId="71" applyFont="1" applyAlignment="1">
      <alignment horizontal="left" vertical="top" textRotation="90"/>
      <protection/>
    </xf>
    <xf numFmtId="0" fontId="256" fillId="0" borderId="0" xfId="58" applyFont="1" applyAlignment="1" applyProtection="1">
      <alignment horizontal="left" vertical="center" wrapText="1"/>
      <protection locked="0"/>
    </xf>
    <xf numFmtId="0" fontId="8" fillId="30" borderId="147" xfId="58" applyFill="1" applyBorder="1" applyAlignment="1" applyProtection="1">
      <alignment horizontal="center"/>
      <protection locked="0"/>
    </xf>
    <xf numFmtId="0" fontId="8" fillId="30" borderId="148" xfId="58" applyFill="1" applyBorder="1" applyAlignment="1" applyProtection="1">
      <alignment horizontal="center"/>
      <protection locked="0"/>
    </xf>
    <xf numFmtId="0" fontId="8" fillId="0" borderId="149" xfId="58" applyBorder="1" applyAlignment="1">
      <alignment horizontal="right" vertical="center" wrapText="1" indent="1"/>
      <protection/>
    </xf>
    <xf numFmtId="0" fontId="8" fillId="0" borderId="150" xfId="58" applyBorder="1" applyAlignment="1">
      <alignment horizontal="right" vertical="center" wrapText="1" indent="1"/>
      <protection/>
    </xf>
    <xf numFmtId="0" fontId="8" fillId="0" borderId="151" xfId="58" applyBorder="1" applyAlignment="1">
      <alignment horizontal="right" vertical="center" wrapText="1" indent="1"/>
      <protection/>
    </xf>
    <xf numFmtId="0" fontId="257" fillId="0" borderId="152" xfId="58" applyFont="1" applyBorder="1" applyAlignment="1">
      <alignment horizontal="right" vertical="center" wrapText="1" indent="1"/>
      <protection/>
    </xf>
    <xf numFmtId="0" fontId="257" fillId="0" borderId="79" xfId="58" applyFont="1" applyBorder="1" applyAlignment="1">
      <alignment horizontal="right" vertical="center" wrapText="1" indent="1"/>
      <protection/>
    </xf>
    <xf numFmtId="0" fontId="257" fillId="0" borderId="153" xfId="58" applyFont="1" applyBorder="1" applyAlignment="1">
      <alignment horizontal="right" vertical="center" wrapText="1" indent="1"/>
      <protection/>
    </xf>
    <xf numFmtId="0" fontId="257" fillId="0" borderId="154" xfId="58" applyFont="1" applyBorder="1" applyAlignment="1">
      <alignment horizontal="right" vertical="center" wrapText="1" indent="1"/>
      <protection/>
    </xf>
    <xf numFmtId="0" fontId="258" fillId="13" borderId="155" xfId="58" applyFont="1" applyFill="1" applyBorder="1" applyAlignment="1">
      <alignment horizontal="left" wrapText="1"/>
      <protection/>
    </xf>
    <xf numFmtId="0" fontId="258" fillId="13" borderId="42" xfId="58" applyFont="1" applyFill="1" applyBorder="1" applyAlignment="1">
      <alignment horizontal="left" wrapText="1"/>
      <protection/>
    </xf>
    <xf numFmtId="0" fontId="258" fillId="13" borderId="45" xfId="58" applyFont="1" applyFill="1" applyBorder="1" applyAlignment="1">
      <alignment horizontal="left" wrapText="1"/>
      <protection/>
    </xf>
    <xf numFmtId="0" fontId="258" fillId="13" borderId="156" xfId="58" applyFont="1" applyFill="1" applyBorder="1" applyAlignment="1">
      <alignment horizontal="left" wrapText="1"/>
      <protection/>
    </xf>
    <xf numFmtId="0" fontId="258" fillId="13" borderId="0" xfId="58" applyFont="1" applyFill="1" applyAlignment="1">
      <alignment horizontal="left" wrapText="1"/>
      <protection/>
    </xf>
    <xf numFmtId="0" fontId="258" fillId="13" borderId="47" xfId="58" applyFont="1" applyFill="1" applyBorder="1" applyAlignment="1">
      <alignment horizontal="left" wrapText="1"/>
      <protection/>
    </xf>
    <xf numFmtId="0" fontId="225" fillId="0" borderId="0" xfId="58" applyFont="1" applyAlignment="1" applyProtection="1">
      <alignment horizontal="left" wrapText="1"/>
      <protection locked="0"/>
    </xf>
    <xf numFmtId="0" fontId="8" fillId="0" borderId="157" xfId="58" applyBorder="1" applyAlignment="1">
      <alignment horizontal="center"/>
      <protection/>
    </xf>
    <xf numFmtId="0" fontId="8" fillId="0" borderId="158" xfId="58" applyBorder="1" applyAlignment="1">
      <alignment horizontal="center"/>
      <protection/>
    </xf>
    <xf numFmtId="0" fontId="8" fillId="30" borderId="159" xfId="58" applyFill="1" applyBorder="1" applyAlignment="1" applyProtection="1">
      <alignment horizontal="right" vertical="center" indent="2"/>
      <protection locked="0"/>
    </xf>
    <xf numFmtId="0" fontId="8" fillId="30" borderId="160" xfId="58" applyFill="1" applyBorder="1" applyAlignment="1" applyProtection="1">
      <alignment horizontal="right" vertical="center" indent="2"/>
      <protection locked="0"/>
    </xf>
    <xf numFmtId="0" fontId="8" fillId="30" borderId="161" xfId="58" applyFill="1" applyBorder="1" applyAlignment="1" applyProtection="1">
      <alignment horizontal="right" vertical="center" indent="2"/>
      <protection locked="0"/>
    </xf>
    <xf numFmtId="0" fontId="8" fillId="30" borderId="162" xfId="58" applyFill="1" applyBorder="1" applyAlignment="1" applyProtection="1">
      <alignment horizontal="right" vertical="center" indent="2"/>
      <protection locked="0"/>
    </xf>
    <xf numFmtId="0" fontId="7" fillId="0" borderId="0" xfId="58" applyFont="1" applyAlignment="1">
      <alignment horizontal="left" vertical="top" wrapText="1" indent="1"/>
      <protection/>
    </xf>
    <xf numFmtId="0" fontId="8" fillId="0" borderId="155" xfId="58" applyBorder="1" applyAlignment="1">
      <alignment horizontal="center"/>
      <protection/>
    </xf>
    <xf numFmtId="0" fontId="8" fillId="0" borderId="45" xfId="58" applyBorder="1" applyAlignment="1">
      <alignment horizontal="center"/>
      <protection/>
    </xf>
    <xf numFmtId="0" fontId="76" fillId="0" borderId="120" xfId="62" applyFont="1" applyBorder="1" applyAlignment="1">
      <alignment horizontal="left" vertical="center" indent="1"/>
      <protection/>
    </xf>
    <xf numFmtId="0" fontId="76" fillId="0" borderId="16" xfId="62" applyFont="1" applyBorder="1" applyAlignment="1">
      <alignment horizontal="left" vertical="center" indent="1"/>
      <protection/>
    </xf>
    <xf numFmtId="0" fontId="76" fillId="0" borderId="48" xfId="62" applyFont="1" applyBorder="1" applyAlignment="1">
      <alignment horizontal="left" vertical="center" indent="1"/>
      <protection/>
    </xf>
    <xf numFmtId="0" fontId="76" fillId="0" borderId="114" xfId="62" applyFont="1" applyBorder="1" applyAlignment="1">
      <alignment horizontal="left" vertical="center" indent="1"/>
      <protection/>
    </xf>
    <xf numFmtId="0" fontId="15" fillId="0" borderId="0" xfId="0" applyFont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0" fontId="20" fillId="30" borderId="0" xfId="0" applyFont="1" applyFill="1" applyAlignment="1" applyProtection="1">
      <alignment vertical="center" wrapText="1"/>
      <protection locked="0"/>
    </xf>
    <xf numFmtId="0" fontId="20" fillId="60" borderId="15" xfId="62" applyFont="1" applyFill="1" applyBorder="1" applyAlignment="1" applyProtection="1">
      <alignment horizontal="center" vertical="center"/>
      <protection/>
    </xf>
    <xf numFmtId="0" fontId="20" fillId="60" borderId="13" xfId="6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8" fillId="0" borderId="0" xfId="62" applyNumberFormat="1" applyFont="1" applyAlignment="1">
      <alignment horizontal="right"/>
      <protection/>
    </xf>
    <xf numFmtId="0" fontId="5" fillId="38" borderId="12" xfId="74" applyFont="1" applyFill="1" applyBorder="1" applyAlignment="1" applyProtection="1">
      <alignment horizontal="center" vertical="center"/>
      <protection locked="0"/>
    </xf>
    <xf numFmtId="0" fontId="5" fillId="38" borderId="11" xfId="74" applyFont="1" applyFill="1" applyBorder="1" applyAlignment="1" applyProtection="1">
      <alignment horizontal="center" vertical="center"/>
      <protection locked="0"/>
    </xf>
    <xf numFmtId="0" fontId="259" fillId="0" borderId="0" xfId="0" applyFont="1" applyAlignment="1">
      <alignment horizontal="center" vertical="center" wrapText="1"/>
    </xf>
    <xf numFmtId="0" fontId="12" fillId="0" borderId="15" xfId="74" applyFont="1" applyBorder="1" applyAlignment="1">
      <alignment horizontal="center" vertical="center"/>
      <protection/>
    </xf>
    <xf numFmtId="0" fontId="12" fillId="0" borderId="13" xfId="74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8" fontId="49" fillId="34" borderId="0" xfId="70" applyNumberFormat="1" applyFont="1" applyFill="1" applyAlignment="1">
      <alignment horizontal="center" vertical="center"/>
      <protection/>
    </xf>
    <xf numFmtId="0" fontId="50" fillId="38" borderId="0" xfId="74" applyFont="1" applyFill="1" applyAlignment="1" applyProtection="1">
      <alignment horizontal="center"/>
      <protection locked="0"/>
    </xf>
    <xf numFmtId="0" fontId="50" fillId="0" borderId="0" xfId="74" applyFont="1" applyAlignment="1">
      <alignment horizontal="center"/>
      <protection/>
    </xf>
    <xf numFmtId="0" fontId="5" fillId="3" borderId="77" xfId="59" applyFont="1" applyFill="1" applyBorder="1" applyAlignment="1">
      <alignment horizontal="center" vertical="center" textRotation="90" wrapText="1"/>
      <protection/>
    </xf>
    <xf numFmtId="0" fontId="5" fillId="3" borderId="163" xfId="59" applyFont="1" applyFill="1" applyBorder="1" applyAlignment="1">
      <alignment horizontal="center" vertical="center" textRotation="90" wrapText="1"/>
      <protection/>
    </xf>
    <xf numFmtId="0" fontId="5" fillId="3" borderId="164" xfId="59" applyFont="1" applyFill="1" applyBorder="1" applyAlignment="1">
      <alignment horizontal="center" vertical="center" textRotation="90" wrapText="1"/>
      <protection/>
    </xf>
    <xf numFmtId="0" fontId="112" fillId="41" borderId="0" xfId="0" applyFont="1" applyFill="1" applyAlignment="1" applyProtection="1">
      <alignment horizontal="center" vertical="top" wrapText="1"/>
      <protection locked="0"/>
    </xf>
    <xf numFmtId="0" fontId="5" fillId="34" borderId="0" xfId="74" applyFill="1" applyAlignment="1">
      <alignment horizontal="center" vertical="center"/>
      <protection/>
    </xf>
    <xf numFmtId="168" fontId="50" fillId="0" borderId="0" xfId="74" applyNumberFormat="1" applyFont="1" applyAlignment="1">
      <alignment horizontal="center" vertical="center"/>
      <protection/>
    </xf>
    <xf numFmtId="0" fontId="19" fillId="0" borderId="0" xfId="74" applyFont="1" applyAlignment="1">
      <alignment horizontal="center" vertical="center"/>
      <protection/>
    </xf>
    <xf numFmtId="166" fontId="146" fillId="0" borderId="0" xfId="74" applyNumberFormat="1" applyFont="1" applyAlignment="1">
      <alignment horizontal="left"/>
      <protection/>
    </xf>
    <xf numFmtId="170" fontId="8" fillId="39" borderId="12" xfId="74" applyNumberFormat="1" applyFont="1" applyFill="1" applyBorder="1" applyAlignment="1" applyProtection="1">
      <alignment horizontal="center" vertical="center"/>
      <protection locked="0"/>
    </xf>
    <xf numFmtId="170" fontId="8" fillId="39" borderId="11" xfId="74" applyNumberFormat="1" applyFont="1" applyFill="1" applyBorder="1" applyAlignment="1" applyProtection="1">
      <alignment horizontal="center" vertical="center"/>
      <protection locked="0"/>
    </xf>
    <xf numFmtId="170" fontId="8" fillId="0" borderId="0" xfId="74" applyNumberFormat="1" applyFont="1" applyAlignment="1" applyProtection="1">
      <alignment horizontal="center" vertical="center"/>
      <protection locked="0"/>
    </xf>
    <xf numFmtId="170" fontId="8" fillId="0" borderId="12" xfId="74" applyNumberFormat="1" applyFont="1" applyBorder="1" applyAlignment="1" applyProtection="1">
      <alignment horizontal="center" vertical="center"/>
      <protection locked="0"/>
    </xf>
    <xf numFmtId="170" fontId="8" fillId="0" borderId="11" xfId="74" applyNumberFormat="1" applyFont="1" applyBorder="1" applyAlignment="1" applyProtection="1">
      <alignment horizontal="center" vertical="center"/>
      <protection locked="0"/>
    </xf>
    <xf numFmtId="0" fontId="5" fillId="0" borderId="12" xfId="74" applyFont="1" applyBorder="1" applyAlignment="1">
      <alignment horizontal="center" vertical="center"/>
      <protection/>
    </xf>
    <xf numFmtId="0" fontId="5" fillId="0" borderId="11" xfId="74" applyFont="1" applyBorder="1" applyAlignment="1">
      <alignment horizontal="center" vertical="center"/>
      <protection/>
    </xf>
    <xf numFmtId="166" fontId="12" fillId="0" borderId="123" xfId="0" applyNumberFormat="1" applyFont="1" applyBorder="1" applyAlignment="1">
      <alignment horizontal="center" vertical="center"/>
    </xf>
    <xf numFmtId="166" fontId="12" fillId="0" borderId="124" xfId="0" applyNumberFormat="1" applyFont="1" applyBorder="1" applyAlignment="1">
      <alignment horizontal="center" vertical="center"/>
    </xf>
    <xf numFmtId="171" fontId="7" fillId="0" borderId="165" xfId="75" applyNumberFormat="1" applyFont="1" applyBorder="1" applyAlignment="1">
      <alignment horizontal="center" vertical="center"/>
      <protection/>
    </xf>
    <xf numFmtId="171" fontId="7" fillId="0" borderId="166" xfId="75" applyNumberFormat="1" applyFont="1" applyBorder="1" applyAlignment="1">
      <alignment horizontal="center" vertical="center"/>
      <protection/>
    </xf>
    <xf numFmtId="0" fontId="6" fillId="0" borderId="167" xfId="75" applyFont="1" applyBorder="1" applyAlignment="1" applyProtection="1">
      <alignment horizontal="left" vertical="center" indent="1"/>
      <protection locked="0"/>
    </xf>
    <xf numFmtId="0" fontId="6" fillId="0" borderId="168" xfId="75" applyFont="1" applyBorder="1" applyAlignment="1" applyProtection="1">
      <alignment horizontal="left" vertical="center" indent="1"/>
      <protection locked="0"/>
    </xf>
    <xf numFmtId="0" fontId="6" fillId="0" borderId="169" xfId="75" applyFont="1" applyBorder="1" applyAlignment="1" applyProtection="1">
      <alignment horizontal="left" vertical="center" indent="1"/>
      <protection locked="0"/>
    </xf>
    <xf numFmtId="0" fontId="5" fillId="0" borderId="170" xfId="75" applyFont="1" applyBorder="1" applyAlignment="1" applyProtection="1">
      <alignment horizontal="left" vertical="center" indent="1"/>
      <protection locked="0"/>
    </xf>
    <xf numFmtId="0" fontId="5" fillId="0" borderId="168" xfId="75" applyFont="1" applyBorder="1" applyAlignment="1" applyProtection="1">
      <alignment horizontal="left" vertical="center" indent="1"/>
      <protection locked="0"/>
    </xf>
    <xf numFmtId="0" fontId="5" fillId="0" borderId="169" xfId="75" applyFont="1" applyBorder="1" applyAlignment="1" applyProtection="1">
      <alignment horizontal="left" vertical="center" indent="1"/>
      <protection locked="0"/>
    </xf>
    <xf numFmtId="0" fontId="6" fillId="0" borderId="98" xfId="75" applyFont="1" applyBorder="1" applyAlignment="1" applyProtection="1">
      <alignment horizontal="left" vertical="center" indent="1"/>
      <protection locked="0"/>
    </xf>
    <xf numFmtId="0" fontId="6" fillId="0" borderId="97" xfId="75" applyFont="1" applyBorder="1" applyAlignment="1" applyProtection="1">
      <alignment horizontal="left" vertical="center" indent="1"/>
      <protection locked="0"/>
    </xf>
    <xf numFmtId="0" fontId="6" fillId="0" borderId="171" xfId="75" applyFont="1" applyBorder="1" applyAlignment="1" applyProtection="1">
      <alignment horizontal="left" vertical="center" indent="1"/>
      <protection locked="0"/>
    </xf>
    <xf numFmtId="0" fontId="5" fillId="0" borderId="172" xfId="75" applyFont="1" applyBorder="1" applyAlignment="1" applyProtection="1">
      <alignment horizontal="left" vertical="center" indent="1"/>
      <protection locked="0"/>
    </xf>
    <xf numFmtId="0" fontId="5" fillId="0" borderId="97" xfId="75" applyFont="1" applyBorder="1" applyAlignment="1" applyProtection="1">
      <alignment horizontal="left" vertical="center" indent="1"/>
      <protection locked="0"/>
    </xf>
    <xf numFmtId="0" fontId="5" fillId="0" borderId="171" xfId="75" applyFont="1" applyBorder="1" applyAlignment="1" applyProtection="1">
      <alignment horizontal="left" vertical="center" indent="1"/>
      <protection locked="0"/>
    </xf>
    <xf numFmtId="171" fontId="7" fillId="0" borderId="165" xfId="75" applyNumberFormat="1" applyFont="1" applyBorder="1" applyAlignment="1" applyProtection="1">
      <alignment horizontal="center" vertical="center"/>
      <protection locked="0"/>
    </xf>
    <xf numFmtId="171" fontId="7" fillId="0" borderId="166" xfId="75" applyNumberFormat="1" applyFont="1" applyBorder="1" applyAlignment="1" applyProtection="1">
      <alignment horizontal="center" vertical="center"/>
      <protection locked="0"/>
    </xf>
    <xf numFmtId="0" fontId="22" fillId="0" borderId="29" xfId="75" applyFont="1" applyBorder="1" applyAlignment="1">
      <alignment horizontal="left" wrapText="1"/>
      <protection/>
    </xf>
    <xf numFmtId="0" fontId="22" fillId="0" borderId="146" xfId="75" applyFont="1" applyBorder="1" applyAlignment="1">
      <alignment horizontal="left" wrapText="1"/>
      <protection/>
    </xf>
    <xf numFmtId="0" fontId="8" fillId="0" borderId="0" xfId="75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71" fontId="99" fillId="0" borderId="165" xfId="75" applyNumberFormat="1" applyFont="1" applyBorder="1" applyAlignment="1">
      <alignment horizontal="center" vertical="center"/>
      <protection/>
    </xf>
    <xf numFmtId="171" fontId="99" fillId="0" borderId="166" xfId="75" applyNumberFormat="1" applyFont="1" applyBorder="1" applyAlignment="1">
      <alignment horizontal="center" vertical="center"/>
      <protection/>
    </xf>
    <xf numFmtId="0" fontId="17" fillId="0" borderId="173" xfId="75" applyFont="1" applyBorder="1" applyAlignment="1">
      <alignment horizontal="left" wrapText="1" indent="1"/>
      <protection/>
    </xf>
    <xf numFmtId="0" fontId="17" fillId="0" borderId="79" xfId="75" applyFont="1" applyBorder="1" applyAlignment="1">
      <alignment horizontal="left" indent="1"/>
      <protection/>
    </xf>
    <xf numFmtId="0" fontId="17" fillId="0" borderId="22" xfId="75" applyFont="1" applyBorder="1" applyAlignment="1">
      <alignment horizontal="left" indent="1"/>
      <protection/>
    </xf>
    <xf numFmtId="0" fontId="8" fillId="0" borderId="0" xfId="75" applyAlignment="1" applyProtection="1">
      <alignment horizontal="left" vertical="center" wrapText="1"/>
      <protection locked="0"/>
    </xf>
    <xf numFmtId="0" fontId="20" fillId="0" borderId="0" xfId="75" applyFont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59" xfId="75" applyFont="1" applyBorder="1" applyAlignment="1" applyProtection="1">
      <alignment horizontal="left" vertical="center" indent="1"/>
      <protection locked="0"/>
    </xf>
    <xf numFmtId="0" fontId="5" fillId="0" borderId="59" xfId="75" applyFont="1" applyBorder="1" applyAlignment="1" applyProtection="1">
      <alignment horizontal="left" vertical="center" indent="1"/>
      <protection locked="0"/>
    </xf>
    <xf numFmtId="0" fontId="38" fillId="0" borderId="77" xfId="75" applyFont="1" applyBorder="1" applyAlignment="1">
      <alignment horizontal="center" textRotation="90"/>
      <protection/>
    </xf>
    <xf numFmtId="0" fontId="38" fillId="0" borderId="163" xfId="75" applyFont="1" applyBorder="1" applyAlignment="1">
      <alignment horizontal="center" textRotation="90"/>
      <protection/>
    </xf>
    <xf numFmtId="166" fontId="260" fillId="0" borderId="0" xfId="74" applyNumberFormat="1" applyFont="1" applyAlignment="1">
      <alignment horizontal="center" vertical="top"/>
      <protection/>
    </xf>
  </cellXfs>
  <cellStyles count="7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 3" xfId="48"/>
    <cellStyle name="Hyperlink 4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2 3" xfId="58"/>
    <cellStyle name="Standard 3" xfId="59"/>
    <cellStyle name="Standard 4" xfId="60"/>
    <cellStyle name="Standard 5" xfId="61"/>
    <cellStyle name="Standard__2006_H" xfId="62"/>
    <cellStyle name="Standard_2007_Vk" xfId="63"/>
    <cellStyle name="Standard_Bed S2" xfId="64"/>
    <cellStyle name="Standard_Bed S2_1" xfId="65"/>
    <cellStyle name="Standard_Bed_H" xfId="66"/>
    <cellStyle name="Standard_Bed_V" xfId="67"/>
    <cellStyle name="Standard_Bed_V_1" xfId="68"/>
    <cellStyle name="Standard_ehrer" xfId="69"/>
    <cellStyle name="Standard_h1E_ohne'BN" xfId="70"/>
    <cellStyle name="Standard_LC-Zahlen" xfId="71"/>
    <cellStyle name="Standard_Mappe1" xfId="72"/>
    <cellStyle name="Standard_Mappe3" xfId="73"/>
    <cellStyle name="Standard_neu" xfId="74"/>
    <cellStyle name="Standard_Seit 2+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</cellStyles>
  <dxfs count="16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rgb="FFFF5050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CC"/>
        </patternFill>
      </fill>
      <border>
        <left style="hair"/>
        <right style="hair"/>
        <top style="hair"/>
        <bottom style="hair"/>
      </border>
    </dxf>
    <dxf>
      <fill>
        <patternFill>
          <bgColor theme="3" tint="0.7999799847602844"/>
        </patternFill>
      </fill>
      <border>
        <left style="hair"/>
        <right style="hair"/>
        <top style="hair"/>
        <bottom style="hair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fill>
        <patternFill>
          <bgColor indexed="10"/>
        </patternFill>
      </fill>
    </dxf>
    <dxf>
      <fill>
        <patternFill>
          <bgColor indexed="42"/>
        </patternFill>
      </fill>
      <border>
        <left style="dashed"/>
        <right style="dashed"/>
        <top style="dashed"/>
        <bottom style="dashed"/>
      </border>
    </dxf>
    <dxf>
      <fill>
        <patternFill>
          <bgColor indexed="26"/>
        </patternFill>
      </fill>
      <border>
        <left style="hair"/>
        <right style="hair"/>
        <top style="hair"/>
        <bottom style="hair"/>
      </border>
    </dxf>
    <dxf>
      <fill>
        <patternFill>
          <bgColor indexed="44"/>
        </patternFill>
      </fill>
      <border>
        <left style="hair"/>
        <right style="hair"/>
        <top style="hair"/>
        <bottom style="hair"/>
      </border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border>
        <left style="hair"/>
        <right style="hair"/>
        <top style="hair"/>
        <bottom style="hair"/>
      </border>
    </dxf>
    <dxf>
      <border>
        <right style="hair"/>
      </border>
    </dxf>
    <dxf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ill>
        <patternFill>
          <bgColor rgb="FF66FFFF"/>
        </patternFill>
      </fill>
    </dxf>
    <dxf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ill>
        <patternFill>
          <bgColor rgb="FF1AFFFF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darkUp">
          <fgColor rgb="FFFFC000"/>
        </patternFill>
      </fill>
    </dxf>
    <dxf>
      <fill>
        <patternFill>
          <bgColor rgb="FFFF0000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hair"/>
        <bottom style="hair"/>
      </border>
    </dxf>
    <dxf>
      <fill>
        <patternFill patternType="solid">
          <fgColor indexed="65"/>
          <bgColor indexed="26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hair"/>
        <bottom style="hair"/>
      </border>
    </dxf>
    <dxf>
      <fill>
        <patternFill patternType="solid">
          <fgColor indexed="65"/>
          <bgColor indexed="26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ill>
        <patternFill>
          <bgColor theme="0"/>
        </patternFill>
      </fill>
      <border>
        <left style="thin"/>
        <right style="thin"/>
        <top style="thin"/>
      </border>
    </dxf>
    <dxf>
      <fill>
        <patternFill>
          <bgColor rgb="FF00B0F0"/>
        </patternFill>
      </fill>
    </dxf>
    <dxf>
      <font>
        <b/>
        <i val="0"/>
      </font>
    </dxf>
    <dxf>
      <fill>
        <patternFill>
          <bgColor rgb="FFFFC000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ill>
        <patternFill>
          <bgColor rgb="FFFF0000"/>
        </patternFill>
      </fill>
    </dxf>
    <dxf>
      <border>
        <right style="hair"/>
      </border>
    </dxf>
    <dxf>
      <border>
        <right style="hair"/>
      </border>
    </dxf>
    <dxf>
      <border>
        <left style="dashed"/>
        <right style="dashed"/>
      </border>
    </dxf>
    <dxf>
      <font>
        <strike/>
      </font>
      <fill>
        <patternFill patternType="solid">
          <bgColor theme="9" tint="0.7999799847602844"/>
        </patternFill>
      </fill>
    </dxf>
    <dxf>
      <border>
        <right style="hair"/>
      </border>
    </dxf>
    <dxf>
      <fill>
        <patternFill>
          <bgColor theme="9" tint="0.3999499976634979"/>
        </patternFill>
      </fill>
    </dxf>
    <dxf>
      <border>
        <left style="hair"/>
        <right style="hair"/>
        <top style="hair"/>
        <bottom>
          <color indexed="63"/>
        </bottom>
      </border>
    </dxf>
    <dxf>
      <border>
        <left style="dashed"/>
        <bottom style="thin"/>
      </border>
    </dxf>
    <dxf>
      <border>
        <left style="dashed"/>
        <bottom style="thin"/>
      </border>
    </dxf>
    <dxf>
      <border>
        <left style="dashed"/>
        <bottom style="thin"/>
      </border>
    </dxf>
    <dxf>
      <border>
        <left style="dashed"/>
        <bottom style="thin"/>
      </border>
    </dxf>
    <dxf>
      <fill>
        <patternFill>
          <bgColor rgb="FFFF0000"/>
        </patternFill>
      </fill>
    </dxf>
    <dxf>
      <border>
        <left style="hair"/>
        <right style="hair"/>
        <top style="hair"/>
        <bottom>
          <color indexed="63"/>
        </bottom>
      </border>
    </dxf>
    <dxf>
      <border>
        <right style="hair"/>
      </border>
    </dxf>
    <dxf>
      <border>
        <right style="hair"/>
      </border>
    </dxf>
    <dxf>
      <border>
        <right style="hair"/>
      </border>
    </dxf>
    <dxf>
      <border>
        <bottom style="hair"/>
      </border>
    </dxf>
    <dxf>
      <border>
        <right style="hair"/>
      </border>
    </dxf>
    <dxf>
      <fill>
        <patternFill>
          <bgColor indexed="14"/>
        </patternFill>
      </fill>
    </dxf>
    <dxf>
      <border>
        <left style="dashed"/>
        <right style="dashed"/>
      </border>
    </dxf>
    <dxf>
      <border>
        <right style="hair"/>
      </border>
    </dxf>
    <dxf>
      <border>
        <left>
          <color indexed="63"/>
        </left>
        <right style="hair"/>
        <top style="hair"/>
        <bottom>
          <color indexed="63"/>
        </bottom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right style="hair">
          <color rgb="FF000000"/>
        </right>
      </border>
    </dxf>
    <dxf>
      <border>
        <left style="dashed">
          <color rgb="FF000000"/>
        </left>
        <right style="dashed">
          <color rgb="FF000000"/>
        </right>
      </border>
    </dxf>
    <dxf>
      <border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left style="dashed">
          <color rgb="FF000000"/>
        </left>
        <bottom style="thin">
          <color rgb="FF000000"/>
        </bottom>
      </border>
    </dxf>
    <dxf>
      <font>
        <strike/>
      </font>
      <fill>
        <patternFill patternType="solid">
          <bgColor theme="9" tint="0.7999799847602844"/>
        </patternFill>
      </fill>
      <border/>
    </dxf>
    <dxf>
      <font>
        <b/>
        <i val="0"/>
      </font>
      <border/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ill>
        <patternFill patternType="gray06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0"/>
        </patternFill>
      </fill>
      <border>
        <left style="hair">
          <color rgb="FF000000"/>
        </left>
        <bottom style="hair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A6CAF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CFFCC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ill>
        <patternFill>
          <bgColor rgb="FFA6CA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3" tint="0.7999799847602844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theme="9" tint="0.3999499976634979"/>
        </patternFill>
      </fill>
      <border/>
    </dxf>
    <dxf>
      <font>
        <b/>
        <i val="0"/>
      </font>
      <fill>
        <patternFill>
          <bgColor rgb="FFFF5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tp://ftp.vobs.at/allgemein/formulare/DFoerd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27</xdr:row>
      <xdr:rowOff>76200</xdr:rowOff>
    </xdr:from>
    <xdr:ext cx="352425" cy="476250"/>
    <xdr:sp>
      <xdr:nvSpPr>
        <xdr:cNvPr id="1" name="Rechteck 3"/>
        <xdr:cNvSpPr>
          <a:spLocks/>
        </xdr:cNvSpPr>
      </xdr:nvSpPr>
      <xdr:spPr>
        <a:xfrm>
          <a:off x="323850" y="5753100"/>
          <a:ext cx="352425" cy="476250"/>
        </a:xfrm>
        <a:prstGeom prst="rect">
          <a:avLst/>
        </a:prstGeom>
        <a:gradFill rotWithShape="1">
          <a:gsLst>
            <a:gs pos="0">
              <a:srgbClr val="EFF3FA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C0"/>
              </a:solidFill>
            </a:rPr>
            <a:t>C</a:t>
          </a:r>
        </a:p>
      </xdr:txBody>
    </xdr:sp>
    <xdr:clientData/>
  </xdr:oneCellAnchor>
  <xdr:oneCellAnchor>
    <xdr:from>
      <xdr:col>1</xdr:col>
      <xdr:colOff>257175</xdr:colOff>
      <xdr:row>37</xdr:row>
      <xdr:rowOff>76200</xdr:rowOff>
    </xdr:from>
    <xdr:ext cx="381000" cy="466725"/>
    <xdr:sp>
      <xdr:nvSpPr>
        <xdr:cNvPr id="2" name="Rechteck 4"/>
        <xdr:cNvSpPr>
          <a:spLocks/>
        </xdr:cNvSpPr>
      </xdr:nvSpPr>
      <xdr:spPr>
        <a:xfrm>
          <a:off x="323850" y="7877175"/>
          <a:ext cx="381000" cy="466725"/>
        </a:xfrm>
        <a:prstGeom prst="rect">
          <a:avLst/>
        </a:prstGeom>
        <a:gradFill rotWithShape="1">
          <a:gsLst>
            <a:gs pos="0">
              <a:srgbClr val="EFF3FA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C0"/>
              </a:solidFill>
            </a:rPr>
            <a:t>D</a:t>
          </a:r>
        </a:p>
      </xdr:txBody>
    </xdr:sp>
    <xdr:clientData/>
  </xdr:oneCellAnchor>
  <xdr:oneCellAnchor>
    <xdr:from>
      <xdr:col>5</xdr:col>
      <xdr:colOff>742950</xdr:colOff>
      <xdr:row>14</xdr:row>
      <xdr:rowOff>85725</xdr:rowOff>
    </xdr:from>
    <xdr:ext cx="333375" cy="400050"/>
    <xdr:sp>
      <xdr:nvSpPr>
        <xdr:cNvPr id="3" name="Rechteck 5"/>
        <xdr:cNvSpPr>
          <a:spLocks/>
        </xdr:cNvSpPr>
      </xdr:nvSpPr>
      <xdr:spPr>
        <a:xfrm>
          <a:off x="2771775" y="2562225"/>
          <a:ext cx="33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FFC0"/>
              </a:solidFill>
            </a:rPr>
            <a:t>A</a:t>
          </a:r>
        </a:p>
      </xdr:txBody>
    </xdr:sp>
    <xdr:clientData/>
  </xdr:oneCellAnchor>
  <xdr:oneCellAnchor>
    <xdr:from>
      <xdr:col>5</xdr:col>
      <xdr:colOff>733425</xdr:colOff>
      <xdr:row>15</xdr:row>
      <xdr:rowOff>85725</xdr:rowOff>
    </xdr:from>
    <xdr:ext cx="333375" cy="409575"/>
    <xdr:sp>
      <xdr:nvSpPr>
        <xdr:cNvPr id="4" name="Rechteck 6"/>
        <xdr:cNvSpPr>
          <a:spLocks/>
        </xdr:cNvSpPr>
      </xdr:nvSpPr>
      <xdr:spPr>
        <a:xfrm>
          <a:off x="2762250" y="275272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FFC0"/>
              </a:solidFill>
            </a:rPr>
            <a:t>B</a:t>
          </a:r>
        </a:p>
      </xdr:txBody>
    </xdr:sp>
    <xdr:clientData/>
  </xdr:oneCellAnchor>
  <xdr:oneCellAnchor>
    <xdr:from>
      <xdr:col>12</xdr:col>
      <xdr:colOff>47625</xdr:colOff>
      <xdr:row>10</xdr:row>
      <xdr:rowOff>47625</xdr:rowOff>
    </xdr:from>
    <xdr:ext cx="333375" cy="409575"/>
    <xdr:sp>
      <xdr:nvSpPr>
        <xdr:cNvPr id="5" name="Rechteck 7"/>
        <xdr:cNvSpPr>
          <a:spLocks/>
        </xdr:cNvSpPr>
      </xdr:nvSpPr>
      <xdr:spPr>
        <a:xfrm>
          <a:off x="5191125" y="170497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FFC0"/>
              </a:solidFill>
            </a:rPr>
            <a:t>A</a:t>
          </a:r>
        </a:p>
      </xdr:txBody>
    </xdr:sp>
    <xdr:clientData/>
  </xdr:oneCellAnchor>
  <xdr:oneCellAnchor>
    <xdr:from>
      <xdr:col>9</xdr:col>
      <xdr:colOff>9525</xdr:colOff>
      <xdr:row>12</xdr:row>
      <xdr:rowOff>28575</xdr:rowOff>
    </xdr:from>
    <xdr:ext cx="323850" cy="409575"/>
    <xdr:sp>
      <xdr:nvSpPr>
        <xdr:cNvPr id="6" name="Rechteck 8"/>
        <xdr:cNvSpPr>
          <a:spLocks/>
        </xdr:cNvSpPr>
      </xdr:nvSpPr>
      <xdr:spPr>
        <a:xfrm>
          <a:off x="4095750" y="205740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FFC0"/>
              </a:solidFill>
            </a:rPr>
            <a:t>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266700</xdr:colOff>
      <xdr:row>14</xdr:row>
      <xdr:rowOff>0</xdr:rowOff>
    </xdr:from>
    <xdr:ext cx="2057400" cy="419100"/>
    <xdr:sp fLocksText="0">
      <xdr:nvSpPr>
        <xdr:cNvPr id="1" name="Text Box 1"/>
        <xdr:cNvSpPr txBox="1">
          <a:spLocks noChangeArrowheads="1"/>
        </xdr:cNvSpPr>
      </xdr:nvSpPr>
      <xdr:spPr>
        <a:xfrm>
          <a:off x="10401300" y="2867025"/>
          <a:ext cx="2057400" cy="419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Anm.:  Hier keine Betreuung,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Unterricht stattfindet!</a:t>
          </a:r>
        </a:p>
      </xdr:txBody>
    </xdr:sp>
    <xdr:clientData fLocksWithSheet="0"/>
  </xdr:oneCellAnchor>
  <xdr:oneCellAnchor>
    <xdr:from>
      <xdr:col>27</xdr:col>
      <xdr:colOff>266700</xdr:colOff>
      <xdr:row>16</xdr:row>
      <xdr:rowOff>0</xdr:rowOff>
    </xdr:from>
    <xdr:ext cx="3524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401300" y="3324225"/>
          <a:ext cx="3524250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bis 16:00 bleiben dann nur mehr einzelne Schüler da!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18</xdr:row>
      <xdr:rowOff>161925</xdr:rowOff>
    </xdr:from>
    <xdr:to>
      <xdr:col>13</xdr:col>
      <xdr:colOff>0</xdr:colOff>
      <xdr:row>19</xdr:row>
      <xdr:rowOff>180975</xdr:rowOff>
    </xdr:to>
    <xdr:sp>
      <xdr:nvSpPr>
        <xdr:cNvPr id="1" name="Wolkenförmige Legende 3">
          <a:hlinkClick r:id="rId1"/>
        </xdr:cNvPr>
        <xdr:cNvSpPr>
          <a:spLocks/>
        </xdr:cNvSpPr>
      </xdr:nvSpPr>
      <xdr:spPr>
        <a:xfrm>
          <a:off x="6010275" y="1428750"/>
          <a:ext cx="428625" cy="200025"/>
        </a:xfrm>
        <a:prstGeom prst="cloudCallout">
          <a:avLst>
            <a:gd name="adj1" fmla="val -78384"/>
            <a:gd name="adj2" fmla="val -60152"/>
          </a:avLst>
        </a:prstGeom>
        <a:solidFill>
          <a:srgbClr val="FAC09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?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" name="Text 89"/>
        <xdr:cNvSpPr txBox="1">
          <a:spLocks noChangeArrowheads="1"/>
        </xdr:cNvSpPr>
      </xdr:nvSpPr>
      <xdr:spPr>
        <a:xfrm>
          <a:off x="47625" y="1131570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95250</xdr:colOff>
      <xdr:row>25</xdr:row>
      <xdr:rowOff>352425</xdr:rowOff>
    </xdr:to>
    <xdr:sp>
      <xdr:nvSpPr>
        <xdr:cNvPr id="2" name="Text 111"/>
        <xdr:cNvSpPr txBox="1">
          <a:spLocks noChangeArrowheads="1"/>
        </xdr:cNvSpPr>
      </xdr:nvSpPr>
      <xdr:spPr>
        <a:xfrm>
          <a:off x="4867275" y="4667250"/>
          <a:ext cx="13906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Unterricht</a:t>
          </a:r>
        </a:p>
      </xdr:txBody>
    </xdr:sp>
    <xdr:clientData/>
  </xdr:twoCellAnchor>
  <xdr:oneCellAnchor>
    <xdr:from>
      <xdr:col>4</xdr:col>
      <xdr:colOff>57150</xdr:colOff>
      <xdr:row>25</xdr:row>
      <xdr:rowOff>66675</xdr:rowOff>
    </xdr:from>
    <xdr:ext cx="1562100" cy="228600"/>
    <xdr:sp>
      <xdr:nvSpPr>
        <xdr:cNvPr id="3" name="Text 111"/>
        <xdr:cNvSpPr txBox="1">
          <a:spLocks noChangeArrowheads="1"/>
        </xdr:cNvSpPr>
      </xdr:nvSpPr>
      <xdr:spPr>
        <a:xfrm>
          <a:off x="2943225" y="4714875"/>
          <a:ext cx="15621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Wochenstunden  in ...</a:t>
          </a:r>
        </a:p>
      </xdr:txBody>
    </xdr:sp>
    <xdr:clientData/>
  </xdr:oneCellAnchor>
  <xdr:oneCellAnchor>
    <xdr:from>
      <xdr:col>0</xdr:col>
      <xdr:colOff>28575</xdr:colOff>
      <xdr:row>44</xdr:row>
      <xdr:rowOff>38100</xdr:rowOff>
    </xdr:from>
    <xdr:ext cx="1419225" cy="342900"/>
    <xdr:sp>
      <xdr:nvSpPr>
        <xdr:cNvPr id="4" name="Textfeld 4"/>
        <xdr:cNvSpPr txBox="1">
          <a:spLocks noChangeArrowheads="1"/>
        </xdr:cNvSpPr>
      </xdr:nvSpPr>
      <xdr:spPr>
        <a:xfrm>
          <a:off x="28575" y="9248775"/>
          <a:ext cx="1419225" cy="342900"/>
        </a:xfrm>
        <a:prstGeom prst="rect">
          <a:avLst/>
        </a:prstGeom>
        <a:solidFill>
          <a:srgbClr val="FFFFFF"/>
        </a:solidFill>
        <a:ln w="317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1" u="sng" baseline="0">
              <a:solidFill>
                <a:srgbClr val="000000"/>
              </a:solidFill>
            </a:rPr>
            <a:t>Anmerkungen:</a:t>
          </a: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88"/>
        <xdr:cNvSpPr txBox="1">
          <a:spLocks noChangeArrowheads="1"/>
        </xdr:cNvSpPr>
      </xdr:nvSpPr>
      <xdr:spPr>
        <a:xfrm>
          <a:off x="47625" y="0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" name="Text 89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19050</xdr:colOff>
      <xdr:row>5</xdr:row>
      <xdr:rowOff>47625</xdr:rowOff>
    </xdr:from>
    <xdr:to>
      <xdr:col>0</xdr:col>
      <xdr:colOff>476250</xdr:colOff>
      <xdr:row>5</xdr:row>
      <xdr:rowOff>238125</xdr:rowOff>
    </xdr:to>
    <xdr:sp>
      <xdr:nvSpPr>
        <xdr:cNvPr id="3" name="Text 93"/>
        <xdr:cNvSpPr txBox="1">
          <a:spLocks noChangeArrowheads="1"/>
        </xdr:cNvSpPr>
      </xdr:nvSpPr>
      <xdr:spPr>
        <a:xfrm>
          <a:off x="19050" y="2190750"/>
          <a:ext cx="457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Leiter: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" name="Text 96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" name="Text 97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" name="Text 98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" name="Text 99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" name="Text 100"/>
        <xdr:cNvSpPr txBox="1">
          <a:spLocks noChangeArrowheads="1"/>
        </xdr:cNvSpPr>
      </xdr:nvSpPr>
      <xdr:spPr>
        <a:xfrm>
          <a:off x="47625" y="122396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" name="Text 101"/>
        <xdr:cNvSpPr txBox="1">
          <a:spLocks noChangeArrowheads="1"/>
        </xdr:cNvSpPr>
      </xdr:nvSpPr>
      <xdr:spPr>
        <a:xfrm>
          <a:off x="47625" y="12420600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18288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[ Anzahl bzw. allfälligen Namensvorschlag angeben !! ] </a:t>
          </a:r>
        </a:p>
      </xdr:txBody>
    </xdr:sp>
    <xdr:clientData/>
  </xdr:twoCellAnchor>
  <xdr:twoCellAnchor>
    <xdr:from>
      <xdr:col>12</xdr:col>
      <xdr:colOff>38100</xdr:colOff>
      <xdr:row>2</xdr:row>
      <xdr:rowOff>285750</xdr:rowOff>
    </xdr:from>
    <xdr:to>
      <xdr:col>12</xdr:col>
      <xdr:colOff>495300</xdr:colOff>
      <xdr:row>3</xdr:row>
      <xdr:rowOff>342900</xdr:rowOff>
    </xdr:to>
    <xdr:sp>
      <xdr:nvSpPr>
        <xdr:cNvPr id="10" name="Text 110"/>
        <xdr:cNvSpPr txBox="1">
          <a:spLocks noChangeArrowheads="1"/>
        </xdr:cNvSpPr>
      </xdr:nvSpPr>
      <xdr:spPr>
        <a:xfrm>
          <a:off x="6076950" y="923925"/>
          <a:ext cx="4572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an dieser Schule: </a:t>
          </a:r>
        </a:p>
      </xdr:txBody>
    </xdr:sp>
    <xdr:clientData/>
  </xdr:twoCellAnchor>
  <xdr:twoCellAnchor>
    <xdr:from>
      <xdr:col>13</xdr:col>
      <xdr:colOff>38100</xdr:colOff>
      <xdr:row>2</xdr:row>
      <xdr:rowOff>285750</xdr:rowOff>
    </xdr:from>
    <xdr:to>
      <xdr:col>14</xdr:col>
      <xdr:colOff>714375</xdr:colOff>
      <xdr:row>3</xdr:row>
      <xdr:rowOff>381000</xdr:rowOff>
    </xdr:to>
    <xdr:sp>
      <xdr:nvSpPr>
        <xdr:cNvPr id="11" name="Text 111"/>
        <xdr:cNvSpPr txBox="1">
          <a:spLocks noChangeArrowheads="1"/>
        </xdr:cNvSpPr>
      </xdr:nvSpPr>
      <xdr:spPr>
        <a:xfrm>
          <a:off x="6610350" y="923925"/>
          <a:ext cx="1343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zusätzlich</a:t>
          </a:r>
        </a:p>
      </xdr:txBody>
    </xdr:sp>
    <xdr:clientData/>
  </xdr:twoCellAnchor>
  <xdr:twoCellAnchor>
    <xdr:from>
      <xdr:col>0</xdr:col>
      <xdr:colOff>257175</xdr:colOff>
      <xdr:row>6</xdr:row>
      <xdr:rowOff>238125</xdr:rowOff>
    </xdr:from>
    <xdr:to>
      <xdr:col>2</xdr:col>
      <xdr:colOff>9525</xdr:colOff>
      <xdr:row>10</xdr:row>
      <xdr:rowOff>47625</xdr:rowOff>
    </xdr:to>
    <xdr:sp>
      <xdr:nvSpPr>
        <xdr:cNvPr id="12" name="AutoShape 14"/>
        <xdr:cNvSpPr>
          <a:spLocks/>
        </xdr:cNvSpPr>
      </xdr:nvSpPr>
      <xdr:spPr>
        <a:xfrm>
          <a:off x="257175" y="2676525"/>
          <a:ext cx="2381250" cy="990600"/>
        </a:xfrm>
        <a:prstGeom prst="leftArrowCallout">
          <a:avLst>
            <a:gd name="adj1" fmla="val -19074"/>
            <a:gd name="adj2" fmla="val -36870"/>
            <a:gd name="adj3" fmla="val -31722"/>
            <a:gd name="adj4" fmla="val -6564"/>
          </a:avLst>
        </a:prstGeom>
        <a:solidFill>
          <a:srgbClr val="FFFF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46800" rIns="54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Die Lehrernamen (in Spalte A) sind nach jetzigem Stand anzuführen, </a:t>
          </a:r>
        </a:p>
      </xdr:txBody>
    </xdr:sp>
    <xdr:clientData fLocksWithSheet="0" fPrintsWithSheet="0"/>
  </xdr:twoCellAnchor>
  <xdr:twoCellAnchor>
    <xdr:from>
      <xdr:col>1</xdr:col>
      <xdr:colOff>95250</xdr:colOff>
      <xdr:row>6</xdr:row>
      <xdr:rowOff>238125</xdr:rowOff>
    </xdr:from>
    <xdr:to>
      <xdr:col>10</xdr:col>
      <xdr:colOff>285750</xdr:colOff>
      <xdr:row>10</xdr:row>
      <xdr:rowOff>47625</xdr:rowOff>
    </xdr:to>
    <xdr:sp>
      <xdr:nvSpPr>
        <xdr:cNvPr id="13" name="AutoShape 15"/>
        <xdr:cNvSpPr>
          <a:spLocks/>
        </xdr:cNvSpPr>
      </xdr:nvSpPr>
      <xdr:spPr>
        <a:xfrm>
          <a:off x="2600325" y="2676525"/>
          <a:ext cx="3257550" cy="990600"/>
        </a:xfrm>
        <a:prstGeom prst="rightArrowCallout">
          <a:avLst>
            <a:gd name="adj1" fmla="val 11833"/>
            <a:gd name="adj2" fmla="val -36870"/>
            <a:gd name="adj3" fmla="val 35754"/>
            <a:gd name="adj4" fmla="val -6731"/>
          </a:avLst>
        </a:prstGeom>
        <a:solidFill>
          <a:srgbClr val="008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46800" rIns="9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alle weiteren Angaben (rechts davon) bitte 
</a:t>
          </a:r>
          <a:r>
            <a:rPr lang="en-US" cap="none" sz="12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auf das nächste Schuljahr ausrichten!</a:t>
          </a:r>
        </a:p>
      </xdr:txBody>
    </xdr:sp>
    <xdr:clientData fLocksWithSheet="0" fPrintsWithSheet="0"/>
  </xdr:twoCellAnchor>
  <xdr:oneCellAnchor>
    <xdr:from>
      <xdr:col>3</xdr:col>
      <xdr:colOff>295275</xdr:colOff>
      <xdr:row>0</xdr:row>
      <xdr:rowOff>9525</xdr:rowOff>
    </xdr:from>
    <xdr:ext cx="3867150" cy="561975"/>
    <xdr:sp>
      <xdr:nvSpPr>
        <xdr:cNvPr id="14" name="Text Box 16"/>
        <xdr:cNvSpPr txBox="1">
          <a:spLocks noChangeArrowheads="1"/>
        </xdr:cNvSpPr>
      </xdr:nvSpPr>
      <xdr:spPr>
        <a:xfrm>
          <a:off x="3371850" y="9525"/>
          <a:ext cx="3867150" cy="561975"/>
        </a:xfrm>
        <a:prstGeom prst="rect">
          <a:avLst/>
        </a:prstGeom>
        <a:solidFill>
          <a:srgbClr val="69FFFF"/>
        </a:solidFill>
        <a:ln w="63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mehr als 33 Lehrpersonen ist dieses Blatt vor dem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Ausfüllen zu kopieren:  = unten am Bildschirm auf Karteireiter des Blattes rechts-klicken, Verschieben/kopieren ...</a:t>
          </a: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vobs.at/ftp-pub/allgemein/formulare/GTS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2.vobs.at/ftp-pub/allgemein/formulare/GTS.PDF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45"/>
    <pageSetUpPr fitToPage="1"/>
  </sheetPr>
  <dimension ref="A1:Q63"/>
  <sheetViews>
    <sheetView showGridLines="0" showRowColHeaders="0" showZeros="0" tabSelected="1" zoomScalePageLayoutView="0" workbookViewId="0" topLeftCell="A1">
      <selection activeCell="E6" sqref="E6"/>
    </sheetView>
  </sheetViews>
  <sheetFormatPr defaultColWidth="0" defaultRowHeight="12.75" zeroHeight="1"/>
  <cols>
    <col min="1" max="1" width="5.7109375" style="493" customWidth="1"/>
    <col min="2" max="2" width="13.8515625" style="493" customWidth="1"/>
    <col min="3" max="3" width="16.140625" style="493" customWidth="1"/>
    <col min="4" max="4" width="13.8515625" style="493" customWidth="1"/>
    <col min="5" max="5" width="11.57421875" style="493" customWidth="1"/>
    <col min="6" max="7" width="13.8515625" style="493" customWidth="1"/>
    <col min="8" max="8" width="3.28125" style="493" customWidth="1"/>
    <col min="9" max="16" width="11.421875" style="493" hidden="1" customWidth="1"/>
    <col min="17" max="18" width="5.7109375" style="493" hidden="1" customWidth="1"/>
    <col min="19" max="16384" width="0" style="493" hidden="1" customWidth="1"/>
  </cols>
  <sheetData>
    <row r="1" spans="1:8" ht="20.25">
      <c r="A1" s="541"/>
      <c r="B1" s="542"/>
      <c r="C1" s="542"/>
      <c r="D1" s="542"/>
      <c r="E1" s="542"/>
      <c r="F1" s="542"/>
      <c r="G1" s="542"/>
      <c r="H1" s="542"/>
    </row>
    <row r="2" spans="1:8" ht="20.25">
      <c r="A2" s="543"/>
      <c r="B2" s="544"/>
      <c r="C2" s="544"/>
      <c r="D2" s="545" t="s">
        <v>63</v>
      </c>
      <c r="E2" s="544"/>
      <c r="F2" s="544"/>
      <c r="G2" s="544"/>
      <c r="H2" s="544"/>
    </row>
    <row r="3" spans="1:8" ht="20.25">
      <c r="A3" s="546"/>
      <c r="B3" s="547"/>
      <c r="C3" s="547"/>
      <c r="D3" s="548" t="s">
        <v>64</v>
      </c>
      <c r="E3" s="547"/>
      <c r="F3" s="547"/>
      <c r="G3" s="547"/>
      <c r="H3" s="547"/>
    </row>
    <row r="4" spans="1:8" ht="20.25">
      <c r="A4" s="547"/>
      <c r="B4" s="547"/>
      <c r="C4" s="547"/>
      <c r="D4" s="545" t="s">
        <v>65</v>
      </c>
      <c r="E4" s="547"/>
      <c r="F4" s="547"/>
      <c r="G4" s="547"/>
      <c r="H4" s="547"/>
    </row>
    <row r="5" spans="1:8" ht="23.25">
      <c r="A5" s="549"/>
      <c r="B5" s="547"/>
      <c r="C5" s="547"/>
      <c r="D5" s="547"/>
      <c r="E5" s="547"/>
      <c r="F5" s="547"/>
      <c r="G5" s="547"/>
      <c r="H5" s="547"/>
    </row>
    <row r="6" spans="1:8" ht="30">
      <c r="A6" s="550"/>
      <c r="B6" s="551"/>
      <c r="C6" s="551"/>
      <c r="D6" s="552" t="s">
        <v>199</v>
      </c>
      <c r="E6" s="538" t="s">
        <v>200</v>
      </c>
      <c r="F6" s="553"/>
      <c r="G6" s="551"/>
      <c r="H6" s="551"/>
    </row>
    <row r="7" spans="1:8" ht="12.75">
      <c r="A7" s="539"/>
      <c r="B7" s="539"/>
      <c r="C7" s="539"/>
      <c r="D7" s="539"/>
      <c r="E7" s="539"/>
      <c r="F7" s="539"/>
      <c r="G7" s="539"/>
      <c r="H7" s="539"/>
    </row>
    <row r="8" spans="1:8" ht="12.75">
      <c r="A8" s="539"/>
      <c r="B8" s="539"/>
      <c r="C8" s="539"/>
      <c r="D8" s="539"/>
      <c r="E8" s="539"/>
      <c r="F8" s="539"/>
      <c r="G8" s="539"/>
      <c r="H8" s="539"/>
    </row>
    <row r="9" spans="1:8" ht="12.75">
      <c r="A9" s="539"/>
      <c r="B9" s="539"/>
      <c r="C9" s="539"/>
      <c r="D9" s="539"/>
      <c r="E9" s="539"/>
      <c r="F9" s="539"/>
      <c r="G9" s="539"/>
      <c r="H9" s="539"/>
    </row>
    <row r="10" spans="1:8" ht="12.75">
      <c r="A10" s="539"/>
      <c r="B10" s="539"/>
      <c r="C10" s="539"/>
      <c r="D10" s="539"/>
      <c r="E10" s="539"/>
      <c r="F10" s="539"/>
      <c r="G10" s="539"/>
      <c r="H10" s="539"/>
    </row>
    <row r="11" spans="1:8" ht="12.75">
      <c r="A11" s="539"/>
      <c r="B11" s="539"/>
      <c r="C11" s="539"/>
      <c r="D11" s="539"/>
      <c r="E11" s="539"/>
      <c r="F11" s="539"/>
      <c r="G11" s="539"/>
      <c r="H11" s="539"/>
    </row>
    <row r="12" spans="1:8" ht="12.75">
      <c r="A12" s="539"/>
      <c r="B12" s="539"/>
      <c r="C12" s="539"/>
      <c r="D12" s="539"/>
      <c r="E12" s="539"/>
      <c r="F12" s="539"/>
      <c r="G12" s="539"/>
      <c r="H12" s="539"/>
    </row>
    <row r="13" spans="1:8" ht="12.75">
      <c r="A13" s="539"/>
      <c r="B13" s="539"/>
      <c r="C13" s="539"/>
      <c r="D13" s="539"/>
      <c r="E13" s="539"/>
      <c r="F13" s="539"/>
      <c r="G13" s="539"/>
      <c r="H13" s="539"/>
    </row>
    <row r="14" spans="1:8" ht="12.75">
      <c r="A14" s="539"/>
      <c r="B14" s="539"/>
      <c r="C14" s="539"/>
      <c r="D14" s="539"/>
      <c r="E14" s="539"/>
      <c r="F14" s="539"/>
      <c r="G14" s="539"/>
      <c r="H14" s="539"/>
    </row>
    <row r="15" spans="1:8" ht="27">
      <c r="A15" s="540"/>
      <c r="B15" s="539"/>
      <c r="C15" s="539"/>
      <c r="D15" s="539"/>
      <c r="E15" s="539"/>
      <c r="F15" s="539"/>
      <c r="G15" s="539"/>
      <c r="H15" s="539"/>
    </row>
    <row r="16" spans="1:8" ht="20.25">
      <c r="A16" s="537"/>
      <c r="B16" s="534"/>
      <c r="C16" s="534"/>
      <c r="D16" s="534"/>
      <c r="E16" s="534"/>
      <c r="F16" s="534"/>
      <c r="G16" s="534"/>
      <c r="H16" s="534"/>
    </row>
    <row r="17" spans="1:8" ht="27.75">
      <c r="A17" s="536" t="s">
        <v>290</v>
      </c>
      <c r="B17" s="534"/>
      <c r="C17" s="534"/>
      <c r="D17" s="534"/>
      <c r="E17" s="534"/>
      <c r="F17" s="534"/>
      <c r="G17" s="534"/>
      <c r="H17" s="534"/>
    </row>
    <row r="18" spans="1:8" ht="20.25">
      <c r="A18" s="535"/>
      <c r="B18" s="534"/>
      <c r="C18" s="534"/>
      <c r="D18" s="534"/>
      <c r="E18" s="534"/>
      <c r="F18" s="534"/>
      <c r="G18" s="534"/>
      <c r="H18" s="534"/>
    </row>
    <row r="19" spans="1:17" s="502" customFormat="1" ht="14.25">
      <c r="A19" s="503"/>
      <c r="B19" s="503"/>
      <c r="C19" s="503"/>
      <c r="D19" s="503"/>
      <c r="E19" s="503"/>
      <c r="F19" s="503"/>
      <c r="G19" s="503"/>
      <c r="H19" s="503"/>
      <c r="I19" s="504"/>
      <c r="J19" s="503"/>
      <c r="K19" s="503"/>
      <c r="L19" s="503"/>
      <c r="M19" s="503"/>
      <c r="N19" s="503"/>
      <c r="O19" s="503"/>
      <c r="P19" s="503"/>
      <c r="Q19" s="503"/>
    </row>
    <row r="20" spans="1:17" s="502" customFormat="1" ht="15.75">
      <c r="A20" s="533" t="s">
        <v>348</v>
      </c>
      <c r="B20" s="531"/>
      <c r="C20" s="531"/>
      <c r="D20" s="531"/>
      <c r="E20" s="531"/>
      <c r="F20" s="531"/>
      <c r="G20" s="531"/>
      <c r="H20" s="531"/>
      <c r="I20" s="504"/>
      <c r="J20" s="503"/>
      <c r="K20" s="503"/>
      <c r="L20" s="503"/>
      <c r="M20" s="503"/>
      <c r="N20" s="503"/>
      <c r="O20" s="503"/>
      <c r="P20" s="503"/>
      <c r="Q20" s="503"/>
    </row>
    <row r="21" spans="1:17" s="502" customFormat="1" ht="8.25" customHeight="1">
      <c r="A21" s="532"/>
      <c r="B21" s="531"/>
      <c r="C21" s="531"/>
      <c r="D21" s="531"/>
      <c r="E21" s="531"/>
      <c r="F21" s="531"/>
      <c r="G21" s="531"/>
      <c r="H21" s="531"/>
      <c r="I21" s="504"/>
      <c r="J21" s="503"/>
      <c r="K21" s="503"/>
      <c r="L21" s="503"/>
      <c r="M21" s="503"/>
      <c r="N21" s="503"/>
      <c r="O21" s="503"/>
      <c r="P21" s="503"/>
      <c r="Q21" s="503"/>
    </row>
    <row r="22" spans="1:17" s="519" customFormat="1" ht="15">
      <c r="A22" s="529" t="s">
        <v>289</v>
      </c>
      <c r="B22" s="531"/>
      <c r="C22" s="531"/>
      <c r="D22" s="531"/>
      <c r="E22" s="531"/>
      <c r="F22" s="531"/>
      <c r="G22" s="531"/>
      <c r="H22" s="531"/>
      <c r="I22" s="504"/>
      <c r="J22" s="520"/>
      <c r="K22" s="520"/>
      <c r="L22" s="520"/>
      <c r="M22" s="520"/>
      <c r="N22" s="520"/>
      <c r="O22" s="520"/>
      <c r="P22" s="520"/>
      <c r="Q22" s="520"/>
    </row>
    <row r="23" spans="1:17" s="502" customFormat="1" ht="18">
      <c r="A23" s="529" t="s">
        <v>349</v>
      </c>
      <c r="B23" s="530"/>
      <c r="C23" s="520"/>
      <c r="D23" s="520"/>
      <c r="E23" s="520"/>
      <c r="F23" s="520"/>
      <c r="G23" s="520"/>
      <c r="H23" s="520"/>
      <c r="I23" s="504"/>
      <c r="J23" s="503"/>
      <c r="K23" s="503"/>
      <c r="L23" s="503"/>
      <c r="M23" s="503"/>
      <c r="N23" s="503"/>
      <c r="O23" s="503"/>
      <c r="P23" s="503"/>
      <c r="Q23" s="503"/>
    </row>
    <row r="24" spans="1:17" s="502" customFormat="1" ht="15.75">
      <c r="A24" s="529" t="s">
        <v>365</v>
      </c>
      <c r="B24" s="528"/>
      <c r="C24" s="520"/>
      <c r="D24" s="520"/>
      <c r="E24" s="520"/>
      <c r="F24" s="520"/>
      <c r="G24" s="520"/>
      <c r="H24" s="520"/>
      <c r="I24" s="504"/>
      <c r="J24" s="503"/>
      <c r="K24" s="503"/>
      <c r="L24" s="503"/>
      <c r="M24" s="503"/>
      <c r="N24" s="503"/>
      <c r="O24" s="503"/>
      <c r="P24" s="503"/>
      <c r="Q24" s="503"/>
    </row>
    <row r="25" spans="1:17" s="502" customFormat="1" ht="15">
      <c r="A25" s="529" t="s">
        <v>350</v>
      </c>
      <c r="B25" s="528"/>
      <c r="C25" s="520"/>
      <c r="D25" s="520"/>
      <c r="E25" s="520"/>
      <c r="F25" s="520"/>
      <c r="G25" s="520"/>
      <c r="H25" s="520"/>
      <c r="I25" s="504"/>
      <c r="J25" s="503"/>
      <c r="K25" s="503"/>
      <c r="L25" s="503"/>
      <c r="M25" s="503"/>
      <c r="N25" s="503"/>
      <c r="O25" s="503"/>
      <c r="P25" s="503"/>
      <c r="Q25" s="503"/>
    </row>
    <row r="26" spans="1:17" s="502" customFormat="1" ht="4.5" customHeight="1">
      <c r="A26" s="520"/>
      <c r="B26" s="520"/>
      <c r="C26" s="520"/>
      <c r="D26" s="520"/>
      <c r="E26" s="520"/>
      <c r="F26" s="520"/>
      <c r="G26" s="520"/>
      <c r="H26" s="520"/>
      <c r="I26" s="504"/>
      <c r="J26" s="503"/>
      <c r="K26" s="503"/>
      <c r="L26" s="503"/>
      <c r="M26" s="503"/>
      <c r="N26" s="503"/>
      <c r="O26" s="503"/>
      <c r="P26" s="503"/>
      <c r="Q26" s="503"/>
    </row>
    <row r="27" spans="1:17" s="502" customFormat="1" ht="15">
      <c r="A27" s="520"/>
      <c r="B27" s="527" t="s">
        <v>288</v>
      </c>
      <c r="C27" s="520"/>
      <c r="D27" s="520"/>
      <c r="E27" s="520"/>
      <c r="F27" s="520"/>
      <c r="G27" s="520"/>
      <c r="H27" s="520"/>
      <c r="I27" s="504"/>
      <c r="J27" s="503"/>
      <c r="K27" s="503"/>
      <c r="L27" s="503"/>
      <c r="M27" s="503"/>
      <c r="N27" s="503"/>
      <c r="O27" s="503"/>
      <c r="P27" s="503"/>
      <c r="Q27" s="503"/>
    </row>
    <row r="28" spans="1:17" s="502" customFormat="1" ht="15">
      <c r="A28" s="520"/>
      <c r="B28" s="526" t="s">
        <v>287</v>
      </c>
      <c r="C28" s="520"/>
      <c r="D28" s="520"/>
      <c r="E28" s="520"/>
      <c r="F28" s="520"/>
      <c r="G28" s="520"/>
      <c r="H28" s="520"/>
      <c r="I28" s="504"/>
      <c r="J28" s="503"/>
      <c r="K28" s="503"/>
      <c r="L28" s="503"/>
      <c r="M28" s="503"/>
      <c r="N28" s="503"/>
      <c r="O28" s="503"/>
      <c r="P28" s="503"/>
      <c r="Q28" s="503"/>
    </row>
    <row r="29" spans="1:17" s="502" customFormat="1" ht="15">
      <c r="A29" s="520"/>
      <c r="B29" s="526" t="s">
        <v>286</v>
      </c>
      <c r="C29" s="520"/>
      <c r="D29" s="520"/>
      <c r="E29" s="520"/>
      <c r="F29" s="520"/>
      <c r="G29" s="520"/>
      <c r="H29" s="520"/>
      <c r="I29" s="504"/>
      <c r="J29" s="503"/>
      <c r="K29" s="503"/>
      <c r="L29" s="503"/>
      <c r="M29" s="503"/>
      <c r="N29" s="503"/>
      <c r="O29" s="503"/>
      <c r="P29" s="503"/>
      <c r="Q29" s="503"/>
    </row>
    <row r="30" spans="1:17" s="519" customFormat="1" ht="15">
      <c r="A30" s="520"/>
      <c r="B30" s="520"/>
      <c r="C30" s="520"/>
      <c r="D30" s="520"/>
      <c r="E30" s="520"/>
      <c r="F30" s="520"/>
      <c r="G30" s="525" t="s">
        <v>285</v>
      </c>
      <c r="H30" s="520"/>
      <c r="I30" s="504"/>
      <c r="J30" s="520"/>
      <c r="K30" s="520"/>
      <c r="L30" s="520"/>
      <c r="M30" s="520"/>
      <c r="N30" s="520"/>
      <c r="O30" s="520"/>
      <c r="P30" s="520"/>
      <c r="Q30" s="520"/>
    </row>
    <row r="31" spans="1:17" s="519" customFormat="1" ht="23.25">
      <c r="A31" s="524"/>
      <c r="B31" s="523"/>
      <c r="C31" s="522" t="s">
        <v>322</v>
      </c>
      <c r="D31" s="777" t="s">
        <v>351</v>
      </c>
      <c r="E31" s="520"/>
      <c r="F31" s="520"/>
      <c r="G31" s="520"/>
      <c r="H31" s="520"/>
      <c r="I31" s="504"/>
      <c r="J31" s="520"/>
      <c r="K31" s="520"/>
      <c r="L31" s="520"/>
      <c r="M31" s="520"/>
      <c r="N31" s="520"/>
      <c r="O31" s="520"/>
      <c r="P31" s="520"/>
      <c r="Q31" s="520"/>
    </row>
    <row r="32" spans="1:17" s="519" customFormat="1" ht="20.25">
      <c r="A32" s="521"/>
      <c r="B32" s="520"/>
      <c r="C32" s="520"/>
      <c r="D32" s="520"/>
      <c r="E32" s="520"/>
      <c r="F32" s="520"/>
      <c r="G32" s="520"/>
      <c r="H32" s="520"/>
      <c r="I32" s="504"/>
      <c r="J32" s="520"/>
      <c r="K32" s="520"/>
      <c r="L32" s="520"/>
      <c r="M32" s="520"/>
      <c r="N32" s="520"/>
      <c r="O32" s="520"/>
      <c r="P32" s="520"/>
      <c r="Q32" s="520"/>
    </row>
    <row r="33" spans="1:17" s="517" customFormat="1" ht="12.75">
      <c r="A33" s="505"/>
      <c r="B33" s="505"/>
      <c r="C33" s="505"/>
      <c r="D33" s="505"/>
      <c r="E33" s="505"/>
      <c r="F33" s="505"/>
      <c r="G33" s="505"/>
      <c r="H33" s="505"/>
      <c r="I33" s="504"/>
      <c r="J33" s="518"/>
      <c r="K33" s="518"/>
      <c r="L33" s="518"/>
      <c r="M33" s="518"/>
      <c r="N33" s="518"/>
      <c r="O33" s="518"/>
      <c r="P33" s="518"/>
      <c r="Q33" s="518"/>
    </row>
    <row r="34" spans="1:17" s="502" customFormat="1" ht="15" hidden="1">
      <c r="A34" s="516" t="s">
        <v>284</v>
      </c>
      <c r="B34" s="512"/>
      <c r="C34" s="512"/>
      <c r="D34" s="512"/>
      <c r="E34" s="512"/>
      <c r="F34" s="512"/>
      <c r="G34" s="515" t="s">
        <v>283</v>
      </c>
      <c r="H34" s="511"/>
      <c r="I34" s="504"/>
      <c r="J34" s="503"/>
      <c r="K34" s="503"/>
      <c r="L34" s="503"/>
      <c r="M34" s="503"/>
      <c r="N34" s="503"/>
      <c r="O34" s="503"/>
      <c r="P34" s="503"/>
      <c r="Q34" s="503"/>
    </row>
    <row r="35" spans="1:17" s="502" customFormat="1" ht="15" hidden="1">
      <c r="A35" s="510"/>
      <c r="B35" s="514" t="s">
        <v>282</v>
      </c>
      <c r="C35" s="512"/>
      <c r="D35" s="512"/>
      <c r="E35" s="512"/>
      <c r="F35" s="512"/>
      <c r="G35" s="512"/>
      <c r="H35" s="511"/>
      <c r="I35" s="504"/>
      <c r="J35" s="503"/>
      <c r="K35" s="503"/>
      <c r="L35" s="503"/>
      <c r="M35" s="503"/>
      <c r="N35" s="503"/>
      <c r="O35" s="503"/>
      <c r="P35" s="503"/>
      <c r="Q35" s="503"/>
    </row>
    <row r="36" spans="1:17" s="502" customFormat="1" ht="15" hidden="1">
      <c r="A36" s="510"/>
      <c r="B36" s="513" t="s">
        <v>281</v>
      </c>
      <c r="C36" s="512"/>
      <c r="D36" s="512"/>
      <c r="E36" s="512"/>
      <c r="F36" s="512"/>
      <c r="G36" s="512"/>
      <c r="H36" s="511"/>
      <c r="I36" s="504"/>
      <c r="J36" s="503"/>
      <c r="K36" s="503"/>
      <c r="L36" s="503"/>
      <c r="M36" s="503"/>
      <c r="N36" s="503"/>
      <c r="O36" s="503"/>
      <c r="P36" s="503"/>
      <c r="Q36" s="503"/>
    </row>
    <row r="37" spans="1:17" s="502" customFormat="1" ht="9" customHeight="1" hidden="1">
      <c r="A37" s="510"/>
      <c r="B37" s="505"/>
      <c r="C37" s="505"/>
      <c r="D37" s="505"/>
      <c r="E37" s="505"/>
      <c r="F37" s="505"/>
      <c r="G37" s="505"/>
      <c r="H37" s="505"/>
      <c r="I37" s="504"/>
      <c r="J37" s="503"/>
      <c r="K37" s="503"/>
      <c r="L37" s="503"/>
      <c r="M37" s="503"/>
      <c r="N37" s="503"/>
      <c r="O37" s="503"/>
      <c r="P37" s="503"/>
      <c r="Q37" s="503"/>
    </row>
    <row r="38" spans="1:17" s="502" customFormat="1" ht="15">
      <c r="A38" s="509" t="s">
        <v>280</v>
      </c>
      <c r="B38" s="505"/>
      <c r="C38" s="505"/>
      <c r="D38" s="505"/>
      <c r="E38" s="505"/>
      <c r="F38" s="505"/>
      <c r="G38" s="505"/>
      <c r="H38" s="505"/>
      <c r="I38" s="504"/>
      <c r="J38" s="503"/>
      <c r="K38" s="503"/>
      <c r="L38" s="503"/>
      <c r="M38" s="503"/>
      <c r="N38" s="503"/>
      <c r="O38" s="503"/>
      <c r="P38" s="503"/>
      <c r="Q38" s="503"/>
    </row>
    <row r="39" spans="1:17" s="502" customFormat="1" ht="15">
      <c r="A39" s="501"/>
      <c r="B39" s="508" t="s">
        <v>279</v>
      </c>
      <c r="C39" s="505"/>
      <c r="D39" s="505"/>
      <c r="E39" s="505"/>
      <c r="F39" s="505"/>
      <c r="G39" s="505"/>
      <c r="H39" s="505"/>
      <c r="I39" s="504"/>
      <c r="J39" s="503"/>
      <c r="K39" s="503"/>
      <c r="L39" s="503"/>
      <c r="M39" s="503"/>
      <c r="N39" s="503"/>
      <c r="O39" s="503"/>
      <c r="P39" s="503"/>
      <c r="Q39" s="503"/>
    </row>
    <row r="40" spans="1:17" s="502" customFormat="1" ht="15">
      <c r="A40" s="501"/>
      <c r="B40" s="508" t="s">
        <v>278</v>
      </c>
      <c r="C40" s="505"/>
      <c r="D40" s="505"/>
      <c r="E40" s="505"/>
      <c r="F40" s="505"/>
      <c r="G40" s="505"/>
      <c r="H40" s="505"/>
      <c r="I40" s="504"/>
      <c r="J40" s="503"/>
      <c r="K40" s="503"/>
      <c r="L40" s="503"/>
      <c r="M40" s="503"/>
      <c r="N40" s="503"/>
      <c r="O40" s="503"/>
      <c r="P40" s="503"/>
      <c r="Q40" s="503"/>
    </row>
    <row r="41" spans="1:17" s="502" customFormat="1" ht="14.25">
      <c r="A41" s="505"/>
      <c r="B41" s="505"/>
      <c r="C41" s="505"/>
      <c r="D41" s="505"/>
      <c r="E41" s="505"/>
      <c r="F41" s="505"/>
      <c r="G41" s="507" t="s">
        <v>277</v>
      </c>
      <c r="H41" s="505"/>
      <c r="I41" s="504"/>
      <c r="J41" s="503"/>
      <c r="K41" s="503"/>
      <c r="L41" s="503"/>
      <c r="M41" s="503"/>
      <c r="N41" s="503"/>
      <c r="O41" s="503"/>
      <c r="P41" s="503"/>
      <c r="Q41" s="503"/>
    </row>
    <row r="42" spans="1:17" s="502" customFormat="1" ht="18">
      <c r="A42" s="506"/>
      <c r="B42" s="505"/>
      <c r="C42" s="505"/>
      <c r="D42" s="505"/>
      <c r="E42" s="505"/>
      <c r="F42" s="505"/>
      <c r="G42" s="505"/>
      <c r="H42" s="505"/>
      <c r="I42" s="504"/>
      <c r="J42" s="503"/>
      <c r="K42" s="503"/>
      <c r="L42" s="503"/>
      <c r="M42" s="503"/>
      <c r="N42" s="503"/>
      <c r="O42" s="503"/>
      <c r="P42" s="503"/>
      <c r="Q42" s="503"/>
    </row>
    <row r="43" spans="1:8" ht="14.25">
      <c r="A43" s="501"/>
      <c r="B43" s="500" t="s">
        <v>323</v>
      </c>
      <c r="C43" s="498"/>
      <c r="D43" s="498"/>
      <c r="E43" s="498"/>
      <c r="F43" s="498"/>
      <c r="G43" s="499"/>
      <c r="H43" s="498"/>
    </row>
    <row r="44" spans="1:8" ht="12.75">
      <c r="A44" s="496"/>
      <c r="B44" s="496"/>
      <c r="C44" s="496"/>
      <c r="D44" s="496"/>
      <c r="E44" s="496"/>
      <c r="F44" s="496"/>
      <c r="G44" s="496"/>
      <c r="H44" s="496"/>
    </row>
    <row r="45" spans="1:8" ht="12.75">
      <c r="A45" s="497"/>
      <c r="B45" s="496"/>
      <c r="C45" s="496"/>
      <c r="D45" s="496"/>
      <c r="E45" s="496"/>
      <c r="F45" s="496"/>
      <c r="G45" s="496"/>
      <c r="H45" s="496"/>
    </row>
    <row r="46" spans="1:8" ht="12.75" hidden="1">
      <c r="A46" s="495"/>
      <c r="B46" s="495"/>
      <c r="C46" s="495"/>
      <c r="D46" s="495"/>
      <c r="E46" s="495"/>
      <c r="F46" s="495"/>
      <c r="G46" s="495"/>
      <c r="H46" s="495"/>
    </row>
    <row r="47" spans="1:8" ht="12.75" hidden="1">
      <c r="A47" s="495"/>
      <c r="B47" s="495"/>
      <c r="C47" s="495"/>
      <c r="D47" s="495"/>
      <c r="E47" s="495"/>
      <c r="F47" s="495"/>
      <c r="G47" s="495"/>
      <c r="H47" s="495"/>
    </row>
    <row r="48" spans="1:8" ht="12.75" hidden="1">
      <c r="A48" s="495"/>
      <c r="B48" s="495"/>
      <c r="C48" s="495"/>
      <c r="D48" s="495"/>
      <c r="E48" s="495"/>
      <c r="F48" s="495"/>
      <c r="G48" s="495"/>
      <c r="H48" s="495"/>
    </row>
    <row r="49" spans="1:8" ht="12.75" hidden="1">
      <c r="A49" s="495"/>
      <c r="B49" s="495"/>
      <c r="C49" s="495"/>
      <c r="D49" s="495"/>
      <c r="E49" s="495"/>
      <c r="F49" s="495"/>
      <c r="G49" s="495"/>
      <c r="H49" s="495"/>
    </row>
    <row r="50" spans="1:8" ht="12.75" hidden="1">
      <c r="A50" s="495"/>
      <c r="B50" s="495"/>
      <c r="C50" s="495"/>
      <c r="D50" s="495"/>
      <c r="E50" s="495"/>
      <c r="F50" s="495"/>
      <c r="G50" s="495"/>
      <c r="H50" s="495"/>
    </row>
    <row r="51" spans="1:8" ht="12.75" hidden="1">
      <c r="A51" s="495"/>
      <c r="B51" s="495"/>
      <c r="C51" s="495"/>
      <c r="D51" s="495"/>
      <c r="E51" s="495"/>
      <c r="F51" s="495"/>
      <c r="G51" s="495"/>
      <c r="H51" s="495"/>
    </row>
    <row r="52" spans="1:8" ht="12.75" hidden="1">
      <c r="A52" s="495"/>
      <c r="B52" s="495"/>
      <c r="C52" s="495"/>
      <c r="D52" s="495"/>
      <c r="E52" s="495"/>
      <c r="F52" s="495"/>
      <c r="G52" s="495"/>
      <c r="H52" s="495"/>
    </row>
    <row r="53" spans="1:8" ht="12.75" hidden="1">
      <c r="A53" s="495"/>
      <c r="B53" s="495"/>
      <c r="C53" s="495"/>
      <c r="D53" s="495"/>
      <c r="E53" s="495"/>
      <c r="F53" s="495"/>
      <c r="G53" s="495"/>
      <c r="H53" s="495"/>
    </row>
    <row r="54" spans="1:8" ht="12.75" hidden="1">
      <c r="A54" s="495"/>
      <c r="B54" s="495"/>
      <c r="C54" s="495"/>
      <c r="D54" s="495"/>
      <c r="E54" s="495"/>
      <c r="F54" s="495"/>
      <c r="G54" s="495"/>
      <c r="H54" s="495"/>
    </row>
    <row r="55" spans="1:8" ht="12.75" hidden="1">
      <c r="A55" s="495"/>
      <c r="B55" s="495"/>
      <c r="C55" s="495"/>
      <c r="D55" s="495"/>
      <c r="E55" s="495"/>
      <c r="F55" s="495"/>
      <c r="G55" s="495"/>
      <c r="H55" s="495"/>
    </row>
    <row r="56" spans="1:8" ht="12.75" hidden="1">
      <c r="A56" s="495"/>
      <c r="B56" s="495"/>
      <c r="C56" s="495"/>
      <c r="D56" s="495"/>
      <c r="E56" s="495"/>
      <c r="F56" s="495"/>
      <c r="G56" s="495"/>
      <c r="H56" s="495"/>
    </row>
    <row r="57" spans="1:8" ht="12.75" hidden="1">
      <c r="A57" s="495"/>
      <c r="B57" s="495"/>
      <c r="C57" s="495"/>
      <c r="D57" s="495"/>
      <c r="E57" s="495"/>
      <c r="F57" s="495"/>
      <c r="G57" s="495"/>
      <c r="H57" s="495"/>
    </row>
    <row r="58" spans="1:8" ht="12.75" hidden="1">
      <c r="A58" s="495"/>
      <c r="B58" s="495"/>
      <c r="C58" s="495"/>
      <c r="D58" s="495"/>
      <c r="E58" s="495"/>
      <c r="F58" s="495"/>
      <c r="G58" s="495"/>
      <c r="H58" s="495"/>
    </row>
    <row r="59" spans="1:8" ht="12.75" hidden="1">
      <c r="A59" s="495"/>
      <c r="B59" s="495"/>
      <c r="C59" s="495"/>
      <c r="D59" s="495"/>
      <c r="E59" s="495"/>
      <c r="F59" s="495"/>
      <c r="G59" s="495"/>
      <c r="H59" s="495"/>
    </row>
    <row r="60" spans="1:8" ht="12.75" hidden="1">
      <c r="A60" s="495"/>
      <c r="B60" s="495"/>
      <c r="C60" s="495"/>
      <c r="D60" s="495"/>
      <c r="E60" s="495"/>
      <c r="F60" s="495"/>
      <c r="G60" s="495"/>
      <c r="H60" s="495"/>
    </row>
    <row r="61" spans="1:8" ht="12.75" hidden="1">
      <c r="A61" s="495"/>
      <c r="B61" s="495"/>
      <c r="C61" s="495"/>
      <c r="D61" s="495"/>
      <c r="E61" s="495"/>
      <c r="F61" s="495"/>
      <c r="G61" s="495"/>
      <c r="H61" s="495"/>
    </row>
    <row r="62" spans="1:8" ht="12.75" hidden="1">
      <c r="A62" s="495"/>
      <c r="B62" s="495"/>
      <c r="C62" s="495"/>
      <c r="D62" s="495"/>
      <c r="E62" s="495"/>
      <c r="F62" s="495"/>
      <c r="G62" s="495"/>
      <c r="H62" s="495"/>
    </row>
    <row r="63" spans="1:16" ht="12.75" hidden="1">
      <c r="A63" s="495"/>
      <c r="B63" s="495"/>
      <c r="C63" s="495"/>
      <c r="D63" s="495"/>
      <c r="E63" s="495"/>
      <c r="F63" s="495"/>
      <c r="G63" s="495"/>
      <c r="H63" s="495"/>
      <c r="P63" s="494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sheet="1" objects="1" scenarios="1"/>
  <hyperlinks>
    <hyperlink ref="D31" r:id="rId1" display="http://www2.vobs.at/ftp-pub/allgemein/formulare/GTS.PDF"/>
  </hyperlinks>
  <printOptions horizontalCentered="1"/>
  <pageMargins left="0.77" right="0.8" top="0.8" bottom="0.7874015748031497" header="0.5118110236220472" footer="0.54"/>
  <pageSetup blackAndWhite="1" fitToHeight="1" fitToWidth="1" horizontalDpi="600" verticalDpi="600" orientation="portrait" paperSize="9" scale="94" r:id="rId3"/>
  <headerFooter alignWithMargins="0">
    <oddFooter>&amp;L&amp;D&amp;R&amp;F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>
    <tabColor rgb="FF92D050"/>
    <pageSetUpPr fitToPage="1"/>
  </sheetPr>
  <dimension ref="A1:BR54"/>
  <sheetViews>
    <sheetView showGridLines="0" showZeros="0" zoomScalePageLayoutView="0" workbookViewId="0" topLeftCell="A1">
      <pane ySplit="20" topLeftCell="A21" activePane="bottomLeft" state="frozen"/>
      <selection pane="topLeft" activeCell="E6" sqref="E6"/>
      <selection pane="bottomLeft" activeCell="A2" sqref="A2"/>
    </sheetView>
  </sheetViews>
  <sheetFormatPr defaultColWidth="11.57421875" defaultRowHeight="12.75" zeroHeight="1"/>
  <cols>
    <col min="1" max="2" width="4.28125" style="605" customWidth="1"/>
    <col min="3" max="3" width="4.8515625" style="605" bestFit="1" customWidth="1"/>
    <col min="4" max="4" width="3.140625" style="605" customWidth="1"/>
    <col min="5" max="5" width="3.28125" style="605" bestFit="1" customWidth="1"/>
    <col min="6" max="7" width="5.28125" style="605" customWidth="1"/>
    <col min="8" max="25" width="5.421875" style="605" hidden="1" customWidth="1"/>
    <col min="26" max="27" width="10.00390625" style="605" customWidth="1"/>
    <col min="28" max="29" width="5.421875" style="605" hidden="1" customWidth="1"/>
    <col min="30" max="30" width="0.9921875" style="605" customWidth="1"/>
    <col min="31" max="33" width="8.421875" style="605" customWidth="1"/>
    <col min="34" max="34" width="8.57421875" style="605" bestFit="1" customWidth="1"/>
    <col min="35" max="35" width="10.421875" style="605" hidden="1" customWidth="1"/>
    <col min="36" max="36" width="6.421875" style="0" customWidth="1"/>
    <col min="37" max="37" width="6.421875" style="0" hidden="1" customWidth="1"/>
    <col min="38" max="38" width="6.421875" style="605" hidden="1" customWidth="1"/>
    <col min="39" max="39" width="6.421875" style="605" customWidth="1"/>
    <col min="40" max="40" width="2.8515625" style="605" customWidth="1"/>
    <col min="41" max="43" width="5.7109375" style="605" hidden="1" customWidth="1"/>
    <col min="44" max="44" width="2.7109375" style="605" customWidth="1"/>
    <col min="45" max="45" width="27.7109375" style="605" customWidth="1"/>
    <col min="46" max="46" width="5.140625" style="605" customWidth="1"/>
    <col min="47" max="48" width="3.00390625" style="605" customWidth="1"/>
    <col min="49" max="59" width="3.28125" style="605" customWidth="1"/>
    <col min="60" max="60" width="6.140625" style="1" customWidth="1"/>
    <col min="61" max="63" width="6.140625" style="605" customWidth="1"/>
    <col min="64" max="67" width="5.7109375" style="0" customWidth="1"/>
    <col min="68" max="70" width="8.8515625" style="0" customWidth="1"/>
    <col min="71" max="16384" width="11.57421875" style="605" customWidth="1"/>
  </cols>
  <sheetData>
    <row r="1" spans="6:59" ht="20.25">
      <c r="F1" s="157" t="s">
        <v>68</v>
      </c>
      <c r="G1" s="157"/>
      <c r="AN1" s="606" t="str">
        <f>"…der Schüler  im SJ "&amp;KontiN!F16</f>
        <v>…der Schüler  im SJ 2020/2021</v>
      </c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</row>
    <row r="2" spans="1:59" ht="6" customHeight="1">
      <c r="A2" s="802"/>
      <c r="B2" s="1"/>
      <c r="C2" s="1"/>
      <c r="D2" s="1"/>
      <c r="E2" s="1"/>
      <c r="F2" s="1"/>
      <c r="G2" s="1"/>
      <c r="AL2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7"/>
      <c r="BF2" s="607"/>
      <c r="BG2" s="607"/>
    </row>
    <row r="3" spans="1:64" ht="20.25" customHeight="1" hidden="1">
      <c r="A3" s="589">
        <f>IF($C4&gt;0,A4+A16,)</f>
        <v>0</v>
      </c>
      <c r="B3" s="589">
        <f>IF($C4&gt;0,B4+B16,)</f>
        <v>0</v>
      </c>
      <c r="C3" s="590">
        <f>IF($C4&gt;0,C4+C16,)</f>
        <v>0</v>
      </c>
      <c r="D3" s="590"/>
      <c r="E3" s="1"/>
      <c r="F3" s="591" t="str">
        <f>BH3&amp;" Kl."</f>
        <v>0 Kl.</v>
      </c>
      <c r="G3" s="1"/>
      <c r="Z3" s="591">
        <f>SUM(Z4,Z16)</f>
        <v>0</v>
      </c>
      <c r="AA3" s="1"/>
      <c r="AE3" s="673">
        <f>SUM(AE4,AE14)</f>
        <v>0</v>
      </c>
      <c r="AJ3" s="672">
        <f>SUM(AJ9:AJ47)</f>
        <v>0</v>
      </c>
      <c r="AL3"/>
      <c r="AM3" s="682">
        <f>IF(AND(Z12&lt;&gt;"",C4&lt;(E8*3)+1),"Ressourcen nur für 3 DFöKl. !",IF(AND(Z11&lt;&gt;"",C4&lt;(E8*2)+1),"Ressourcen nur für 2 DFöKl. !",IF(AND(Z10&lt;&gt;"",C4&lt;(E8*1)+1),"Ressourcen nur für 1 DFöKl. !",IF(AND(Z9&lt;&gt;"",C4&lt;D8)," Zuwenig für 1 DFöKlasse!",))))</f>
        <v>0</v>
      </c>
      <c r="AN3"/>
      <c r="AO3"/>
      <c r="AP3"/>
      <c r="AQ3"/>
      <c r="AR3" s="783" t="str">
        <f>Bemerkung!E6</f>
        <v>PS  . . .</v>
      </c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607"/>
      <c r="BG3" s="607"/>
      <c r="BH3" s="172">
        <f>SUBTOTAL(109,F9:F12)+AT16</f>
        <v>0</v>
      </c>
      <c r="BL3">
        <f>(100-KontiN!N22)/100</f>
        <v>0.98</v>
      </c>
    </row>
    <row r="4" spans="1:59" ht="14.25" customHeight="1">
      <c r="A4" s="592">
        <f>SUM(A9:A12)</f>
        <v>0</v>
      </c>
      <c r="B4" s="592">
        <f>SUM(B9:B12)</f>
        <v>0</v>
      </c>
      <c r="C4" s="593">
        <f>SUM(C9:C12)</f>
        <v>0</v>
      </c>
      <c r="D4" s="1"/>
      <c r="E4" s="1"/>
      <c r="F4" s="1"/>
      <c r="G4" s="1"/>
      <c r="Z4" s="824">
        <f>SUM(Z9:AA12)</f>
        <v>0</v>
      </c>
      <c r="AA4" s="824"/>
      <c r="AE4" s="601">
        <f>SUM(AE9:AE12)</f>
        <v>0</v>
      </c>
      <c r="AJ4" s="785">
        <f>AR4</f>
        <v>0</v>
      </c>
      <c r="AL4" s="786" t="s">
        <v>357</v>
      </c>
      <c r="AR4" s="784">
        <f>IF(AND(AJ3&gt;0,OR(,ISNUMBER(SEARCH("Langenegg",AR3)),AR3=802641,AR3=802651,AR3=802661)),"N",)</f>
        <v>0</v>
      </c>
      <c r="AS4" s="787" t="s">
        <v>358</v>
      </c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</row>
    <row r="5" spans="1:59" ht="6" customHeight="1" hidden="1">
      <c r="A5" s="1"/>
      <c r="B5" s="1"/>
      <c r="C5" s="1"/>
      <c r="D5" s="1"/>
      <c r="E5" s="1"/>
      <c r="F5" s="1"/>
      <c r="G5" s="1"/>
      <c r="Z5" s="1"/>
      <c r="AA5" s="1"/>
      <c r="AE5"/>
      <c r="AL5"/>
      <c r="AR5" s="607"/>
      <c r="AS5" s="607"/>
      <c r="AT5" s="607"/>
      <c r="AU5" s="607"/>
      <c r="AV5" s="607"/>
      <c r="AW5" s="607"/>
      <c r="AX5" s="607"/>
      <c r="AY5" s="607"/>
      <c r="AZ5" s="607"/>
      <c r="BA5" s="607"/>
      <c r="BB5" s="607"/>
      <c r="BC5" s="607"/>
      <c r="BD5" s="607"/>
      <c r="BE5" s="607"/>
      <c r="BF5" s="607"/>
      <c r="BG5" s="607"/>
    </row>
    <row r="6" spans="1:59" ht="14.25" customHeight="1" hidden="1">
      <c r="A6" s="594"/>
      <c r="B6" s="595" t="s">
        <v>36</v>
      </c>
      <c r="C6" s="1"/>
      <c r="E6" s="827" t="s">
        <v>310</v>
      </c>
      <c r="F6" s="828"/>
      <c r="G6" s="829"/>
      <c r="Z6" s="608"/>
      <c r="AA6" s="609"/>
      <c r="AE6" s="620" t="s">
        <v>311</v>
      </c>
      <c r="AF6" s="618"/>
      <c r="AG6" s="619"/>
      <c r="AH6" s="718"/>
      <c r="AJ6" s="714" t="s">
        <v>324</v>
      </c>
      <c r="AL6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7"/>
    </row>
    <row r="7" spans="1:59" ht="14.25" customHeight="1" hidden="1">
      <c r="A7" s="596" t="s">
        <v>90</v>
      </c>
      <c r="B7" s="597" t="s">
        <v>91</v>
      </c>
      <c r="C7" s="598" t="s">
        <v>92</v>
      </c>
      <c r="E7" s="830"/>
      <c r="F7" s="831"/>
      <c r="G7" s="832"/>
      <c r="Z7" s="676" t="s">
        <v>90</v>
      </c>
      <c r="AA7" s="677" t="s">
        <v>91</v>
      </c>
      <c r="AE7" s="610" t="s">
        <v>170</v>
      </c>
      <c r="AF7" s="1"/>
      <c r="AG7" s="1"/>
      <c r="AH7" s="1"/>
      <c r="AI7" s="1"/>
      <c r="AJ7" s="715" t="s">
        <v>353</v>
      </c>
      <c r="AL7"/>
      <c r="AM7" s="1"/>
      <c r="AN7" s="1"/>
      <c r="AO7" s="1"/>
      <c r="AP7" s="1"/>
      <c r="AQ7" s="1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</row>
    <row r="8" spans="1:59" ht="4.5" customHeight="1" hidden="1">
      <c r="A8" s="1"/>
      <c r="B8" s="1"/>
      <c r="C8" s="1"/>
      <c r="D8" s="599">
        <v>8</v>
      </c>
      <c r="E8" s="600">
        <v>25</v>
      </c>
      <c r="F8" s="1"/>
      <c r="G8" s="1"/>
      <c r="Z8" s="1"/>
      <c r="AA8" s="1"/>
      <c r="AE8" s="616"/>
      <c r="AF8" s="1"/>
      <c r="AG8" s="1"/>
      <c r="AH8" s="1"/>
      <c r="AI8" s="611"/>
      <c r="AL8" s="611"/>
      <c r="AM8" s="611"/>
      <c r="AN8" s="1"/>
      <c r="AO8" s="1"/>
      <c r="AP8" s="1"/>
      <c r="AQ8" s="1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</row>
    <row r="9" spans="1:60" ht="20.25" customHeight="1" hidden="1">
      <c r="A9" s="601">
        <f aca="true" t="shared" si="0" ref="A9:B12">Z9</f>
        <v>0</v>
      </c>
      <c r="B9" s="602">
        <f t="shared" si="0"/>
        <v>0</v>
      </c>
      <c r="C9" s="21">
        <f>A9+B9</f>
        <v>0</v>
      </c>
      <c r="D9" s="603"/>
      <c r="E9" s="604"/>
      <c r="F9" s="674">
        <f>IF(C9&gt;0,1,"")</f>
      </c>
      <c r="G9" s="675">
        <f>IF(F9=1,"DF1","")</f>
      </c>
      <c r="Z9" s="678"/>
      <c r="AA9" s="679"/>
      <c r="AE9" s="680"/>
      <c r="AF9" s="612">
        <f>C9</f>
        <v>0</v>
      </c>
      <c r="AG9" s="1"/>
      <c r="AH9" s="1"/>
      <c r="AI9" s="611"/>
      <c r="AJ9" s="716"/>
      <c r="AK9" s="753">
        <f>IF(AL9="g","N",AL9)</f>
      </c>
      <c r="AL9" s="753">
        <f>IF(AND(C9=0,AJ9=0),"",IF(C9=AJ9,"J",IF(AND(C9&gt;0,AJ9&gt;0),"g","N")))</f>
      </c>
      <c r="AM9" s="617"/>
      <c r="AN9" s="80">
        <f>F9&amp;G9</f>
      </c>
      <c r="AO9" s="1"/>
      <c r="AP9" s="1"/>
      <c r="AQ9" s="1"/>
      <c r="AR9" s="613"/>
      <c r="AS9" s="614">
        <f>IF(C9&gt;0,1,)</f>
        <v>0</v>
      </c>
      <c r="AT9" s="188">
        <f>IF(C9&gt;0,9,)</f>
        <v>0</v>
      </c>
      <c r="AU9" s="615"/>
      <c r="AV9" s="615"/>
      <c r="AW9" s="615"/>
      <c r="AX9" s="615"/>
      <c r="AY9" s="615"/>
      <c r="AZ9" s="615"/>
      <c r="BA9" s="615"/>
      <c r="BB9" s="615"/>
      <c r="BC9" s="615"/>
      <c r="BD9" s="615"/>
      <c r="BE9" s="615"/>
      <c r="BF9" s="615"/>
      <c r="BG9" s="615"/>
      <c r="BH9" s="86">
        <f>IF(C9&gt;0,9,"")</f>
      </c>
    </row>
    <row r="10" spans="1:60" ht="20.25" customHeight="1" hidden="1">
      <c r="A10" s="601">
        <f t="shared" si="0"/>
        <v>0</v>
      </c>
      <c r="B10" s="601">
        <f t="shared" si="0"/>
        <v>0</v>
      </c>
      <c r="C10" s="21">
        <f>A10+B10</f>
        <v>0</v>
      </c>
      <c r="D10" s="603"/>
      <c r="E10" s="604"/>
      <c r="F10" s="674">
        <f>IF(C10&gt;0,1,"")</f>
      </c>
      <c r="G10" s="675">
        <f>IF(F10=1,"DF2","")</f>
      </c>
      <c r="Z10" s="678"/>
      <c r="AA10" s="679"/>
      <c r="AE10" s="680"/>
      <c r="AF10" s="612">
        <f>C10</f>
        <v>0</v>
      </c>
      <c r="AG10" s="1"/>
      <c r="AH10" s="1"/>
      <c r="AI10" s="611"/>
      <c r="AJ10" s="716"/>
      <c r="AK10" s="753">
        <f>IF(AL10="g","N",AL10)</f>
      </c>
      <c r="AL10" s="753">
        <f>IF(AND(C10=0,AJ10=0),"",IF(C10=AJ10,"J",IF(AND(C10&gt;0,AJ10&gt;0),"g","N")))</f>
      </c>
      <c r="AM10" s="617"/>
      <c r="AN10" s="80">
        <f>F10&amp;G10</f>
      </c>
      <c r="AO10" s="1"/>
      <c r="AP10" s="1"/>
      <c r="AQ10" s="1"/>
      <c r="AR10" s="613"/>
      <c r="AS10" s="614">
        <f>IF(C10&gt;0,1,)</f>
        <v>0</v>
      </c>
      <c r="AT10" s="188">
        <f>IF(C10&gt;0,9,)</f>
        <v>0</v>
      </c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86">
        <f>IF(C10&gt;0,9,"")</f>
      </c>
    </row>
    <row r="11" spans="1:60" ht="20.25" customHeight="1" hidden="1">
      <c r="A11" s="601">
        <f t="shared" si="0"/>
        <v>0</v>
      </c>
      <c r="B11" s="601">
        <f t="shared" si="0"/>
        <v>0</v>
      </c>
      <c r="C11" s="21">
        <f>A11+B11</f>
        <v>0</v>
      </c>
      <c r="D11" s="603"/>
      <c r="E11" s="604"/>
      <c r="F11" s="674">
        <f>IF(C11&gt;0,1,"")</f>
      </c>
      <c r="G11" s="675">
        <f>IF(F11=1,"DF3","")</f>
      </c>
      <c r="Z11" s="678"/>
      <c r="AA11" s="679"/>
      <c r="AE11" s="680"/>
      <c r="AF11" s="612">
        <f>C11</f>
        <v>0</v>
      </c>
      <c r="AG11" s="1"/>
      <c r="AH11" s="80">
        <f>F11&amp;G11</f>
      </c>
      <c r="AI11" s="611"/>
      <c r="AJ11" s="716"/>
      <c r="AK11" s="753">
        <f>IF(AL11="g","N",AL11)</f>
      </c>
      <c r="AL11" s="753">
        <f>IF(AND(C11=0,AJ11=0),"",IF(C11=AJ11,"J",IF(AND(C11&gt;0,AJ11&gt;0),"g","N")))</f>
      </c>
      <c r="AM11" s="617"/>
      <c r="AN11" s="80">
        <f>F11&amp;G11</f>
      </c>
      <c r="AO11" s="1"/>
      <c r="AP11" s="1"/>
      <c r="AQ11" s="1"/>
      <c r="AR11" s="613"/>
      <c r="AS11" s="614">
        <f>IF(C11&gt;0,1,)</f>
        <v>0</v>
      </c>
      <c r="AT11" s="188">
        <f>IF(C11&gt;0,9,)</f>
        <v>0</v>
      </c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86">
        <f>IF(C11&gt;0,9,"")</f>
      </c>
    </row>
    <row r="12" spans="1:60" ht="20.25" customHeight="1" hidden="1">
      <c r="A12" s="601">
        <f t="shared" si="0"/>
        <v>0</v>
      </c>
      <c r="B12" s="601">
        <f t="shared" si="0"/>
        <v>0</v>
      </c>
      <c r="C12" s="21">
        <f>A12+B12</f>
        <v>0</v>
      </c>
      <c r="D12" s="603"/>
      <c r="E12" s="604"/>
      <c r="F12" s="674">
        <f>IF(C12&gt;0,1,"")</f>
      </c>
      <c r="G12" s="675">
        <f>IF(F12=1,"DF4","")</f>
      </c>
      <c r="Z12" s="678"/>
      <c r="AA12" s="679"/>
      <c r="AE12" s="680"/>
      <c r="AF12" s="612">
        <f>C12</f>
        <v>0</v>
      </c>
      <c r="AG12" s="1"/>
      <c r="AH12" s="80">
        <f>F12&amp;G12</f>
      </c>
      <c r="AI12" s="611"/>
      <c r="AJ12" s="716"/>
      <c r="AK12" s="753">
        <f>IF(AL12="g","N",AL12)</f>
      </c>
      <c r="AL12" s="753">
        <f>IF(AND(C12=0,AJ12=0),"",IF(C12=AJ12,"J",IF(AND(C12&gt;0,AJ12&gt;0),"g","N")))</f>
      </c>
      <c r="AM12" s="617"/>
      <c r="AN12" s="80">
        <f>F12&amp;G12</f>
      </c>
      <c r="AO12" s="1"/>
      <c r="AP12" s="1"/>
      <c r="AQ12" s="1"/>
      <c r="AR12" s="613"/>
      <c r="AS12" s="614">
        <f>IF(C12&gt;0,1,)</f>
        <v>0</v>
      </c>
      <c r="AT12" s="188">
        <f>IF(C12&gt;0,9,)</f>
        <v>0</v>
      </c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86">
        <f>IF(C12&gt;0,9,"")</f>
      </c>
    </row>
    <row r="13" spans="38:59" ht="14.25" customHeight="1" hidden="1">
      <c r="AL13"/>
      <c r="AR13" s="607"/>
      <c r="AS13" s="607"/>
      <c r="AT13" s="607"/>
      <c r="AU13" s="607"/>
      <c r="AV13" s="607"/>
      <c r="AW13" s="607"/>
      <c r="AX13" s="607"/>
      <c r="AY13" s="607"/>
      <c r="AZ13" s="607"/>
      <c r="BA13" s="607"/>
      <c r="BB13" s="607"/>
      <c r="BC13" s="607"/>
      <c r="BD13" s="607"/>
      <c r="BE13" s="607"/>
      <c r="BF13" s="607"/>
      <c r="BG13" s="607"/>
    </row>
    <row r="14" spans="8:70" ht="13.5" customHeight="1">
      <c r="H14" s="625">
        <f>IF(H16&gt;0,COUNTIF($AT$22:$AT$49,RIGHT(H18,1))&amp;" Kl",)</f>
        <v>0</v>
      </c>
      <c r="J14" s="625">
        <f>IF(J16&gt;0,COUNTIF($AT$22:$AT$49,RIGHT(J18,1))&amp;" Kl",)</f>
        <v>0</v>
      </c>
      <c r="L14" s="625">
        <f>IF(L16&gt;0,COUNTIF($AT$22:$AT$49,RIGHT(L18,1))&amp;" Kl",)</f>
        <v>0</v>
      </c>
      <c r="N14" s="625">
        <f>IF(N16&gt;0,COUNTIF($AT$22:$AT$49,RIGHT(N18,1))&amp;" Kl",)</f>
        <v>0</v>
      </c>
      <c r="P14" s="625">
        <f>IF(P16&gt;0,COUNTIF($AT$22:$AT$49,RIGHT(P18,1))&amp;" Kl",)</f>
        <v>0</v>
      </c>
      <c r="R14" s="625">
        <f>IF(R16&gt;0,COUNTIF($AT$22:$AT$49,RIGHT(R18,1))&amp;" Kl",)</f>
        <v>0</v>
      </c>
      <c r="T14" s="625">
        <f>IF(T16&gt;0,COUNTIF($AT$22:$AT$49,RIGHT(T18,1))&amp;" Kl",)</f>
        <v>0</v>
      </c>
      <c r="V14" s="625">
        <f>IF(V16&gt;0,COUNTIF($AT$22:$AT$49,RIGHT(V18,1))&amp;" Kl",)</f>
        <v>0</v>
      </c>
      <c r="X14" s="625">
        <f>IF(X16&gt;0,COUNTIF($AT$22:$AT$49,RIGHT(X18,1))&amp;" Kl",)</f>
        <v>0</v>
      </c>
      <c r="Z14" s="625">
        <f>IF(Z16&gt;0,COUNTIF($AT$22:$AT$49,RIGHT(Z18,1))&amp;" Kl",)</f>
        <v>0</v>
      </c>
      <c r="AB14" s="625">
        <f>IF(AB16&gt;0,COUNTIF($AT$22:$AT$49,RIGHT(AB18,1))&amp;" Kl",)</f>
        <v>0</v>
      </c>
      <c r="AE14" s="811">
        <f aca="true" t="shared" si="1" ref="AE14:AM14">SUM(AE22:AE49)</f>
        <v>0</v>
      </c>
      <c r="AF14" s="806">
        <f>SUM(AF22:AF49)</f>
        <v>0</v>
      </c>
      <c r="AG14" s="806">
        <f>SUM(AG22:AG49)</f>
        <v>0</v>
      </c>
      <c r="AH14" s="811">
        <f t="shared" si="1"/>
        <v>0</v>
      </c>
      <c r="AI14" s="811">
        <f t="shared" si="1"/>
        <v>0</v>
      </c>
      <c r="AJ14" s="816" t="s">
        <v>352</v>
      </c>
      <c r="AL14"/>
      <c r="AM14" s="627">
        <f t="shared" si="1"/>
        <v>0</v>
      </c>
      <c r="AO14" s="626">
        <f>SUM(AO22:AO49)</f>
        <v>0</v>
      </c>
      <c r="AP14" s="626">
        <f>SUM(AP22:AP49)</f>
        <v>0</v>
      </c>
      <c r="AQ14" s="626">
        <f>SUM(AQ22:AQ49)</f>
        <v>0</v>
      </c>
      <c r="AR14" s="607"/>
      <c r="AS14" s="607"/>
      <c r="AT14" s="607"/>
      <c r="AU14" s="607"/>
      <c r="AV14" s="607"/>
      <c r="AW14" s="607"/>
      <c r="AX14" s="607"/>
      <c r="AY14" s="607"/>
      <c r="AZ14" s="607"/>
      <c r="BA14" s="607"/>
      <c r="BB14" s="607"/>
      <c r="BC14" s="607"/>
      <c r="BD14" s="607"/>
      <c r="BE14" s="607"/>
      <c r="BF14" s="607"/>
      <c r="BG14" s="607"/>
      <c r="BP14" s="751" t="s">
        <v>333</v>
      </c>
      <c r="BQ14" s="751" t="s">
        <v>334</v>
      </c>
      <c r="BR14" s="751" t="s">
        <v>133</v>
      </c>
    </row>
    <row r="15" spans="3:70" ht="9" customHeight="1">
      <c r="C15" s="628"/>
      <c r="F15" s="833" t="str">
        <f>AT16&amp;" Kl."</f>
        <v>0 Kl.</v>
      </c>
      <c r="G15" s="629"/>
      <c r="H15" s="630"/>
      <c r="I15" s="631">
        <f>IF(AW16&gt;0,AW16&amp;"i ",)</f>
        <v>0</v>
      </c>
      <c r="J15" s="630"/>
      <c r="K15" s="631">
        <f>IF(AX16&gt;0,AX16&amp;"i ",)</f>
        <v>0</v>
      </c>
      <c r="L15" s="630"/>
      <c r="M15" s="631">
        <f>IF(AY16&gt;0,AY16&amp;"i ",)</f>
        <v>0</v>
      </c>
      <c r="N15" s="630"/>
      <c r="O15" s="631">
        <f>IF(AZ16&gt;0,AZ16&amp;"i ",)</f>
        <v>0</v>
      </c>
      <c r="P15" s="630"/>
      <c r="Q15" s="631">
        <f>IF(BA16&gt;0,BA16&amp;"i ",)</f>
        <v>0</v>
      </c>
      <c r="R15" s="630"/>
      <c r="S15" s="631">
        <f>IF(BB16&gt;0,BB16&amp;"i ",)</f>
        <v>0</v>
      </c>
      <c r="T15" s="630"/>
      <c r="U15" s="631">
        <f>IF(BC16&gt;0,BC16&amp;"i ",)</f>
        <v>0</v>
      </c>
      <c r="V15" s="630"/>
      <c r="W15" s="631">
        <f>IF(BD16&gt;0,BD16&amp;"i ",)</f>
        <v>0</v>
      </c>
      <c r="X15" s="630"/>
      <c r="Y15" s="631">
        <f>IF(BE16&gt;0,BE16&amp;"i ",)</f>
        <v>0</v>
      </c>
      <c r="Z15" s="630"/>
      <c r="AA15" s="631">
        <f>IF(BF16&gt;0,BF16&amp;"i ",)</f>
        <v>0</v>
      </c>
      <c r="AB15" s="630"/>
      <c r="AC15" s="631">
        <f>IF(BG16&gt;0,BG16&amp;"i ",)</f>
        <v>0</v>
      </c>
      <c r="AE15" s="811"/>
      <c r="AF15" s="806"/>
      <c r="AG15" s="806"/>
      <c r="AH15" s="811"/>
      <c r="AI15" s="811"/>
      <c r="AJ15" s="817"/>
      <c r="AL15" s="760" t="s">
        <v>336</v>
      </c>
      <c r="AM15" s="825" t="s">
        <v>69</v>
      </c>
      <c r="AO15" s="632"/>
      <c r="AP15" s="632"/>
      <c r="AQ15" s="632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P15" s="681"/>
      <c r="BQ15" s="681" t="s">
        <v>335</v>
      </c>
      <c r="BR15" s="681"/>
    </row>
    <row r="16" spans="1:70" s="635" customFormat="1" ht="17.25" customHeight="1">
      <c r="A16" s="633">
        <f>SUM(A22:A49)</f>
        <v>0</v>
      </c>
      <c r="B16" s="633">
        <f>SUM(B22:B49)</f>
        <v>0</v>
      </c>
      <c r="C16" s="634">
        <f>SUM(C22:C49)</f>
        <v>0</v>
      </c>
      <c r="F16" s="833"/>
      <c r="G16" s="629"/>
      <c r="H16" s="803">
        <f>SUM(H22:I49)</f>
        <v>0</v>
      </c>
      <c r="I16" s="803"/>
      <c r="J16" s="803">
        <f>SUM(J22:K49)</f>
        <v>0</v>
      </c>
      <c r="K16" s="803"/>
      <c r="L16" s="803">
        <f>SUM(L22:M49)</f>
        <v>0</v>
      </c>
      <c r="M16" s="803"/>
      <c r="N16" s="803">
        <f>SUM(N22:O49)</f>
        <v>0</v>
      </c>
      <c r="O16" s="803"/>
      <c r="P16" s="803">
        <f>SUM(P22:Q49)</f>
        <v>0</v>
      </c>
      <c r="Q16" s="803"/>
      <c r="R16" s="803">
        <f>SUM(R22:S49)</f>
        <v>0</v>
      </c>
      <c r="S16" s="803"/>
      <c r="T16" s="803">
        <f>SUM(T22:U49)</f>
        <v>0</v>
      </c>
      <c r="U16" s="803"/>
      <c r="V16" s="803">
        <f>SUM(V22:W49)</f>
        <v>0</v>
      </c>
      <c r="W16" s="803"/>
      <c r="X16" s="803">
        <f>SUM(X22:Y49)</f>
        <v>0</v>
      </c>
      <c r="Y16" s="803"/>
      <c r="Z16" s="803">
        <f>SUM(Z22:AA49)</f>
        <v>0</v>
      </c>
      <c r="AA16" s="803"/>
      <c r="AB16" s="803">
        <f>SUM(AB22:AC49)</f>
        <v>0</v>
      </c>
      <c r="AC16" s="803"/>
      <c r="AE16" s="636"/>
      <c r="AF16" s="671">
        <f>SUM(AF14:AG15)</f>
        <v>0</v>
      </c>
      <c r="AG16" s="672"/>
      <c r="AH16" s="637"/>
      <c r="AI16" s="637"/>
      <c r="AJ16" s="817"/>
      <c r="AK16"/>
      <c r="AL16" s="1"/>
      <c r="AM16" s="825"/>
      <c r="AO16" s="638"/>
      <c r="AP16" s="639"/>
      <c r="AQ16" s="640" t="s">
        <v>70</v>
      </c>
      <c r="AR16" s="641"/>
      <c r="AS16" s="641"/>
      <c r="AT16" s="172">
        <f>BH16</f>
        <v>0</v>
      </c>
      <c r="AU16" s="641"/>
      <c r="AV16" s="641"/>
      <c r="AW16" s="158">
        <f aca="true" t="shared" si="2" ref="AW16:BG16">SUM(AW22:AW49)</f>
        <v>0</v>
      </c>
      <c r="AX16" s="158">
        <f t="shared" si="2"/>
        <v>0</v>
      </c>
      <c r="AY16" s="158">
        <f t="shared" si="2"/>
        <v>0</v>
      </c>
      <c r="AZ16" s="158">
        <f t="shared" si="2"/>
        <v>0</v>
      </c>
      <c r="BA16" s="158">
        <f t="shared" si="2"/>
        <v>0</v>
      </c>
      <c r="BB16" s="158">
        <f t="shared" si="2"/>
        <v>0</v>
      </c>
      <c r="BC16" s="158">
        <f t="shared" si="2"/>
        <v>0</v>
      </c>
      <c r="BD16" s="158">
        <f t="shared" si="2"/>
        <v>0</v>
      </c>
      <c r="BE16" s="158">
        <f t="shared" si="2"/>
        <v>0</v>
      </c>
      <c r="BF16" s="158">
        <f t="shared" si="2"/>
        <v>0</v>
      </c>
      <c r="BG16" s="158">
        <f t="shared" si="2"/>
        <v>0</v>
      </c>
      <c r="BH16" s="172">
        <f>26-COUNTBLANK(BH22:BH47)</f>
        <v>0</v>
      </c>
      <c r="BL16" s="1"/>
      <c r="BM16" s="1"/>
      <c r="BN16" s="1"/>
      <c r="BO16" s="1"/>
      <c r="BP16" s="681"/>
      <c r="BQ16" s="681"/>
      <c r="BR16" s="681"/>
    </row>
    <row r="17" spans="9:59" ht="6" customHeight="1">
      <c r="I17" s="642"/>
      <c r="Q17" s="642"/>
      <c r="Y17" s="642"/>
      <c r="AE17" s="807" t="s">
        <v>319</v>
      </c>
      <c r="AF17" s="808"/>
      <c r="AG17" s="808"/>
      <c r="AH17" s="808"/>
      <c r="AI17" s="643"/>
      <c r="AJ17" s="818"/>
      <c r="AK17" s="751">
        <f>SUMIF(AL22:AL47,"g",AJ22:AJ47)+SUMIF(AL9:AL12,"g",AJ9:AJ12)</f>
        <v>0</v>
      </c>
      <c r="AL17" s="751">
        <f>COUNTIF(AL22:AL47,"g")+COUNTIF(AL9:AL12,"g")</f>
        <v>0</v>
      </c>
      <c r="AM17" s="825"/>
      <c r="AO17" s="812" t="s">
        <v>71</v>
      </c>
      <c r="AP17" s="814" t="s">
        <v>72</v>
      </c>
      <c r="AQ17" s="804" t="s">
        <v>73</v>
      </c>
      <c r="AR17" s="607"/>
      <c r="AS17" s="607"/>
      <c r="AT17" s="607"/>
      <c r="AU17" s="607"/>
      <c r="AV17" s="607"/>
      <c r="AW17" s="607"/>
      <c r="AX17" s="607"/>
      <c r="AY17" s="607"/>
      <c r="AZ17" s="607"/>
      <c r="BA17" s="607"/>
      <c r="BB17" s="607"/>
      <c r="BC17" s="607"/>
      <c r="BD17" s="607"/>
      <c r="BE17" s="607"/>
      <c r="BF17" s="607"/>
      <c r="BG17" s="607"/>
    </row>
    <row r="18" spans="1:59" ht="14.25">
      <c r="A18" s="644"/>
      <c r="B18" s="645" t="s">
        <v>36</v>
      </c>
      <c r="C18" s="635"/>
      <c r="D18" s="635"/>
      <c r="E18" s="635"/>
      <c r="F18" s="820" t="s">
        <v>74</v>
      </c>
      <c r="G18" s="821"/>
      <c r="H18" s="646" t="s">
        <v>75</v>
      </c>
      <c r="I18" s="647"/>
      <c r="J18" s="646" t="s">
        <v>76</v>
      </c>
      <c r="K18" s="647"/>
      <c r="L18" s="646" t="s">
        <v>77</v>
      </c>
      <c r="M18" s="647"/>
      <c r="N18" s="646" t="s">
        <v>78</v>
      </c>
      <c r="O18" s="647"/>
      <c r="P18" s="646" t="s">
        <v>79</v>
      </c>
      <c r="Q18" s="647"/>
      <c r="R18" s="646" t="s">
        <v>80</v>
      </c>
      <c r="S18" s="647"/>
      <c r="T18" s="646" t="s">
        <v>81</v>
      </c>
      <c r="U18" s="647"/>
      <c r="V18" s="646" t="s">
        <v>82</v>
      </c>
      <c r="W18" s="647"/>
      <c r="X18" s="646" t="s">
        <v>83</v>
      </c>
      <c r="Y18" s="647"/>
      <c r="Z18" s="648" t="s">
        <v>84</v>
      </c>
      <c r="AA18" s="647"/>
      <c r="AB18" s="646" t="s">
        <v>85</v>
      </c>
      <c r="AC18" s="647"/>
      <c r="AE18" s="809"/>
      <c r="AF18" s="810"/>
      <c r="AG18" s="810"/>
      <c r="AH18" s="810"/>
      <c r="AI18" s="649" t="s">
        <v>86</v>
      </c>
      <c r="AJ18" s="818"/>
      <c r="AK18" s="751">
        <f>SUMIF(AL22:AL47,"J",AJ22:AJ47)</f>
        <v>0</v>
      </c>
      <c r="AL18" s="751">
        <f>COUNTIF(AL22:AL47,"J")</f>
        <v>0</v>
      </c>
      <c r="AM18" s="825"/>
      <c r="AO18" s="812"/>
      <c r="AP18" s="814"/>
      <c r="AQ18" s="804"/>
      <c r="AR18" s="607"/>
      <c r="AS18" s="159" t="s">
        <v>87</v>
      </c>
      <c r="AT18" s="160" t="s">
        <v>88</v>
      </c>
      <c r="AU18" s="161"/>
      <c r="AV18" s="161"/>
      <c r="AW18" s="162" t="s">
        <v>89</v>
      </c>
      <c r="AX18" s="641"/>
      <c r="AY18" s="641"/>
      <c r="AZ18" s="641"/>
      <c r="BA18" s="641"/>
      <c r="BB18" s="641"/>
      <c r="BC18" s="641"/>
      <c r="BD18" s="641"/>
      <c r="BE18" s="641"/>
      <c r="BF18" s="641"/>
      <c r="BG18" s="607"/>
    </row>
    <row r="19" spans="1:59" ht="14.25">
      <c r="A19" s="650" t="s">
        <v>90</v>
      </c>
      <c r="B19" s="651" t="s">
        <v>91</v>
      </c>
      <c r="C19" s="652" t="s">
        <v>92</v>
      </c>
      <c r="D19" s="653"/>
      <c r="E19" s="653"/>
      <c r="F19" s="822"/>
      <c r="G19" s="823"/>
      <c r="H19" s="654" t="s">
        <v>90</v>
      </c>
      <c r="I19" s="655" t="s">
        <v>91</v>
      </c>
      <c r="J19" s="654" t="s">
        <v>90</v>
      </c>
      <c r="K19" s="655" t="s">
        <v>91</v>
      </c>
      <c r="L19" s="654" t="s">
        <v>90</v>
      </c>
      <c r="M19" s="655" t="s">
        <v>91</v>
      </c>
      <c r="N19" s="654" t="s">
        <v>90</v>
      </c>
      <c r="O19" s="655" t="s">
        <v>91</v>
      </c>
      <c r="P19" s="654" t="s">
        <v>90</v>
      </c>
      <c r="Q19" s="655" t="s">
        <v>91</v>
      </c>
      <c r="R19" s="654" t="s">
        <v>90</v>
      </c>
      <c r="S19" s="655" t="s">
        <v>91</v>
      </c>
      <c r="T19" s="654" t="s">
        <v>90</v>
      </c>
      <c r="U19" s="655" t="s">
        <v>91</v>
      </c>
      <c r="V19" s="654" t="s">
        <v>90</v>
      </c>
      <c r="W19" s="655" t="s">
        <v>91</v>
      </c>
      <c r="X19" s="654" t="s">
        <v>90</v>
      </c>
      <c r="Y19" s="655" t="s">
        <v>91</v>
      </c>
      <c r="Z19" s="654" t="s">
        <v>90</v>
      </c>
      <c r="AA19" s="655" t="s">
        <v>91</v>
      </c>
      <c r="AB19" s="654" t="s">
        <v>90</v>
      </c>
      <c r="AC19" s="655" t="s">
        <v>91</v>
      </c>
      <c r="AE19" s="656" t="s">
        <v>170</v>
      </c>
      <c r="AF19" s="621" t="s">
        <v>328</v>
      </c>
      <c r="AG19" s="657" t="s">
        <v>329</v>
      </c>
      <c r="AH19" s="763" t="s">
        <v>94</v>
      </c>
      <c r="AI19" s="717" t="s">
        <v>95</v>
      </c>
      <c r="AJ19" s="819"/>
      <c r="AK19" s="751">
        <f>SUMIF(AL22:AL47,"N",AJ22:AJ47)+SUMIF(AL9:AL12,"N",AJ9:AJ12)</f>
        <v>0</v>
      </c>
      <c r="AL19" s="751">
        <f>COUNTIF(AL22:AL47,"N")+COUNTIF(AL9:AL12,"N")</f>
        <v>0</v>
      </c>
      <c r="AM19" s="826"/>
      <c r="AO19" s="813"/>
      <c r="AP19" s="815"/>
      <c r="AQ19" s="805"/>
      <c r="AR19" s="607"/>
      <c r="AS19" s="159" t="s">
        <v>96</v>
      </c>
      <c r="AT19" s="160" t="s">
        <v>97</v>
      </c>
      <c r="AU19" s="161"/>
      <c r="AV19" s="161"/>
      <c r="AW19" s="158">
        <v>0</v>
      </c>
      <c r="AX19" s="158">
        <v>1</v>
      </c>
      <c r="AY19" s="158">
        <v>2</v>
      </c>
      <c r="AZ19" s="158">
        <v>3</v>
      </c>
      <c r="BA19" s="158">
        <v>4</v>
      </c>
      <c r="BB19" s="158">
        <v>5</v>
      </c>
      <c r="BC19" s="158">
        <v>6</v>
      </c>
      <c r="BD19" s="158">
        <v>7</v>
      </c>
      <c r="BE19" s="158">
        <v>8</v>
      </c>
      <c r="BF19" s="158">
        <v>9</v>
      </c>
      <c r="BG19" s="158">
        <v>10</v>
      </c>
    </row>
    <row r="20" spans="1:70" s="1" customFormat="1" ht="4.5" customHeight="1">
      <c r="A20" s="10"/>
      <c r="B20" s="10"/>
      <c r="C20" s="21"/>
      <c r="AE20" s="616"/>
      <c r="AF20" s="719"/>
      <c r="AG20" s="616"/>
      <c r="AH20" s="616"/>
      <c r="AI20" s="616"/>
      <c r="AJ20"/>
      <c r="AK20"/>
      <c r="AL20"/>
      <c r="AR20" s="615"/>
      <c r="AS20" s="187"/>
      <c r="AT20" s="188"/>
      <c r="AU20" s="188"/>
      <c r="AV20" s="188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L20"/>
      <c r="BM20"/>
      <c r="BN20"/>
      <c r="BO20"/>
      <c r="BP20"/>
      <c r="BQ20"/>
      <c r="BR20"/>
    </row>
    <row r="21" spans="1:70" s="1" customFormat="1" ht="12.75" customHeight="1" hidden="1">
      <c r="A21" s="1" t="s">
        <v>98</v>
      </c>
      <c r="B21" s="1" t="s">
        <v>99</v>
      </c>
      <c r="C21" s="21" t="s">
        <v>100</v>
      </c>
      <c r="D21" s="1" t="s">
        <v>101</v>
      </c>
      <c r="E21" s="1" t="s">
        <v>102</v>
      </c>
      <c r="F21" s="1" t="s">
        <v>103</v>
      </c>
      <c r="G21" s="1" t="s">
        <v>104</v>
      </c>
      <c r="H21" s="1" t="s">
        <v>105</v>
      </c>
      <c r="I21" s="1" t="s">
        <v>106</v>
      </c>
      <c r="J21" s="1" t="s">
        <v>107</v>
      </c>
      <c r="K21" s="1" t="s">
        <v>108</v>
      </c>
      <c r="L21" s="1" t="s">
        <v>109</v>
      </c>
      <c r="M21" s="1" t="s">
        <v>110</v>
      </c>
      <c r="N21" s="1" t="s">
        <v>111</v>
      </c>
      <c r="O21" s="1" t="s">
        <v>112</v>
      </c>
      <c r="P21" s="1" t="s">
        <v>113</v>
      </c>
      <c r="Q21" s="1" t="s">
        <v>114</v>
      </c>
      <c r="R21" s="1" t="s">
        <v>115</v>
      </c>
      <c r="S21" s="1" t="s">
        <v>116</v>
      </c>
      <c r="T21" s="1" t="s">
        <v>117</v>
      </c>
      <c r="U21" s="1" t="s">
        <v>118</v>
      </c>
      <c r="V21" s="1" t="s">
        <v>119</v>
      </c>
      <c r="W21" s="1" t="s">
        <v>120</v>
      </c>
      <c r="X21" s="1" t="s">
        <v>121</v>
      </c>
      <c r="Y21" s="1" t="s">
        <v>122</v>
      </c>
      <c r="Z21" s="1" t="s">
        <v>123</v>
      </c>
      <c r="AA21" s="1" t="s">
        <v>124</v>
      </c>
      <c r="AB21" s="1" t="s">
        <v>125</v>
      </c>
      <c r="AC21" s="1" t="s">
        <v>126</v>
      </c>
      <c r="AD21" s="1" t="s">
        <v>127</v>
      </c>
      <c r="AE21" s="622" t="s">
        <v>93</v>
      </c>
      <c r="AF21" s="622" t="s">
        <v>128</v>
      </c>
      <c r="AG21" s="622" t="s">
        <v>313</v>
      </c>
      <c r="AH21" s="622" t="s">
        <v>129</v>
      </c>
      <c r="AI21" s="622" t="s">
        <v>130</v>
      </c>
      <c r="AJ21" s="1" t="s">
        <v>333</v>
      </c>
      <c r="AK21" s="1" t="s">
        <v>334</v>
      </c>
      <c r="AL21" s="1" t="s">
        <v>131</v>
      </c>
      <c r="AM21" s="1" t="s">
        <v>132</v>
      </c>
      <c r="AN21" s="1" t="s">
        <v>133</v>
      </c>
      <c r="AO21" s="1" t="s">
        <v>134</v>
      </c>
      <c r="AP21" s="1" t="s">
        <v>135</v>
      </c>
      <c r="AQ21" s="1" t="s">
        <v>136</v>
      </c>
      <c r="AR21" s="615" t="s">
        <v>168</v>
      </c>
      <c r="AS21" s="615" t="s">
        <v>171</v>
      </c>
      <c r="AT21" s="615" t="s">
        <v>172</v>
      </c>
      <c r="AU21" s="615" t="s">
        <v>173</v>
      </c>
      <c r="AV21" s="615" t="s">
        <v>174</v>
      </c>
      <c r="AW21" s="615" t="s">
        <v>175</v>
      </c>
      <c r="AX21" s="615" t="s">
        <v>176</v>
      </c>
      <c r="AY21" s="615" t="s">
        <v>177</v>
      </c>
      <c r="AZ21" s="615"/>
      <c r="BA21" s="615"/>
      <c r="BB21" s="615"/>
      <c r="BC21" s="615"/>
      <c r="BD21" s="615"/>
      <c r="BE21" s="615"/>
      <c r="BF21" s="615"/>
      <c r="BG21" s="615"/>
      <c r="BI21" s="1" t="s">
        <v>298</v>
      </c>
      <c r="BJ21" s="1" t="s">
        <v>315</v>
      </c>
      <c r="BK21" s="6" t="s">
        <v>316</v>
      </c>
      <c r="BL21" s="6" t="s">
        <v>362</v>
      </c>
      <c r="BM21" s="6" t="s">
        <v>363</v>
      </c>
      <c r="BN21" s="6"/>
      <c r="BO21" s="6"/>
      <c r="BP21" s="1" t="s">
        <v>333</v>
      </c>
      <c r="BQ21" s="1" t="s">
        <v>334</v>
      </c>
      <c r="BR21" s="1" t="s">
        <v>133</v>
      </c>
    </row>
    <row r="22" spans="1:70" ht="20.25" customHeight="1">
      <c r="A22" s="626">
        <f aca="true" t="shared" si="3" ref="A22:A47">H22+J22+L22+N22+P22+R22+T22+V22+X22+Z22+AB22</f>
        <v>0</v>
      </c>
      <c r="B22" s="626">
        <f aca="true" t="shared" si="4" ref="B22:B47">I22+K22+M22+O22+Q22+S22+U22+W22+Y22+AA22+AC22</f>
        <v>0</v>
      </c>
      <c r="C22" s="658">
        <f aca="true" t="shared" si="5" ref="C22:C47">A22+B22</f>
        <v>0</v>
      </c>
      <c r="D22" s="625">
        <f aca="true" t="shared" si="6" ref="D22:D47">IF(AS22&lt;2,,"m. "&amp;AS22)</f>
        <v>0</v>
      </c>
      <c r="E22" s="659">
        <f aca="true" t="shared" si="7" ref="E22:E47">IF(OR(AO22&gt;C22/2,AP22&gt;C22/2,AQ22&gt;C22/2),"#",)</f>
        <v>0</v>
      </c>
      <c r="F22" s="660">
        <v>1</v>
      </c>
      <c r="G22" s="661"/>
      <c r="Z22" s="662"/>
      <c r="AA22" s="663"/>
      <c r="AE22" s="664"/>
      <c r="AF22" s="665"/>
      <c r="AG22" s="665"/>
      <c r="AH22" s="665"/>
      <c r="AJ22" s="716"/>
      <c r="AK22" s="753">
        <f>IF(AL22="g","N",AL22)</f>
      </c>
      <c r="AL22" s="788">
        <f>IF(AND(C22=0,AJ22=0),"",IF(AND(C22=AJ22,AJ$4&lt;&gt;"N"),"J",IF(AND(C22&gt;0,AJ22&gt;0,AJ22&lt;&gt;C22),"g","N")))</f>
      </c>
      <c r="AM22" s="666"/>
      <c r="AN22" s="667" t="str">
        <f aca="true" t="shared" si="8" ref="AN22:AN47">F22&amp;G22</f>
        <v>1</v>
      </c>
      <c r="AR22" s="668"/>
      <c r="AS22" s="163">
        <f aca="true" t="shared" si="9" ref="AS22:AS47">IF(C22&gt;0,(IF(SUM(H22:I22)&gt;0,1,)+IF(SUM(J22:K22)&gt;0,1,)+IF(SUM(L22:M22)&gt;0,1,)+IF(SUM(N22:O22)&gt;0,1,)+IF(SUM(P22:Q22)&gt;0,1,)+IF(SUM(R22:S22)&gt;0,1,)+IF(SUM(T22:U22)&gt;0,1,)+IF(SUM(V22:W22)&gt;0,1,)+IF(SUM(X22:Y22)&gt;0,1,)+IF(SUM(Z22:AA22)&gt;0,1,)+IF(SUM(AB22:AC22)&gt;0,1,)),)</f>
        <v>0</v>
      </c>
      <c r="AT22" s="161">
        <f aca="true" t="shared" si="10" ref="AT22:AT47">IF(C22&gt;0,AU22+AV22,)</f>
        <v>0</v>
      </c>
      <c r="AU22" s="164">
        <f aca="true" t="shared" si="11" ref="AU22:AU47">IF(SUM(Z22:AC22)&gt;0,9,IF(SUM(X22:Y22)&gt;0,8,IF(SUM(V22:W22)&gt;0,7,IF(SUM(T22:U22)&gt;0,6,IF(SUM(R22:S22)&gt;0,5,)))))</f>
        <v>0</v>
      </c>
      <c r="AV22" s="164" t="str">
        <f aca="true" t="shared" si="12" ref="AV22:AV47">IF(AU22&gt;0,0,IF(SUM(P22:Q22)&gt;0,4,IF(SUM(N22:O22)&gt;0,3,IF(SUM(L22:M22)&gt;0,2,IF(SUM(J22:K22)&gt;0,1,"0")))))</f>
        <v>0</v>
      </c>
      <c r="AW22" s="158">
        <f aca="true" t="shared" si="13" ref="AW22:BG31">IF($AT22=AW$19,$AH22,)</f>
        <v>0</v>
      </c>
      <c r="AX22" s="158">
        <f t="shared" si="13"/>
        <v>0</v>
      </c>
      <c r="AY22" s="158">
        <f t="shared" si="13"/>
        <v>0</v>
      </c>
      <c r="AZ22" s="158">
        <f t="shared" si="13"/>
        <v>0</v>
      </c>
      <c r="BA22" s="158">
        <f t="shared" si="13"/>
        <v>0</v>
      </c>
      <c r="BB22" s="158">
        <f t="shared" si="13"/>
        <v>0</v>
      </c>
      <c r="BC22" s="158">
        <f t="shared" si="13"/>
        <v>0</v>
      </c>
      <c r="BD22" s="158">
        <f t="shared" si="13"/>
        <v>0</v>
      </c>
      <c r="BE22" s="158">
        <f t="shared" si="13"/>
        <v>0</v>
      </c>
      <c r="BF22" s="158">
        <f t="shared" si="13"/>
        <v>0</v>
      </c>
      <c r="BG22" s="158">
        <f t="shared" si="13"/>
        <v>0</v>
      </c>
      <c r="BH22" s="86">
        <f>IF(C22&gt;0,AU22+AV22,"")</f>
      </c>
      <c r="BI22" s="1" t="s">
        <v>299</v>
      </c>
      <c r="BP22" s="752"/>
      <c r="BQ22" s="753"/>
      <c r="BR22" s="754"/>
    </row>
    <row r="23" spans="1:61" ht="20.25" customHeight="1">
      <c r="A23" s="626">
        <f t="shared" si="3"/>
        <v>0</v>
      </c>
      <c r="B23" s="626">
        <f t="shared" si="4"/>
        <v>0</v>
      </c>
      <c r="C23" s="658">
        <f t="shared" si="5"/>
        <v>0</v>
      </c>
      <c r="D23" s="625">
        <f t="shared" si="6"/>
        <v>0</v>
      </c>
      <c r="E23" s="659">
        <f t="shared" si="7"/>
        <v>0</v>
      </c>
      <c r="F23" s="660"/>
      <c r="G23" s="661"/>
      <c r="Z23" s="662"/>
      <c r="AA23" s="663"/>
      <c r="AE23" s="664"/>
      <c r="AF23" s="665"/>
      <c r="AG23" s="665"/>
      <c r="AH23" s="665"/>
      <c r="AJ23" s="716"/>
      <c r="AK23" s="753">
        <f>IF(AL23="g","N",AL23)</f>
      </c>
      <c r="AL23" s="788">
        <f aca="true" t="shared" si="14" ref="AL23:AL47">IF(AND(C23=0,AJ23=0),"",IF(AND(C23=AJ23,AJ$4&lt;&gt;"N"),"J",IF(AND(C23&gt;0,AJ23&gt;0,AJ23&lt;&gt;C23),"g","N")))</f>
      </c>
      <c r="AM23" s="666"/>
      <c r="AN23" s="667">
        <f t="shared" si="8"/>
      </c>
      <c r="AR23" s="668"/>
      <c r="AS23" s="163">
        <f t="shared" si="9"/>
        <v>0</v>
      </c>
      <c r="AT23" s="161">
        <f t="shared" si="10"/>
        <v>0</v>
      </c>
      <c r="AU23" s="164">
        <f t="shared" si="11"/>
        <v>0</v>
      </c>
      <c r="AV23" s="164" t="str">
        <f t="shared" si="12"/>
        <v>0</v>
      </c>
      <c r="AW23" s="158">
        <f t="shared" si="13"/>
        <v>0</v>
      </c>
      <c r="AX23" s="158">
        <f t="shared" si="13"/>
        <v>0</v>
      </c>
      <c r="AY23" s="158">
        <f t="shared" si="13"/>
        <v>0</v>
      </c>
      <c r="AZ23" s="158">
        <f t="shared" si="13"/>
        <v>0</v>
      </c>
      <c r="BA23" s="158">
        <f t="shared" si="13"/>
        <v>0</v>
      </c>
      <c r="BB23" s="158">
        <f t="shared" si="13"/>
        <v>0</v>
      </c>
      <c r="BC23" s="158">
        <f t="shared" si="13"/>
        <v>0</v>
      </c>
      <c r="BD23" s="158">
        <f t="shared" si="13"/>
        <v>0</v>
      </c>
      <c r="BE23" s="158">
        <f t="shared" si="13"/>
        <v>0</v>
      </c>
      <c r="BF23" s="158">
        <f t="shared" si="13"/>
        <v>0</v>
      </c>
      <c r="BG23" s="158">
        <f t="shared" si="13"/>
        <v>0</v>
      </c>
      <c r="BH23" s="86">
        <f aca="true" t="shared" si="15" ref="BH23:BH47">IF(C23&gt;0,AU23+AV23,"")</f>
      </c>
      <c r="BI23" s="1"/>
    </row>
    <row r="24" spans="1:61" ht="20.25" customHeight="1">
      <c r="A24" s="626">
        <f t="shared" si="3"/>
        <v>0</v>
      </c>
      <c r="B24" s="626">
        <f t="shared" si="4"/>
        <v>0</v>
      </c>
      <c r="C24" s="658">
        <f t="shared" si="5"/>
        <v>0</v>
      </c>
      <c r="D24" s="625">
        <f t="shared" si="6"/>
        <v>0</v>
      </c>
      <c r="E24" s="659">
        <f t="shared" si="7"/>
        <v>0</v>
      </c>
      <c r="F24" s="660"/>
      <c r="G24" s="661"/>
      <c r="Z24" s="662"/>
      <c r="AA24" s="663"/>
      <c r="AE24" s="664"/>
      <c r="AF24" s="665"/>
      <c r="AG24" s="665"/>
      <c r="AH24" s="665"/>
      <c r="AJ24" s="716"/>
      <c r="AK24" s="753">
        <f aca="true" t="shared" si="16" ref="AK24:AK47">IF(AL24="g","N",AL24)</f>
      </c>
      <c r="AL24" s="788">
        <f t="shared" si="14"/>
      </c>
      <c r="AM24" s="666"/>
      <c r="AN24" s="667">
        <f t="shared" si="8"/>
      </c>
      <c r="AR24" s="668"/>
      <c r="AS24" s="163">
        <f t="shared" si="9"/>
        <v>0</v>
      </c>
      <c r="AT24" s="161">
        <f t="shared" si="10"/>
        <v>0</v>
      </c>
      <c r="AU24" s="164">
        <f t="shared" si="11"/>
        <v>0</v>
      </c>
      <c r="AV24" s="164" t="str">
        <f t="shared" si="12"/>
        <v>0</v>
      </c>
      <c r="AW24" s="158">
        <f t="shared" si="13"/>
        <v>0</v>
      </c>
      <c r="AX24" s="158">
        <f t="shared" si="13"/>
        <v>0</v>
      </c>
      <c r="AY24" s="158">
        <f t="shared" si="13"/>
        <v>0</v>
      </c>
      <c r="AZ24" s="158">
        <f t="shared" si="13"/>
        <v>0</v>
      </c>
      <c r="BA24" s="158">
        <f t="shared" si="13"/>
        <v>0</v>
      </c>
      <c r="BB24" s="158">
        <f t="shared" si="13"/>
        <v>0</v>
      </c>
      <c r="BC24" s="158">
        <f t="shared" si="13"/>
        <v>0</v>
      </c>
      <c r="BD24" s="158">
        <f t="shared" si="13"/>
        <v>0</v>
      </c>
      <c r="BE24" s="158">
        <f t="shared" si="13"/>
        <v>0</v>
      </c>
      <c r="BF24" s="158">
        <f t="shared" si="13"/>
        <v>0</v>
      </c>
      <c r="BG24" s="158">
        <f t="shared" si="13"/>
        <v>0</v>
      </c>
      <c r="BH24" s="86">
        <f t="shared" si="15"/>
      </c>
      <c r="BI24" s="1"/>
    </row>
    <row r="25" spans="1:61" ht="20.25" customHeight="1">
      <c r="A25" s="626">
        <f t="shared" si="3"/>
        <v>0</v>
      </c>
      <c r="B25" s="626">
        <f t="shared" si="4"/>
        <v>0</v>
      </c>
      <c r="C25" s="658">
        <f t="shared" si="5"/>
        <v>0</v>
      </c>
      <c r="D25" s="625">
        <f t="shared" si="6"/>
        <v>0</v>
      </c>
      <c r="E25" s="659">
        <f t="shared" si="7"/>
        <v>0</v>
      </c>
      <c r="F25" s="660"/>
      <c r="G25" s="661"/>
      <c r="Z25" s="662"/>
      <c r="AA25" s="663"/>
      <c r="AE25" s="664"/>
      <c r="AF25" s="665"/>
      <c r="AG25" s="665"/>
      <c r="AH25" s="665"/>
      <c r="AJ25" s="716"/>
      <c r="AK25" s="753">
        <f t="shared" si="16"/>
      </c>
      <c r="AL25" s="788">
        <f t="shared" si="14"/>
      </c>
      <c r="AM25" s="666"/>
      <c r="AN25" s="667">
        <f t="shared" si="8"/>
      </c>
      <c r="AR25" s="668"/>
      <c r="AS25" s="163">
        <f t="shared" si="9"/>
        <v>0</v>
      </c>
      <c r="AT25" s="161">
        <f t="shared" si="10"/>
        <v>0</v>
      </c>
      <c r="AU25" s="164">
        <f t="shared" si="11"/>
        <v>0</v>
      </c>
      <c r="AV25" s="164" t="str">
        <f t="shared" si="12"/>
        <v>0</v>
      </c>
      <c r="AW25" s="158">
        <f t="shared" si="13"/>
        <v>0</v>
      </c>
      <c r="AX25" s="158">
        <f t="shared" si="13"/>
        <v>0</v>
      </c>
      <c r="AY25" s="158">
        <f t="shared" si="13"/>
        <v>0</v>
      </c>
      <c r="AZ25" s="158">
        <f t="shared" si="13"/>
        <v>0</v>
      </c>
      <c r="BA25" s="158">
        <f t="shared" si="13"/>
        <v>0</v>
      </c>
      <c r="BB25" s="158">
        <f t="shared" si="13"/>
        <v>0</v>
      </c>
      <c r="BC25" s="158">
        <f t="shared" si="13"/>
        <v>0</v>
      </c>
      <c r="BD25" s="158">
        <f t="shared" si="13"/>
        <v>0</v>
      </c>
      <c r="BE25" s="158">
        <f t="shared" si="13"/>
        <v>0</v>
      </c>
      <c r="BF25" s="158">
        <f t="shared" si="13"/>
        <v>0</v>
      </c>
      <c r="BG25" s="158">
        <f t="shared" si="13"/>
        <v>0</v>
      </c>
      <c r="BH25" s="86">
        <f t="shared" si="15"/>
      </c>
      <c r="BI25" s="1"/>
    </row>
    <row r="26" spans="1:61" ht="20.25" customHeight="1">
      <c r="A26" s="626">
        <f t="shared" si="3"/>
        <v>0</v>
      </c>
      <c r="B26" s="626">
        <f t="shared" si="4"/>
        <v>0</v>
      </c>
      <c r="C26" s="658">
        <f t="shared" si="5"/>
        <v>0</v>
      </c>
      <c r="D26" s="625">
        <f t="shared" si="6"/>
        <v>0</v>
      </c>
      <c r="E26" s="659">
        <f t="shared" si="7"/>
        <v>0</v>
      </c>
      <c r="F26" s="660"/>
      <c r="G26" s="661"/>
      <c r="Z26" s="662"/>
      <c r="AA26" s="663"/>
      <c r="AE26" s="664"/>
      <c r="AF26" s="665"/>
      <c r="AG26" s="665"/>
      <c r="AH26" s="665"/>
      <c r="AJ26" s="716"/>
      <c r="AK26" s="753">
        <f t="shared" si="16"/>
      </c>
      <c r="AL26" s="788">
        <f t="shared" si="14"/>
      </c>
      <c r="AM26" s="666"/>
      <c r="AN26" s="667">
        <f t="shared" si="8"/>
      </c>
      <c r="AR26" s="668"/>
      <c r="AS26" s="163">
        <f t="shared" si="9"/>
        <v>0</v>
      </c>
      <c r="AT26" s="161">
        <f t="shared" si="10"/>
        <v>0</v>
      </c>
      <c r="AU26" s="164">
        <f t="shared" si="11"/>
        <v>0</v>
      </c>
      <c r="AV26" s="164" t="str">
        <f t="shared" si="12"/>
        <v>0</v>
      </c>
      <c r="AW26" s="158">
        <f t="shared" si="13"/>
        <v>0</v>
      </c>
      <c r="AX26" s="158">
        <f t="shared" si="13"/>
        <v>0</v>
      </c>
      <c r="AY26" s="158">
        <f t="shared" si="13"/>
        <v>0</v>
      </c>
      <c r="AZ26" s="158">
        <f t="shared" si="13"/>
        <v>0</v>
      </c>
      <c r="BA26" s="158">
        <f t="shared" si="13"/>
        <v>0</v>
      </c>
      <c r="BB26" s="158">
        <f t="shared" si="13"/>
        <v>0</v>
      </c>
      <c r="BC26" s="158">
        <f t="shared" si="13"/>
        <v>0</v>
      </c>
      <c r="BD26" s="158">
        <f t="shared" si="13"/>
        <v>0</v>
      </c>
      <c r="BE26" s="158">
        <f t="shared" si="13"/>
        <v>0</v>
      </c>
      <c r="BF26" s="158">
        <f t="shared" si="13"/>
        <v>0</v>
      </c>
      <c r="BG26" s="158">
        <f t="shared" si="13"/>
        <v>0</v>
      </c>
      <c r="BH26" s="86">
        <f t="shared" si="15"/>
      </c>
      <c r="BI26" s="1"/>
    </row>
    <row r="27" spans="1:61" ht="20.25" customHeight="1">
      <c r="A27" s="626">
        <f t="shared" si="3"/>
        <v>0</v>
      </c>
      <c r="B27" s="626">
        <f t="shared" si="4"/>
        <v>0</v>
      </c>
      <c r="C27" s="658">
        <f t="shared" si="5"/>
        <v>0</v>
      </c>
      <c r="D27" s="625">
        <f t="shared" si="6"/>
        <v>0</v>
      </c>
      <c r="E27" s="659">
        <f t="shared" si="7"/>
        <v>0</v>
      </c>
      <c r="F27" s="660"/>
      <c r="G27" s="661"/>
      <c r="Z27" s="662"/>
      <c r="AA27" s="663"/>
      <c r="AE27" s="664"/>
      <c r="AF27" s="665"/>
      <c r="AG27" s="665"/>
      <c r="AH27" s="665"/>
      <c r="AJ27" s="716"/>
      <c r="AK27" s="753">
        <f t="shared" si="16"/>
      </c>
      <c r="AL27" s="788">
        <f t="shared" si="14"/>
      </c>
      <c r="AM27" s="666"/>
      <c r="AN27" s="667">
        <f t="shared" si="8"/>
      </c>
      <c r="AR27" s="668"/>
      <c r="AS27" s="163">
        <f t="shared" si="9"/>
        <v>0</v>
      </c>
      <c r="AT27" s="161">
        <f t="shared" si="10"/>
        <v>0</v>
      </c>
      <c r="AU27" s="164">
        <f t="shared" si="11"/>
        <v>0</v>
      </c>
      <c r="AV27" s="164" t="str">
        <f t="shared" si="12"/>
        <v>0</v>
      </c>
      <c r="AW27" s="158">
        <f t="shared" si="13"/>
        <v>0</v>
      </c>
      <c r="AX27" s="158">
        <f t="shared" si="13"/>
        <v>0</v>
      </c>
      <c r="AY27" s="158">
        <f t="shared" si="13"/>
        <v>0</v>
      </c>
      <c r="AZ27" s="158">
        <f t="shared" si="13"/>
        <v>0</v>
      </c>
      <c r="BA27" s="158">
        <f t="shared" si="13"/>
        <v>0</v>
      </c>
      <c r="BB27" s="158">
        <f t="shared" si="13"/>
        <v>0</v>
      </c>
      <c r="BC27" s="158">
        <f t="shared" si="13"/>
        <v>0</v>
      </c>
      <c r="BD27" s="158">
        <f t="shared" si="13"/>
        <v>0</v>
      </c>
      <c r="BE27" s="158">
        <f t="shared" si="13"/>
        <v>0</v>
      </c>
      <c r="BF27" s="158">
        <f t="shared" si="13"/>
        <v>0</v>
      </c>
      <c r="BG27" s="158">
        <f t="shared" si="13"/>
        <v>0</v>
      </c>
      <c r="BH27" s="86">
        <f t="shared" si="15"/>
      </c>
      <c r="BI27" s="1"/>
    </row>
    <row r="28" spans="1:61" ht="20.25" customHeight="1">
      <c r="A28" s="626">
        <f t="shared" si="3"/>
        <v>0</v>
      </c>
      <c r="B28" s="626">
        <f t="shared" si="4"/>
        <v>0</v>
      </c>
      <c r="C28" s="658">
        <f t="shared" si="5"/>
        <v>0</v>
      </c>
      <c r="D28" s="625">
        <f t="shared" si="6"/>
        <v>0</v>
      </c>
      <c r="E28" s="659">
        <f t="shared" si="7"/>
        <v>0</v>
      </c>
      <c r="F28" s="660"/>
      <c r="G28" s="661"/>
      <c r="Z28" s="662"/>
      <c r="AA28" s="663"/>
      <c r="AE28" s="664"/>
      <c r="AF28" s="665"/>
      <c r="AG28" s="665"/>
      <c r="AH28" s="665"/>
      <c r="AJ28" s="716"/>
      <c r="AK28" s="753">
        <f t="shared" si="16"/>
      </c>
      <c r="AL28" s="788">
        <f t="shared" si="14"/>
      </c>
      <c r="AM28" s="666"/>
      <c r="AN28" s="667">
        <f t="shared" si="8"/>
      </c>
      <c r="AR28" s="668"/>
      <c r="AS28" s="163">
        <f t="shared" si="9"/>
        <v>0</v>
      </c>
      <c r="AT28" s="161">
        <f t="shared" si="10"/>
        <v>0</v>
      </c>
      <c r="AU28" s="164">
        <f t="shared" si="11"/>
        <v>0</v>
      </c>
      <c r="AV28" s="164" t="str">
        <f t="shared" si="12"/>
        <v>0</v>
      </c>
      <c r="AW28" s="158">
        <f t="shared" si="13"/>
        <v>0</v>
      </c>
      <c r="AX28" s="158">
        <f t="shared" si="13"/>
        <v>0</v>
      </c>
      <c r="AY28" s="158">
        <f t="shared" si="13"/>
        <v>0</v>
      </c>
      <c r="AZ28" s="158">
        <f t="shared" si="13"/>
        <v>0</v>
      </c>
      <c r="BA28" s="158">
        <f t="shared" si="13"/>
        <v>0</v>
      </c>
      <c r="BB28" s="158">
        <f t="shared" si="13"/>
        <v>0</v>
      </c>
      <c r="BC28" s="158">
        <f t="shared" si="13"/>
        <v>0</v>
      </c>
      <c r="BD28" s="158">
        <f t="shared" si="13"/>
        <v>0</v>
      </c>
      <c r="BE28" s="158">
        <f t="shared" si="13"/>
        <v>0</v>
      </c>
      <c r="BF28" s="158">
        <f t="shared" si="13"/>
        <v>0</v>
      </c>
      <c r="BG28" s="158">
        <f t="shared" si="13"/>
        <v>0</v>
      </c>
      <c r="BH28" s="86">
        <f t="shared" si="15"/>
      </c>
      <c r="BI28" s="1"/>
    </row>
    <row r="29" spans="1:61" ht="20.25" customHeight="1">
      <c r="A29" s="626">
        <f t="shared" si="3"/>
        <v>0</v>
      </c>
      <c r="B29" s="626">
        <f t="shared" si="4"/>
        <v>0</v>
      </c>
      <c r="C29" s="658">
        <f t="shared" si="5"/>
        <v>0</v>
      </c>
      <c r="D29" s="625">
        <f t="shared" si="6"/>
        <v>0</v>
      </c>
      <c r="E29" s="659">
        <f t="shared" si="7"/>
        <v>0</v>
      </c>
      <c r="F29" s="660"/>
      <c r="G29" s="661"/>
      <c r="Z29" s="662"/>
      <c r="AA29" s="663"/>
      <c r="AE29" s="664"/>
      <c r="AF29" s="665"/>
      <c r="AG29" s="665"/>
      <c r="AH29" s="665"/>
      <c r="AJ29" s="716"/>
      <c r="AK29" s="753">
        <f t="shared" si="16"/>
      </c>
      <c r="AL29" s="788">
        <f t="shared" si="14"/>
      </c>
      <c r="AM29" s="666"/>
      <c r="AN29" s="667">
        <f t="shared" si="8"/>
      </c>
      <c r="AR29" s="668"/>
      <c r="AS29" s="163">
        <f t="shared" si="9"/>
        <v>0</v>
      </c>
      <c r="AT29" s="161">
        <f t="shared" si="10"/>
        <v>0</v>
      </c>
      <c r="AU29" s="164">
        <f t="shared" si="11"/>
        <v>0</v>
      </c>
      <c r="AV29" s="164" t="str">
        <f t="shared" si="12"/>
        <v>0</v>
      </c>
      <c r="AW29" s="158">
        <f t="shared" si="13"/>
        <v>0</v>
      </c>
      <c r="AX29" s="158">
        <f t="shared" si="13"/>
        <v>0</v>
      </c>
      <c r="AY29" s="158">
        <f t="shared" si="13"/>
        <v>0</v>
      </c>
      <c r="AZ29" s="158">
        <f t="shared" si="13"/>
        <v>0</v>
      </c>
      <c r="BA29" s="158">
        <f t="shared" si="13"/>
        <v>0</v>
      </c>
      <c r="BB29" s="158">
        <f t="shared" si="13"/>
        <v>0</v>
      </c>
      <c r="BC29" s="158">
        <f t="shared" si="13"/>
        <v>0</v>
      </c>
      <c r="BD29" s="158">
        <f t="shared" si="13"/>
        <v>0</v>
      </c>
      <c r="BE29" s="158">
        <f t="shared" si="13"/>
        <v>0</v>
      </c>
      <c r="BF29" s="158">
        <f t="shared" si="13"/>
        <v>0</v>
      </c>
      <c r="BG29" s="158">
        <f t="shared" si="13"/>
        <v>0</v>
      </c>
      <c r="BH29" s="86">
        <f t="shared" si="15"/>
      </c>
      <c r="BI29" s="1"/>
    </row>
    <row r="30" spans="1:61" ht="20.25" customHeight="1">
      <c r="A30" s="626">
        <f t="shared" si="3"/>
        <v>0</v>
      </c>
      <c r="B30" s="626">
        <f t="shared" si="4"/>
        <v>0</v>
      </c>
      <c r="C30" s="658">
        <f t="shared" si="5"/>
        <v>0</v>
      </c>
      <c r="D30" s="625">
        <f t="shared" si="6"/>
        <v>0</v>
      </c>
      <c r="E30" s="659">
        <f t="shared" si="7"/>
        <v>0</v>
      </c>
      <c r="F30" s="660"/>
      <c r="G30" s="661"/>
      <c r="Z30" s="662"/>
      <c r="AA30" s="663"/>
      <c r="AE30" s="664"/>
      <c r="AF30" s="665"/>
      <c r="AG30" s="665"/>
      <c r="AH30" s="665"/>
      <c r="AJ30" s="716"/>
      <c r="AK30" s="753">
        <f t="shared" si="16"/>
      </c>
      <c r="AL30" s="788">
        <f t="shared" si="14"/>
      </c>
      <c r="AM30" s="666"/>
      <c r="AN30" s="667">
        <f t="shared" si="8"/>
      </c>
      <c r="AR30" s="668"/>
      <c r="AS30" s="163">
        <f t="shared" si="9"/>
        <v>0</v>
      </c>
      <c r="AT30" s="161">
        <f t="shared" si="10"/>
        <v>0</v>
      </c>
      <c r="AU30" s="164">
        <f t="shared" si="11"/>
        <v>0</v>
      </c>
      <c r="AV30" s="164" t="str">
        <f t="shared" si="12"/>
        <v>0</v>
      </c>
      <c r="AW30" s="158">
        <f t="shared" si="13"/>
        <v>0</v>
      </c>
      <c r="AX30" s="158">
        <f t="shared" si="13"/>
        <v>0</v>
      </c>
      <c r="AY30" s="158">
        <f t="shared" si="13"/>
        <v>0</v>
      </c>
      <c r="AZ30" s="158">
        <f t="shared" si="13"/>
        <v>0</v>
      </c>
      <c r="BA30" s="158">
        <f t="shared" si="13"/>
        <v>0</v>
      </c>
      <c r="BB30" s="158">
        <f t="shared" si="13"/>
        <v>0</v>
      </c>
      <c r="BC30" s="158">
        <f t="shared" si="13"/>
        <v>0</v>
      </c>
      <c r="BD30" s="158">
        <f t="shared" si="13"/>
        <v>0</v>
      </c>
      <c r="BE30" s="158">
        <f t="shared" si="13"/>
        <v>0</v>
      </c>
      <c r="BF30" s="158">
        <f t="shared" si="13"/>
        <v>0</v>
      </c>
      <c r="BG30" s="158">
        <f t="shared" si="13"/>
        <v>0</v>
      </c>
      <c r="BH30" s="86">
        <f t="shared" si="15"/>
      </c>
      <c r="BI30" s="1"/>
    </row>
    <row r="31" spans="1:61" ht="20.25" customHeight="1">
      <c r="A31" s="626">
        <f t="shared" si="3"/>
        <v>0</v>
      </c>
      <c r="B31" s="626">
        <f t="shared" si="4"/>
        <v>0</v>
      </c>
      <c r="C31" s="658">
        <f t="shared" si="5"/>
        <v>0</v>
      </c>
      <c r="D31" s="625">
        <f t="shared" si="6"/>
        <v>0</v>
      </c>
      <c r="E31" s="659">
        <f t="shared" si="7"/>
        <v>0</v>
      </c>
      <c r="F31" s="660"/>
      <c r="G31" s="661"/>
      <c r="Z31" s="662"/>
      <c r="AA31" s="663"/>
      <c r="AE31" s="664"/>
      <c r="AF31" s="665"/>
      <c r="AG31" s="665"/>
      <c r="AH31" s="665"/>
      <c r="AJ31" s="716"/>
      <c r="AK31" s="753">
        <f t="shared" si="16"/>
      </c>
      <c r="AL31" s="788">
        <f t="shared" si="14"/>
      </c>
      <c r="AM31" s="666"/>
      <c r="AN31" s="667">
        <f t="shared" si="8"/>
      </c>
      <c r="AR31" s="668"/>
      <c r="AS31" s="163">
        <f t="shared" si="9"/>
        <v>0</v>
      </c>
      <c r="AT31" s="161">
        <f t="shared" si="10"/>
        <v>0</v>
      </c>
      <c r="AU31" s="164">
        <f t="shared" si="11"/>
        <v>0</v>
      </c>
      <c r="AV31" s="164" t="str">
        <f t="shared" si="12"/>
        <v>0</v>
      </c>
      <c r="AW31" s="158">
        <f t="shared" si="13"/>
        <v>0</v>
      </c>
      <c r="AX31" s="158">
        <f t="shared" si="13"/>
        <v>0</v>
      </c>
      <c r="AY31" s="158">
        <f t="shared" si="13"/>
        <v>0</v>
      </c>
      <c r="AZ31" s="158">
        <f t="shared" si="13"/>
        <v>0</v>
      </c>
      <c r="BA31" s="158">
        <f t="shared" si="13"/>
        <v>0</v>
      </c>
      <c r="BB31" s="158">
        <f t="shared" si="13"/>
        <v>0</v>
      </c>
      <c r="BC31" s="158">
        <f t="shared" si="13"/>
        <v>0</v>
      </c>
      <c r="BD31" s="158">
        <f t="shared" si="13"/>
        <v>0</v>
      </c>
      <c r="BE31" s="158">
        <f t="shared" si="13"/>
        <v>0</v>
      </c>
      <c r="BF31" s="158">
        <f t="shared" si="13"/>
        <v>0</v>
      </c>
      <c r="BG31" s="158">
        <f t="shared" si="13"/>
        <v>0</v>
      </c>
      <c r="BH31" s="86">
        <f t="shared" si="15"/>
      </c>
      <c r="BI31" s="1"/>
    </row>
    <row r="32" spans="1:61" ht="20.25" customHeight="1">
      <c r="A32" s="626">
        <f t="shared" si="3"/>
        <v>0</v>
      </c>
      <c r="B32" s="626">
        <f t="shared" si="4"/>
        <v>0</v>
      </c>
      <c r="C32" s="658">
        <f t="shared" si="5"/>
        <v>0</v>
      </c>
      <c r="D32" s="625">
        <f t="shared" si="6"/>
        <v>0</v>
      </c>
      <c r="E32" s="659">
        <f t="shared" si="7"/>
        <v>0</v>
      </c>
      <c r="F32" s="660"/>
      <c r="G32" s="661"/>
      <c r="Z32" s="662"/>
      <c r="AA32" s="663"/>
      <c r="AE32" s="664"/>
      <c r="AF32" s="665"/>
      <c r="AG32" s="665"/>
      <c r="AH32" s="665"/>
      <c r="AJ32" s="716"/>
      <c r="AK32" s="753">
        <f t="shared" si="16"/>
      </c>
      <c r="AL32" s="788">
        <f t="shared" si="14"/>
      </c>
      <c r="AM32" s="666"/>
      <c r="AN32" s="667">
        <f t="shared" si="8"/>
      </c>
      <c r="AR32" s="668"/>
      <c r="AS32" s="163">
        <f t="shared" si="9"/>
        <v>0</v>
      </c>
      <c r="AT32" s="161">
        <f t="shared" si="10"/>
        <v>0</v>
      </c>
      <c r="AU32" s="164">
        <f t="shared" si="11"/>
        <v>0</v>
      </c>
      <c r="AV32" s="164" t="str">
        <f t="shared" si="12"/>
        <v>0</v>
      </c>
      <c r="AW32" s="158">
        <f aca="true" t="shared" si="17" ref="AW32:BG41">IF($AT32=AW$19,$AH32,)</f>
        <v>0</v>
      </c>
      <c r="AX32" s="158">
        <f t="shared" si="17"/>
        <v>0</v>
      </c>
      <c r="AY32" s="158">
        <f t="shared" si="17"/>
        <v>0</v>
      </c>
      <c r="AZ32" s="158">
        <f t="shared" si="17"/>
        <v>0</v>
      </c>
      <c r="BA32" s="158">
        <f t="shared" si="17"/>
        <v>0</v>
      </c>
      <c r="BB32" s="158">
        <f t="shared" si="17"/>
        <v>0</v>
      </c>
      <c r="BC32" s="158">
        <f t="shared" si="17"/>
        <v>0</v>
      </c>
      <c r="BD32" s="158">
        <f t="shared" si="17"/>
        <v>0</v>
      </c>
      <c r="BE32" s="158">
        <f t="shared" si="17"/>
        <v>0</v>
      </c>
      <c r="BF32" s="158">
        <f t="shared" si="17"/>
        <v>0</v>
      </c>
      <c r="BG32" s="158">
        <f t="shared" si="17"/>
        <v>0</v>
      </c>
      <c r="BH32" s="86">
        <f t="shared" si="15"/>
      </c>
      <c r="BI32" s="1"/>
    </row>
    <row r="33" spans="1:61" ht="20.25" customHeight="1">
      <c r="A33" s="626">
        <f t="shared" si="3"/>
        <v>0</v>
      </c>
      <c r="B33" s="626">
        <f t="shared" si="4"/>
        <v>0</v>
      </c>
      <c r="C33" s="658">
        <f t="shared" si="5"/>
        <v>0</v>
      </c>
      <c r="D33" s="625">
        <f t="shared" si="6"/>
        <v>0</v>
      </c>
      <c r="E33" s="659">
        <f t="shared" si="7"/>
        <v>0</v>
      </c>
      <c r="F33" s="660"/>
      <c r="G33" s="661"/>
      <c r="Z33" s="662"/>
      <c r="AA33" s="663"/>
      <c r="AE33" s="664"/>
      <c r="AF33" s="665"/>
      <c r="AG33" s="665"/>
      <c r="AH33" s="665"/>
      <c r="AJ33" s="716"/>
      <c r="AK33" s="753">
        <f t="shared" si="16"/>
      </c>
      <c r="AL33" s="788">
        <f t="shared" si="14"/>
      </c>
      <c r="AM33" s="666"/>
      <c r="AN33" s="667">
        <f t="shared" si="8"/>
      </c>
      <c r="AR33" s="668"/>
      <c r="AS33" s="163">
        <f t="shared" si="9"/>
        <v>0</v>
      </c>
      <c r="AT33" s="161">
        <f t="shared" si="10"/>
        <v>0</v>
      </c>
      <c r="AU33" s="164">
        <f t="shared" si="11"/>
        <v>0</v>
      </c>
      <c r="AV33" s="164" t="str">
        <f t="shared" si="12"/>
        <v>0</v>
      </c>
      <c r="AW33" s="158">
        <f t="shared" si="17"/>
        <v>0</v>
      </c>
      <c r="AX33" s="158">
        <f t="shared" si="17"/>
        <v>0</v>
      </c>
      <c r="AY33" s="158">
        <f t="shared" si="17"/>
        <v>0</v>
      </c>
      <c r="AZ33" s="158">
        <f t="shared" si="17"/>
        <v>0</v>
      </c>
      <c r="BA33" s="158">
        <f t="shared" si="17"/>
        <v>0</v>
      </c>
      <c r="BB33" s="158">
        <f t="shared" si="17"/>
        <v>0</v>
      </c>
      <c r="BC33" s="158">
        <f t="shared" si="17"/>
        <v>0</v>
      </c>
      <c r="BD33" s="158">
        <f t="shared" si="17"/>
        <v>0</v>
      </c>
      <c r="BE33" s="158">
        <f t="shared" si="17"/>
        <v>0</v>
      </c>
      <c r="BF33" s="158">
        <f t="shared" si="17"/>
        <v>0</v>
      </c>
      <c r="BG33" s="158">
        <f t="shared" si="17"/>
        <v>0</v>
      </c>
      <c r="BH33" s="86">
        <f t="shared" si="15"/>
      </c>
      <c r="BI33" s="1"/>
    </row>
    <row r="34" spans="1:61" ht="20.25" customHeight="1">
      <c r="A34" s="626">
        <f t="shared" si="3"/>
        <v>0</v>
      </c>
      <c r="B34" s="626">
        <f t="shared" si="4"/>
        <v>0</v>
      </c>
      <c r="C34" s="658">
        <f t="shared" si="5"/>
        <v>0</v>
      </c>
      <c r="D34" s="625">
        <f t="shared" si="6"/>
        <v>0</v>
      </c>
      <c r="E34" s="659">
        <f t="shared" si="7"/>
        <v>0</v>
      </c>
      <c r="F34" s="660"/>
      <c r="G34" s="661"/>
      <c r="Z34" s="662"/>
      <c r="AA34" s="663"/>
      <c r="AE34" s="664"/>
      <c r="AF34" s="665"/>
      <c r="AG34" s="665"/>
      <c r="AH34" s="665"/>
      <c r="AJ34" s="716"/>
      <c r="AK34" s="753">
        <f t="shared" si="16"/>
      </c>
      <c r="AL34" s="788">
        <f t="shared" si="14"/>
      </c>
      <c r="AM34" s="666"/>
      <c r="AN34" s="667">
        <f t="shared" si="8"/>
      </c>
      <c r="AR34" s="668"/>
      <c r="AS34" s="163">
        <f t="shared" si="9"/>
        <v>0</v>
      </c>
      <c r="AT34" s="161">
        <f t="shared" si="10"/>
        <v>0</v>
      </c>
      <c r="AU34" s="164">
        <f t="shared" si="11"/>
        <v>0</v>
      </c>
      <c r="AV34" s="164" t="str">
        <f t="shared" si="12"/>
        <v>0</v>
      </c>
      <c r="AW34" s="158">
        <f t="shared" si="17"/>
        <v>0</v>
      </c>
      <c r="AX34" s="158">
        <f t="shared" si="17"/>
        <v>0</v>
      </c>
      <c r="AY34" s="158">
        <f t="shared" si="17"/>
        <v>0</v>
      </c>
      <c r="AZ34" s="158">
        <f t="shared" si="17"/>
        <v>0</v>
      </c>
      <c r="BA34" s="158">
        <f t="shared" si="17"/>
        <v>0</v>
      </c>
      <c r="BB34" s="158">
        <f t="shared" si="17"/>
        <v>0</v>
      </c>
      <c r="BC34" s="158">
        <f t="shared" si="17"/>
        <v>0</v>
      </c>
      <c r="BD34" s="158">
        <f t="shared" si="17"/>
        <v>0</v>
      </c>
      <c r="BE34" s="158">
        <f t="shared" si="17"/>
        <v>0</v>
      </c>
      <c r="BF34" s="158">
        <f t="shared" si="17"/>
        <v>0</v>
      </c>
      <c r="BG34" s="158">
        <f t="shared" si="17"/>
        <v>0</v>
      </c>
      <c r="BH34" s="86">
        <f t="shared" si="15"/>
      </c>
      <c r="BI34" s="1"/>
    </row>
    <row r="35" spans="1:61" ht="20.25" customHeight="1">
      <c r="A35" s="626">
        <f t="shared" si="3"/>
        <v>0</v>
      </c>
      <c r="B35" s="626">
        <f t="shared" si="4"/>
        <v>0</v>
      </c>
      <c r="C35" s="658">
        <f t="shared" si="5"/>
        <v>0</v>
      </c>
      <c r="D35" s="625">
        <f t="shared" si="6"/>
        <v>0</v>
      </c>
      <c r="E35" s="659">
        <f t="shared" si="7"/>
        <v>0</v>
      </c>
      <c r="F35" s="660"/>
      <c r="G35" s="661"/>
      <c r="Z35" s="662"/>
      <c r="AA35" s="663"/>
      <c r="AE35" s="664"/>
      <c r="AF35" s="665"/>
      <c r="AG35" s="665"/>
      <c r="AH35" s="665"/>
      <c r="AJ35" s="716"/>
      <c r="AK35" s="753">
        <f t="shared" si="16"/>
      </c>
      <c r="AL35" s="788">
        <f t="shared" si="14"/>
      </c>
      <c r="AM35" s="666"/>
      <c r="AN35" s="667">
        <f t="shared" si="8"/>
      </c>
      <c r="AR35" s="668"/>
      <c r="AS35" s="163">
        <f t="shared" si="9"/>
        <v>0</v>
      </c>
      <c r="AT35" s="161">
        <f t="shared" si="10"/>
        <v>0</v>
      </c>
      <c r="AU35" s="164">
        <f t="shared" si="11"/>
        <v>0</v>
      </c>
      <c r="AV35" s="164" t="str">
        <f t="shared" si="12"/>
        <v>0</v>
      </c>
      <c r="AW35" s="158">
        <f t="shared" si="17"/>
        <v>0</v>
      </c>
      <c r="AX35" s="158">
        <f t="shared" si="17"/>
        <v>0</v>
      </c>
      <c r="AY35" s="158">
        <f t="shared" si="17"/>
        <v>0</v>
      </c>
      <c r="AZ35" s="158">
        <f t="shared" si="17"/>
        <v>0</v>
      </c>
      <c r="BA35" s="158">
        <f t="shared" si="17"/>
        <v>0</v>
      </c>
      <c r="BB35" s="158">
        <f t="shared" si="17"/>
        <v>0</v>
      </c>
      <c r="BC35" s="158">
        <f t="shared" si="17"/>
        <v>0</v>
      </c>
      <c r="BD35" s="158">
        <f t="shared" si="17"/>
        <v>0</v>
      </c>
      <c r="BE35" s="158">
        <f t="shared" si="17"/>
        <v>0</v>
      </c>
      <c r="BF35" s="158">
        <f t="shared" si="17"/>
        <v>0</v>
      </c>
      <c r="BG35" s="158">
        <f t="shared" si="17"/>
        <v>0</v>
      </c>
      <c r="BH35" s="86">
        <f t="shared" si="15"/>
      </c>
      <c r="BI35" s="1"/>
    </row>
    <row r="36" spans="1:61" ht="20.25" customHeight="1">
      <c r="A36" s="626">
        <f t="shared" si="3"/>
        <v>0</v>
      </c>
      <c r="B36" s="626">
        <f t="shared" si="4"/>
        <v>0</v>
      </c>
      <c r="C36" s="658">
        <f t="shared" si="5"/>
        <v>0</v>
      </c>
      <c r="D36" s="625">
        <f t="shared" si="6"/>
        <v>0</v>
      </c>
      <c r="E36" s="659">
        <f t="shared" si="7"/>
        <v>0</v>
      </c>
      <c r="F36" s="660"/>
      <c r="G36" s="661"/>
      <c r="Z36" s="662"/>
      <c r="AA36" s="663"/>
      <c r="AE36" s="664"/>
      <c r="AF36" s="665"/>
      <c r="AG36" s="665"/>
      <c r="AH36" s="665"/>
      <c r="AJ36" s="716"/>
      <c r="AK36" s="753">
        <f t="shared" si="16"/>
      </c>
      <c r="AL36" s="788">
        <f t="shared" si="14"/>
      </c>
      <c r="AM36" s="666"/>
      <c r="AN36" s="667">
        <f t="shared" si="8"/>
      </c>
      <c r="AR36" s="668"/>
      <c r="AS36" s="163">
        <f t="shared" si="9"/>
        <v>0</v>
      </c>
      <c r="AT36" s="161">
        <f t="shared" si="10"/>
        <v>0</v>
      </c>
      <c r="AU36" s="164">
        <f t="shared" si="11"/>
        <v>0</v>
      </c>
      <c r="AV36" s="164" t="str">
        <f t="shared" si="12"/>
        <v>0</v>
      </c>
      <c r="AW36" s="158">
        <f t="shared" si="17"/>
        <v>0</v>
      </c>
      <c r="AX36" s="158">
        <f t="shared" si="17"/>
        <v>0</v>
      </c>
      <c r="AY36" s="158">
        <f t="shared" si="17"/>
        <v>0</v>
      </c>
      <c r="AZ36" s="158">
        <f t="shared" si="17"/>
        <v>0</v>
      </c>
      <c r="BA36" s="158">
        <f t="shared" si="17"/>
        <v>0</v>
      </c>
      <c r="BB36" s="158">
        <f t="shared" si="17"/>
        <v>0</v>
      </c>
      <c r="BC36" s="158">
        <f t="shared" si="17"/>
        <v>0</v>
      </c>
      <c r="BD36" s="158">
        <f t="shared" si="17"/>
        <v>0</v>
      </c>
      <c r="BE36" s="158">
        <f t="shared" si="17"/>
        <v>0</v>
      </c>
      <c r="BF36" s="158">
        <f t="shared" si="17"/>
        <v>0</v>
      </c>
      <c r="BG36" s="158">
        <f t="shared" si="17"/>
        <v>0</v>
      </c>
      <c r="BH36" s="86">
        <f t="shared" si="15"/>
      </c>
      <c r="BI36" s="1"/>
    </row>
    <row r="37" spans="1:61" ht="20.25" customHeight="1">
      <c r="A37" s="626">
        <f t="shared" si="3"/>
        <v>0</v>
      </c>
      <c r="B37" s="626">
        <f t="shared" si="4"/>
        <v>0</v>
      </c>
      <c r="C37" s="658">
        <f t="shared" si="5"/>
        <v>0</v>
      </c>
      <c r="D37" s="625">
        <f t="shared" si="6"/>
        <v>0</v>
      </c>
      <c r="E37" s="659">
        <f t="shared" si="7"/>
        <v>0</v>
      </c>
      <c r="F37" s="660"/>
      <c r="G37" s="661"/>
      <c r="Z37" s="662"/>
      <c r="AA37" s="663"/>
      <c r="AE37" s="664"/>
      <c r="AF37" s="665"/>
      <c r="AG37" s="665"/>
      <c r="AH37" s="665"/>
      <c r="AJ37" s="716"/>
      <c r="AK37" s="753">
        <f t="shared" si="16"/>
      </c>
      <c r="AL37" s="788">
        <f t="shared" si="14"/>
      </c>
      <c r="AM37" s="666"/>
      <c r="AN37" s="667">
        <f t="shared" si="8"/>
      </c>
      <c r="AR37" s="668"/>
      <c r="AS37" s="163">
        <f t="shared" si="9"/>
        <v>0</v>
      </c>
      <c r="AT37" s="161">
        <f t="shared" si="10"/>
        <v>0</v>
      </c>
      <c r="AU37" s="164">
        <f t="shared" si="11"/>
        <v>0</v>
      </c>
      <c r="AV37" s="164" t="str">
        <f t="shared" si="12"/>
        <v>0</v>
      </c>
      <c r="AW37" s="158">
        <f t="shared" si="17"/>
        <v>0</v>
      </c>
      <c r="AX37" s="158">
        <f t="shared" si="17"/>
        <v>0</v>
      </c>
      <c r="AY37" s="158">
        <f t="shared" si="17"/>
        <v>0</v>
      </c>
      <c r="AZ37" s="158">
        <f t="shared" si="17"/>
        <v>0</v>
      </c>
      <c r="BA37" s="158">
        <f t="shared" si="17"/>
        <v>0</v>
      </c>
      <c r="BB37" s="158">
        <f t="shared" si="17"/>
        <v>0</v>
      </c>
      <c r="BC37" s="158">
        <f t="shared" si="17"/>
        <v>0</v>
      </c>
      <c r="BD37" s="158">
        <f t="shared" si="17"/>
        <v>0</v>
      </c>
      <c r="BE37" s="158">
        <f t="shared" si="17"/>
        <v>0</v>
      </c>
      <c r="BF37" s="158">
        <f t="shared" si="17"/>
        <v>0</v>
      </c>
      <c r="BG37" s="158">
        <f t="shared" si="17"/>
        <v>0</v>
      </c>
      <c r="BH37" s="86">
        <f t="shared" si="15"/>
      </c>
      <c r="BI37" s="1"/>
    </row>
    <row r="38" spans="1:61" ht="20.25" customHeight="1">
      <c r="A38" s="626">
        <f t="shared" si="3"/>
        <v>0</v>
      </c>
      <c r="B38" s="626">
        <f t="shared" si="4"/>
        <v>0</v>
      </c>
      <c r="C38" s="658">
        <f t="shared" si="5"/>
        <v>0</v>
      </c>
      <c r="D38" s="625">
        <f t="shared" si="6"/>
        <v>0</v>
      </c>
      <c r="E38" s="659">
        <f t="shared" si="7"/>
        <v>0</v>
      </c>
      <c r="F38" s="660"/>
      <c r="G38" s="661"/>
      <c r="Z38" s="662"/>
      <c r="AA38" s="663"/>
      <c r="AE38" s="664"/>
      <c r="AF38" s="665"/>
      <c r="AG38" s="665"/>
      <c r="AH38" s="665"/>
      <c r="AJ38" s="716"/>
      <c r="AK38" s="753">
        <f t="shared" si="16"/>
      </c>
      <c r="AL38" s="788">
        <f t="shared" si="14"/>
      </c>
      <c r="AM38" s="666"/>
      <c r="AN38" s="667">
        <f t="shared" si="8"/>
      </c>
      <c r="AR38" s="668"/>
      <c r="AS38" s="163">
        <f t="shared" si="9"/>
        <v>0</v>
      </c>
      <c r="AT38" s="161">
        <f t="shared" si="10"/>
        <v>0</v>
      </c>
      <c r="AU38" s="164">
        <f t="shared" si="11"/>
        <v>0</v>
      </c>
      <c r="AV38" s="164" t="str">
        <f t="shared" si="12"/>
        <v>0</v>
      </c>
      <c r="AW38" s="158">
        <f t="shared" si="17"/>
        <v>0</v>
      </c>
      <c r="AX38" s="158">
        <f t="shared" si="17"/>
        <v>0</v>
      </c>
      <c r="AY38" s="158">
        <f t="shared" si="17"/>
        <v>0</v>
      </c>
      <c r="AZ38" s="158">
        <f t="shared" si="17"/>
        <v>0</v>
      </c>
      <c r="BA38" s="158">
        <f t="shared" si="17"/>
        <v>0</v>
      </c>
      <c r="BB38" s="158">
        <f t="shared" si="17"/>
        <v>0</v>
      </c>
      <c r="BC38" s="158">
        <f t="shared" si="17"/>
        <v>0</v>
      </c>
      <c r="BD38" s="158">
        <f t="shared" si="17"/>
        <v>0</v>
      </c>
      <c r="BE38" s="158">
        <f t="shared" si="17"/>
        <v>0</v>
      </c>
      <c r="BF38" s="158">
        <f t="shared" si="17"/>
        <v>0</v>
      </c>
      <c r="BG38" s="158">
        <f t="shared" si="17"/>
        <v>0</v>
      </c>
      <c r="BH38" s="86">
        <f t="shared" si="15"/>
      </c>
      <c r="BI38" s="1"/>
    </row>
    <row r="39" spans="1:61" ht="15" customHeight="1" hidden="1">
      <c r="A39" s="626">
        <f t="shared" si="3"/>
        <v>0</v>
      </c>
      <c r="B39" s="626">
        <f t="shared" si="4"/>
        <v>0</v>
      </c>
      <c r="C39" s="658">
        <f t="shared" si="5"/>
        <v>0</v>
      </c>
      <c r="D39" s="625">
        <f t="shared" si="6"/>
        <v>0</v>
      </c>
      <c r="E39" s="659">
        <f t="shared" si="7"/>
        <v>0</v>
      </c>
      <c r="F39" s="660"/>
      <c r="G39" s="661"/>
      <c r="Z39" s="662"/>
      <c r="AA39" s="663"/>
      <c r="AE39" s="664"/>
      <c r="AF39" s="665"/>
      <c r="AG39" s="665"/>
      <c r="AH39" s="665"/>
      <c r="AJ39" s="716"/>
      <c r="AK39" s="753">
        <f t="shared" si="16"/>
      </c>
      <c r="AL39" s="788">
        <f t="shared" si="14"/>
      </c>
      <c r="AM39" s="666"/>
      <c r="AN39" s="667">
        <f t="shared" si="8"/>
      </c>
      <c r="AR39" s="668"/>
      <c r="AS39" s="163">
        <f t="shared" si="9"/>
        <v>0</v>
      </c>
      <c r="AT39" s="161">
        <f t="shared" si="10"/>
        <v>0</v>
      </c>
      <c r="AU39" s="164">
        <f t="shared" si="11"/>
        <v>0</v>
      </c>
      <c r="AV39" s="164" t="str">
        <f t="shared" si="12"/>
        <v>0</v>
      </c>
      <c r="AW39" s="158">
        <f t="shared" si="17"/>
        <v>0</v>
      </c>
      <c r="AX39" s="158">
        <f t="shared" si="17"/>
        <v>0</v>
      </c>
      <c r="AY39" s="158">
        <f t="shared" si="17"/>
        <v>0</v>
      </c>
      <c r="AZ39" s="158">
        <f t="shared" si="17"/>
        <v>0</v>
      </c>
      <c r="BA39" s="158">
        <f t="shared" si="17"/>
        <v>0</v>
      </c>
      <c r="BB39" s="158">
        <f t="shared" si="17"/>
        <v>0</v>
      </c>
      <c r="BC39" s="158">
        <f t="shared" si="17"/>
        <v>0</v>
      </c>
      <c r="BD39" s="158">
        <f t="shared" si="17"/>
        <v>0</v>
      </c>
      <c r="BE39" s="158">
        <f t="shared" si="17"/>
        <v>0</v>
      </c>
      <c r="BF39" s="158">
        <f t="shared" si="17"/>
        <v>0</v>
      </c>
      <c r="BG39" s="158">
        <f t="shared" si="17"/>
        <v>0</v>
      </c>
      <c r="BH39" s="86">
        <f t="shared" si="15"/>
      </c>
      <c r="BI39" s="1"/>
    </row>
    <row r="40" spans="1:61" ht="15" customHeight="1" hidden="1">
      <c r="A40" s="626">
        <f t="shared" si="3"/>
        <v>0</v>
      </c>
      <c r="B40" s="626">
        <f t="shared" si="4"/>
        <v>0</v>
      </c>
      <c r="C40" s="658">
        <f t="shared" si="5"/>
        <v>0</v>
      </c>
      <c r="D40" s="625">
        <f t="shared" si="6"/>
        <v>0</v>
      </c>
      <c r="E40" s="659">
        <f t="shared" si="7"/>
        <v>0</v>
      </c>
      <c r="F40" s="660"/>
      <c r="G40" s="661"/>
      <c r="Z40" s="662"/>
      <c r="AA40" s="663"/>
      <c r="AE40" s="664"/>
      <c r="AF40" s="665"/>
      <c r="AG40" s="665"/>
      <c r="AH40" s="665"/>
      <c r="AJ40" s="716"/>
      <c r="AK40" s="753">
        <f t="shared" si="16"/>
      </c>
      <c r="AL40" s="788">
        <f t="shared" si="14"/>
      </c>
      <c r="AM40" s="666"/>
      <c r="AN40" s="667">
        <f t="shared" si="8"/>
      </c>
      <c r="AR40" s="668"/>
      <c r="AS40" s="163">
        <f t="shared" si="9"/>
        <v>0</v>
      </c>
      <c r="AT40" s="161">
        <f t="shared" si="10"/>
        <v>0</v>
      </c>
      <c r="AU40" s="164">
        <f t="shared" si="11"/>
        <v>0</v>
      </c>
      <c r="AV40" s="164" t="str">
        <f t="shared" si="12"/>
        <v>0</v>
      </c>
      <c r="AW40" s="158">
        <f t="shared" si="17"/>
        <v>0</v>
      </c>
      <c r="AX40" s="158">
        <f t="shared" si="17"/>
        <v>0</v>
      </c>
      <c r="AY40" s="158">
        <f t="shared" si="17"/>
        <v>0</v>
      </c>
      <c r="AZ40" s="158">
        <f t="shared" si="17"/>
        <v>0</v>
      </c>
      <c r="BA40" s="158">
        <f t="shared" si="17"/>
        <v>0</v>
      </c>
      <c r="BB40" s="158">
        <f t="shared" si="17"/>
        <v>0</v>
      </c>
      <c r="BC40" s="158">
        <f t="shared" si="17"/>
        <v>0</v>
      </c>
      <c r="BD40" s="158">
        <f t="shared" si="17"/>
        <v>0</v>
      </c>
      <c r="BE40" s="158">
        <f t="shared" si="17"/>
        <v>0</v>
      </c>
      <c r="BF40" s="158">
        <f t="shared" si="17"/>
        <v>0</v>
      </c>
      <c r="BG40" s="158">
        <f t="shared" si="17"/>
        <v>0</v>
      </c>
      <c r="BH40" s="86">
        <f t="shared" si="15"/>
      </c>
      <c r="BI40" s="1"/>
    </row>
    <row r="41" spans="1:61" ht="15" customHeight="1" hidden="1">
      <c r="A41" s="626">
        <f t="shared" si="3"/>
        <v>0</v>
      </c>
      <c r="B41" s="626">
        <f t="shared" si="4"/>
        <v>0</v>
      </c>
      <c r="C41" s="658">
        <f t="shared" si="5"/>
        <v>0</v>
      </c>
      <c r="D41" s="625">
        <f t="shared" si="6"/>
        <v>0</v>
      </c>
      <c r="E41" s="659">
        <f t="shared" si="7"/>
        <v>0</v>
      </c>
      <c r="F41" s="660"/>
      <c r="G41" s="661"/>
      <c r="Z41" s="662"/>
      <c r="AA41" s="663"/>
      <c r="AE41" s="664"/>
      <c r="AF41" s="665"/>
      <c r="AG41" s="665"/>
      <c r="AH41" s="665"/>
      <c r="AJ41" s="716"/>
      <c r="AK41" s="753">
        <f t="shared" si="16"/>
      </c>
      <c r="AL41" s="788">
        <f t="shared" si="14"/>
      </c>
      <c r="AM41" s="666"/>
      <c r="AN41" s="667">
        <f t="shared" si="8"/>
      </c>
      <c r="AR41" s="668"/>
      <c r="AS41" s="163">
        <f t="shared" si="9"/>
        <v>0</v>
      </c>
      <c r="AT41" s="161">
        <f t="shared" si="10"/>
        <v>0</v>
      </c>
      <c r="AU41" s="164">
        <f t="shared" si="11"/>
        <v>0</v>
      </c>
      <c r="AV41" s="164" t="str">
        <f t="shared" si="12"/>
        <v>0</v>
      </c>
      <c r="AW41" s="158">
        <f t="shared" si="17"/>
        <v>0</v>
      </c>
      <c r="AX41" s="158">
        <f t="shared" si="17"/>
        <v>0</v>
      </c>
      <c r="AY41" s="158">
        <f t="shared" si="17"/>
        <v>0</v>
      </c>
      <c r="AZ41" s="158">
        <f t="shared" si="17"/>
        <v>0</v>
      </c>
      <c r="BA41" s="158">
        <f t="shared" si="17"/>
        <v>0</v>
      </c>
      <c r="BB41" s="158">
        <f t="shared" si="17"/>
        <v>0</v>
      </c>
      <c r="BC41" s="158">
        <f t="shared" si="17"/>
        <v>0</v>
      </c>
      <c r="BD41" s="158">
        <f t="shared" si="17"/>
        <v>0</v>
      </c>
      <c r="BE41" s="158">
        <f t="shared" si="17"/>
        <v>0</v>
      </c>
      <c r="BF41" s="158">
        <f t="shared" si="17"/>
        <v>0</v>
      </c>
      <c r="BG41" s="158">
        <f t="shared" si="17"/>
        <v>0</v>
      </c>
      <c r="BH41" s="86">
        <f t="shared" si="15"/>
      </c>
      <c r="BI41" s="1"/>
    </row>
    <row r="42" spans="1:61" ht="15" customHeight="1" hidden="1">
      <c r="A42" s="626">
        <f t="shared" si="3"/>
        <v>0</v>
      </c>
      <c r="B42" s="626">
        <f t="shared" si="4"/>
        <v>0</v>
      </c>
      <c r="C42" s="658">
        <f t="shared" si="5"/>
        <v>0</v>
      </c>
      <c r="D42" s="625">
        <f t="shared" si="6"/>
        <v>0</v>
      </c>
      <c r="E42" s="659">
        <f t="shared" si="7"/>
        <v>0</v>
      </c>
      <c r="F42" s="660"/>
      <c r="G42" s="661"/>
      <c r="Z42" s="662"/>
      <c r="AA42" s="663"/>
      <c r="AE42" s="664"/>
      <c r="AF42" s="665"/>
      <c r="AG42" s="665"/>
      <c r="AH42" s="665"/>
      <c r="AJ42" s="716"/>
      <c r="AK42" s="753">
        <f t="shared" si="16"/>
      </c>
      <c r="AL42" s="788">
        <f t="shared" si="14"/>
      </c>
      <c r="AM42" s="666"/>
      <c r="AN42" s="667">
        <f t="shared" si="8"/>
      </c>
      <c r="AR42" s="668"/>
      <c r="AS42" s="163">
        <f t="shared" si="9"/>
        <v>0</v>
      </c>
      <c r="AT42" s="161">
        <f t="shared" si="10"/>
        <v>0</v>
      </c>
      <c r="AU42" s="164">
        <f t="shared" si="11"/>
        <v>0</v>
      </c>
      <c r="AV42" s="164" t="str">
        <f t="shared" si="12"/>
        <v>0</v>
      </c>
      <c r="AW42" s="158">
        <f aca="true" t="shared" si="18" ref="AW42:BG47">IF($AT42=AW$19,$AH42,)</f>
        <v>0</v>
      </c>
      <c r="AX42" s="158">
        <f t="shared" si="18"/>
        <v>0</v>
      </c>
      <c r="AY42" s="158">
        <f t="shared" si="18"/>
        <v>0</v>
      </c>
      <c r="AZ42" s="158">
        <f t="shared" si="18"/>
        <v>0</v>
      </c>
      <c r="BA42" s="158">
        <f t="shared" si="18"/>
        <v>0</v>
      </c>
      <c r="BB42" s="158">
        <f t="shared" si="18"/>
        <v>0</v>
      </c>
      <c r="BC42" s="158">
        <f t="shared" si="18"/>
        <v>0</v>
      </c>
      <c r="BD42" s="158">
        <f t="shared" si="18"/>
        <v>0</v>
      </c>
      <c r="BE42" s="158">
        <f t="shared" si="18"/>
        <v>0</v>
      </c>
      <c r="BF42" s="158">
        <f t="shared" si="18"/>
        <v>0</v>
      </c>
      <c r="BG42" s="158">
        <f t="shared" si="18"/>
        <v>0</v>
      </c>
      <c r="BH42" s="86">
        <f t="shared" si="15"/>
      </c>
      <c r="BI42" s="1"/>
    </row>
    <row r="43" spans="1:61" ht="15" customHeight="1" hidden="1">
      <c r="A43" s="626">
        <f t="shared" si="3"/>
        <v>0</v>
      </c>
      <c r="B43" s="626">
        <f t="shared" si="4"/>
        <v>0</v>
      </c>
      <c r="C43" s="658">
        <f t="shared" si="5"/>
        <v>0</v>
      </c>
      <c r="D43" s="625">
        <f t="shared" si="6"/>
        <v>0</v>
      </c>
      <c r="E43" s="659">
        <f t="shared" si="7"/>
        <v>0</v>
      </c>
      <c r="F43" s="660"/>
      <c r="G43" s="661"/>
      <c r="Z43" s="662"/>
      <c r="AA43" s="663"/>
      <c r="AE43" s="664"/>
      <c r="AF43" s="665"/>
      <c r="AG43" s="665"/>
      <c r="AH43" s="665"/>
      <c r="AJ43" s="716"/>
      <c r="AK43" s="753">
        <f t="shared" si="16"/>
      </c>
      <c r="AL43" s="788">
        <f t="shared" si="14"/>
      </c>
      <c r="AM43" s="666"/>
      <c r="AN43" s="667">
        <f t="shared" si="8"/>
      </c>
      <c r="AR43" s="668"/>
      <c r="AS43" s="163">
        <f t="shared" si="9"/>
        <v>0</v>
      </c>
      <c r="AT43" s="161">
        <f t="shared" si="10"/>
        <v>0</v>
      </c>
      <c r="AU43" s="164">
        <f t="shared" si="11"/>
        <v>0</v>
      </c>
      <c r="AV43" s="164" t="str">
        <f t="shared" si="12"/>
        <v>0</v>
      </c>
      <c r="AW43" s="158">
        <f t="shared" si="18"/>
        <v>0</v>
      </c>
      <c r="AX43" s="158">
        <f t="shared" si="18"/>
        <v>0</v>
      </c>
      <c r="AY43" s="158">
        <f t="shared" si="18"/>
        <v>0</v>
      </c>
      <c r="AZ43" s="158">
        <f t="shared" si="18"/>
        <v>0</v>
      </c>
      <c r="BA43" s="158">
        <f t="shared" si="18"/>
        <v>0</v>
      </c>
      <c r="BB43" s="158">
        <f t="shared" si="18"/>
        <v>0</v>
      </c>
      <c r="BC43" s="158">
        <f t="shared" si="18"/>
        <v>0</v>
      </c>
      <c r="BD43" s="158">
        <f t="shared" si="18"/>
        <v>0</v>
      </c>
      <c r="BE43" s="158">
        <f t="shared" si="18"/>
        <v>0</v>
      </c>
      <c r="BF43" s="158">
        <f t="shared" si="18"/>
        <v>0</v>
      </c>
      <c r="BG43" s="158">
        <f t="shared" si="18"/>
        <v>0</v>
      </c>
      <c r="BH43" s="86">
        <f t="shared" si="15"/>
      </c>
      <c r="BI43" s="1"/>
    </row>
    <row r="44" spans="1:61" ht="15" customHeight="1" hidden="1">
      <c r="A44" s="626">
        <f t="shared" si="3"/>
        <v>0</v>
      </c>
      <c r="B44" s="626">
        <f t="shared" si="4"/>
        <v>0</v>
      </c>
      <c r="C44" s="658">
        <f t="shared" si="5"/>
        <v>0</v>
      </c>
      <c r="D44" s="625">
        <f t="shared" si="6"/>
        <v>0</v>
      </c>
      <c r="E44" s="659">
        <f t="shared" si="7"/>
        <v>0</v>
      </c>
      <c r="F44" s="660"/>
      <c r="G44" s="661"/>
      <c r="Z44" s="662"/>
      <c r="AA44" s="663"/>
      <c r="AE44" s="664"/>
      <c r="AF44" s="665"/>
      <c r="AG44" s="665"/>
      <c r="AH44" s="665"/>
      <c r="AJ44" s="716"/>
      <c r="AK44" s="753">
        <f t="shared" si="16"/>
      </c>
      <c r="AL44" s="788">
        <f t="shared" si="14"/>
      </c>
      <c r="AM44" s="666"/>
      <c r="AN44" s="667">
        <f t="shared" si="8"/>
      </c>
      <c r="AR44" s="668"/>
      <c r="AS44" s="163">
        <f t="shared" si="9"/>
        <v>0</v>
      </c>
      <c r="AT44" s="161">
        <f t="shared" si="10"/>
        <v>0</v>
      </c>
      <c r="AU44" s="164">
        <f t="shared" si="11"/>
        <v>0</v>
      </c>
      <c r="AV44" s="164" t="str">
        <f t="shared" si="12"/>
        <v>0</v>
      </c>
      <c r="AW44" s="158">
        <f t="shared" si="18"/>
        <v>0</v>
      </c>
      <c r="AX44" s="158">
        <f t="shared" si="18"/>
        <v>0</v>
      </c>
      <c r="AY44" s="158">
        <f t="shared" si="18"/>
        <v>0</v>
      </c>
      <c r="AZ44" s="158">
        <f t="shared" si="18"/>
        <v>0</v>
      </c>
      <c r="BA44" s="158">
        <f t="shared" si="18"/>
        <v>0</v>
      </c>
      <c r="BB44" s="158">
        <f t="shared" si="18"/>
        <v>0</v>
      </c>
      <c r="BC44" s="158">
        <f t="shared" si="18"/>
        <v>0</v>
      </c>
      <c r="BD44" s="158">
        <f t="shared" si="18"/>
        <v>0</v>
      </c>
      <c r="BE44" s="158">
        <f t="shared" si="18"/>
        <v>0</v>
      </c>
      <c r="BF44" s="158">
        <f t="shared" si="18"/>
        <v>0</v>
      </c>
      <c r="BG44" s="158">
        <f t="shared" si="18"/>
        <v>0</v>
      </c>
      <c r="BH44" s="86">
        <f t="shared" si="15"/>
      </c>
      <c r="BI44" s="1"/>
    </row>
    <row r="45" spans="1:61" ht="15" customHeight="1" hidden="1">
      <c r="A45" s="626">
        <f t="shared" si="3"/>
        <v>0</v>
      </c>
      <c r="B45" s="626">
        <f t="shared" si="4"/>
        <v>0</v>
      </c>
      <c r="C45" s="658">
        <f t="shared" si="5"/>
        <v>0</v>
      </c>
      <c r="D45" s="625">
        <f t="shared" si="6"/>
        <v>0</v>
      </c>
      <c r="E45" s="659">
        <f t="shared" si="7"/>
        <v>0</v>
      </c>
      <c r="F45" s="660"/>
      <c r="G45" s="661"/>
      <c r="Z45" s="662"/>
      <c r="AA45" s="663"/>
      <c r="AE45" s="664"/>
      <c r="AF45" s="665"/>
      <c r="AG45" s="665"/>
      <c r="AH45" s="665"/>
      <c r="AJ45" s="716"/>
      <c r="AK45" s="753">
        <f t="shared" si="16"/>
      </c>
      <c r="AL45" s="788">
        <f t="shared" si="14"/>
      </c>
      <c r="AM45" s="666"/>
      <c r="AN45" s="667">
        <f t="shared" si="8"/>
      </c>
      <c r="AR45" s="668"/>
      <c r="AS45" s="163">
        <f t="shared" si="9"/>
        <v>0</v>
      </c>
      <c r="AT45" s="161">
        <f t="shared" si="10"/>
        <v>0</v>
      </c>
      <c r="AU45" s="164">
        <f t="shared" si="11"/>
        <v>0</v>
      </c>
      <c r="AV45" s="164" t="str">
        <f t="shared" si="12"/>
        <v>0</v>
      </c>
      <c r="AW45" s="158">
        <f t="shared" si="18"/>
        <v>0</v>
      </c>
      <c r="AX45" s="158">
        <f t="shared" si="18"/>
        <v>0</v>
      </c>
      <c r="AY45" s="158">
        <f t="shared" si="18"/>
        <v>0</v>
      </c>
      <c r="AZ45" s="158">
        <f t="shared" si="18"/>
        <v>0</v>
      </c>
      <c r="BA45" s="158">
        <f t="shared" si="18"/>
        <v>0</v>
      </c>
      <c r="BB45" s="158">
        <f t="shared" si="18"/>
        <v>0</v>
      </c>
      <c r="BC45" s="158">
        <f t="shared" si="18"/>
        <v>0</v>
      </c>
      <c r="BD45" s="158">
        <f t="shared" si="18"/>
        <v>0</v>
      </c>
      <c r="BE45" s="158">
        <f t="shared" si="18"/>
        <v>0</v>
      </c>
      <c r="BF45" s="158">
        <f t="shared" si="18"/>
        <v>0</v>
      </c>
      <c r="BG45" s="158">
        <f t="shared" si="18"/>
        <v>0</v>
      </c>
      <c r="BH45" s="86">
        <f t="shared" si="15"/>
      </c>
      <c r="BI45" s="1"/>
    </row>
    <row r="46" spans="1:61" ht="15" customHeight="1" hidden="1">
      <c r="A46" s="626">
        <f t="shared" si="3"/>
        <v>0</v>
      </c>
      <c r="B46" s="626">
        <f t="shared" si="4"/>
        <v>0</v>
      </c>
      <c r="C46" s="658">
        <f t="shared" si="5"/>
        <v>0</v>
      </c>
      <c r="D46" s="625">
        <f t="shared" si="6"/>
        <v>0</v>
      </c>
      <c r="E46" s="659">
        <f t="shared" si="7"/>
        <v>0</v>
      </c>
      <c r="F46" s="660"/>
      <c r="G46" s="661"/>
      <c r="Z46" s="662"/>
      <c r="AA46" s="663"/>
      <c r="AE46" s="664"/>
      <c r="AF46" s="665"/>
      <c r="AG46" s="665"/>
      <c r="AH46" s="665"/>
      <c r="AJ46" s="716"/>
      <c r="AK46" s="753">
        <f t="shared" si="16"/>
      </c>
      <c r="AL46" s="788">
        <f t="shared" si="14"/>
      </c>
      <c r="AM46" s="666"/>
      <c r="AN46" s="667">
        <f t="shared" si="8"/>
      </c>
      <c r="AR46" s="668"/>
      <c r="AS46" s="163">
        <f t="shared" si="9"/>
        <v>0</v>
      </c>
      <c r="AT46" s="161">
        <f t="shared" si="10"/>
        <v>0</v>
      </c>
      <c r="AU46" s="164">
        <f t="shared" si="11"/>
        <v>0</v>
      </c>
      <c r="AV46" s="164" t="str">
        <f t="shared" si="12"/>
        <v>0</v>
      </c>
      <c r="AW46" s="158">
        <f t="shared" si="18"/>
        <v>0</v>
      </c>
      <c r="AX46" s="158">
        <f t="shared" si="18"/>
        <v>0</v>
      </c>
      <c r="AY46" s="158">
        <f t="shared" si="18"/>
        <v>0</v>
      </c>
      <c r="AZ46" s="158">
        <f t="shared" si="18"/>
        <v>0</v>
      </c>
      <c r="BA46" s="158">
        <f t="shared" si="18"/>
        <v>0</v>
      </c>
      <c r="BB46" s="158">
        <f t="shared" si="18"/>
        <v>0</v>
      </c>
      <c r="BC46" s="158">
        <f t="shared" si="18"/>
        <v>0</v>
      </c>
      <c r="BD46" s="158">
        <f t="shared" si="18"/>
        <v>0</v>
      </c>
      <c r="BE46" s="158">
        <f t="shared" si="18"/>
        <v>0</v>
      </c>
      <c r="BF46" s="158">
        <f t="shared" si="18"/>
        <v>0</v>
      </c>
      <c r="BG46" s="158">
        <f t="shared" si="18"/>
        <v>0</v>
      </c>
      <c r="BH46" s="86">
        <f t="shared" si="15"/>
      </c>
      <c r="BI46" s="1"/>
    </row>
    <row r="47" spans="1:61" ht="19.5" customHeight="1" hidden="1">
      <c r="A47" s="626">
        <f t="shared" si="3"/>
        <v>0</v>
      </c>
      <c r="B47" s="626">
        <f t="shared" si="4"/>
        <v>0</v>
      </c>
      <c r="C47" s="658">
        <f t="shared" si="5"/>
        <v>0</v>
      </c>
      <c r="D47" s="625">
        <f t="shared" si="6"/>
        <v>0</v>
      </c>
      <c r="E47" s="659">
        <f t="shared" si="7"/>
        <v>0</v>
      </c>
      <c r="F47" s="660"/>
      <c r="G47" s="661"/>
      <c r="Z47" s="662"/>
      <c r="AA47" s="663"/>
      <c r="AB47" s="662"/>
      <c r="AC47" s="663"/>
      <c r="AE47" s="664"/>
      <c r="AF47" s="665"/>
      <c r="AG47" s="665"/>
      <c r="AH47" s="665"/>
      <c r="AJ47" s="716"/>
      <c r="AK47" s="753">
        <f t="shared" si="16"/>
      </c>
      <c r="AL47" s="788">
        <f t="shared" si="14"/>
      </c>
      <c r="AM47" s="666"/>
      <c r="AN47" s="667">
        <f t="shared" si="8"/>
      </c>
      <c r="AR47" s="668"/>
      <c r="AS47" s="163">
        <f t="shared" si="9"/>
        <v>0</v>
      </c>
      <c r="AT47" s="161">
        <f t="shared" si="10"/>
        <v>0</v>
      </c>
      <c r="AU47" s="164">
        <f t="shared" si="11"/>
        <v>0</v>
      </c>
      <c r="AV47" s="164" t="str">
        <f t="shared" si="12"/>
        <v>0</v>
      </c>
      <c r="AW47" s="158">
        <f t="shared" si="18"/>
        <v>0</v>
      </c>
      <c r="AX47" s="158">
        <f t="shared" si="18"/>
        <v>0</v>
      </c>
      <c r="AY47" s="158">
        <f t="shared" si="18"/>
        <v>0</v>
      </c>
      <c r="AZ47" s="158">
        <f t="shared" si="18"/>
        <v>0</v>
      </c>
      <c r="BA47" s="158">
        <f t="shared" si="18"/>
        <v>0</v>
      </c>
      <c r="BB47" s="158">
        <f t="shared" si="18"/>
        <v>0</v>
      </c>
      <c r="BC47" s="158">
        <f t="shared" si="18"/>
        <v>0</v>
      </c>
      <c r="BD47" s="158">
        <f t="shared" si="18"/>
        <v>0</v>
      </c>
      <c r="BE47" s="158">
        <f t="shared" si="18"/>
        <v>0</v>
      </c>
      <c r="BF47" s="158">
        <f t="shared" si="18"/>
        <v>0</v>
      </c>
      <c r="BG47" s="158">
        <f t="shared" si="18"/>
        <v>0</v>
      </c>
      <c r="BH47" s="86">
        <f t="shared" si="15"/>
      </c>
      <c r="BI47" s="1"/>
    </row>
    <row r="48" spans="38:61" ht="25.5">
      <c r="AL48"/>
      <c r="AN48" s="165" t="str">
        <f>Bemerkung!E6</f>
        <v>PS  . . .</v>
      </c>
      <c r="AR48" s="669"/>
      <c r="AS48" s="607"/>
      <c r="AT48" s="607"/>
      <c r="AU48" s="607"/>
      <c r="AV48" s="607"/>
      <c r="AW48" s="607"/>
      <c r="AX48" s="607"/>
      <c r="AY48" s="607"/>
      <c r="AZ48" s="607"/>
      <c r="BA48" s="607"/>
      <c r="BB48" s="607"/>
      <c r="BC48" s="607"/>
      <c r="BD48" s="607"/>
      <c r="BE48" s="607"/>
      <c r="BF48" s="607"/>
      <c r="BG48" s="607"/>
      <c r="BI48" s="1"/>
    </row>
    <row r="49" spans="44:61" ht="16.5" customHeight="1" hidden="1">
      <c r="AR49" s="668"/>
      <c r="AS49" s="163"/>
      <c r="AT49" s="161"/>
      <c r="AU49" s="164"/>
      <c r="AV49" s="164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I49" s="1"/>
    </row>
    <row r="50" ht="5.25" customHeight="1" hidden="1">
      <c r="BI50" s="1"/>
    </row>
    <row r="51" spans="1:67" s="6" customFormat="1" ht="14.25" hidden="1">
      <c r="A51" s="183"/>
      <c r="B51" s="183"/>
      <c r="C51" s="183">
        <v>999</v>
      </c>
      <c r="D51" s="184"/>
      <c r="E51" s="183">
        <f>KontiN!K54</f>
        <v>0</v>
      </c>
      <c r="F51" s="174"/>
      <c r="G51" s="174"/>
      <c r="H51" s="174"/>
      <c r="I51" s="174"/>
      <c r="J51" s="174"/>
      <c r="K51" s="174"/>
      <c r="L51" s="174"/>
      <c r="M51" s="174"/>
      <c r="N51" s="183">
        <f>KontiN!K21</f>
        <v>0</v>
      </c>
      <c r="O51" s="183">
        <f>SUM(KontiN!K56:KontiN!K57)</f>
        <v>0</v>
      </c>
      <c r="P51" s="183">
        <f>KontiN!J40</f>
        <v>0</v>
      </c>
      <c r="Q51" s="174"/>
      <c r="R51" s="183">
        <f>KontiN!C50</f>
        <v>0</v>
      </c>
      <c r="S51" s="183">
        <f>IF(KontiN!K52&lt;&gt;" ",SUM(KontiN!K52,KontiN!M52),)</f>
        <v>0</v>
      </c>
      <c r="T51" s="183">
        <f>IF(KontiN!K56&lt;&gt;" ",KontiN!K56+KontiN!M57,)</f>
        <v>0</v>
      </c>
      <c r="U51" s="183">
        <f>IF(KontiN!F57&lt;&gt;" ",KontiN!F57,)</f>
        <v>0</v>
      </c>
      <c r="V51" s="185"/>
      <c r="W51" s="185"/>
      <c r="X51" s="174"/>
      <c r="Y51" s="183">
        <f>KontiN!J32</f>
        <v>0</v>
      </c>
      <c r="Z51" s="185"/>
      <c r="AA51" s="174"/>
      <c r="AB51" s="186"/>
      <c r="AC51" s="186"/>
      <c r="AD51" s="185"/>
      <c r="AE51" s="183">
        <f>ROUND(BL3*KontiN!K20,2)</f>
        <v>0</v>
      </c>
      <c r="AF51" s="183">
        <f>ROUND(BL3*KontiN!K19,2)</f>
        <v>0</v>
      </c>
      <c r="AG51" s="183">
        <f>AG14</f>
        <v>0</v>
      </c>
      <c r="AH51" s="174"/>
      <c r="AI51" s="183">
        <f>IF(KontiN!O25&gt;7,1,)</f>
        <v>0</v>
      </c>
      <c r="AJ51" s="757">
        <f>GTS!AJ7</f>
        <v>0</v>
      </c>
      <c r="AK51" s="756">
        <f>AK18</f>
        <v>0</v>
      </c>
      <c r="AL51" s="757">
        <f>IF(AI51&lt;&gt;1,KontiN!O27,0)</f>
        <v>18</v>
      </c>
      <c r="AM51" s="183">
        <f>GTS!AJ24</f>
        <v>0</v>
      </c>
      <c r="AN51" s="183">
        <f>GTS!AK24</f>
        <v>0</v>
      </c>
      <c r="AO51" s="173">
        <f>GTS!A27</f>
        <v>0</v>
      </c>
      <c r="AP51" s="756">
        <f>GTS!C6+AK18</f>
        <v>0</v>
      </c>
      <c r="AQ51" s="756">
        <f>GTS!AC26</f>
        <v>0</v>
      </c>
      <c r="AR51" s="183">
        <f>IF(KontiN!K56&lt;&gt;" ",KontiN!K56,)</f>
        <v>0</v>
      </c>
      <c r="AS51" s="756">
        <f>GTS!P29</f>
        <v>0</v>
      </c>
      <c r="AT51" s="756">
        <f>GTS!AC31</f>
        <v>0</v>
      </c>
      <c r="AW51" s="183">
        <f>KontiN!B25-KontiN!J26</f>
        <v>0</v>
      </c>
      <c r="BJ51" s="756">
        <f>AL18</f>
        <v>0</v>
      </c>
      <c r="BK51" s="757"/>
      <c r="BL51" s="757">
        <f>KontiN!N59+'Bed S1'!O21</f>
        <v>0</v>
      </c>
      <c r="BM51" s="757">
        <f>KontiN!O24</f>
        <v>0</v>
      </c>
      <c r="BN51" s="757"/>
      <c r="BO51" s="757"/>
    </row>
    <row r="52" spans="1:70" s="1" customFormat="1" ht="14.25" hidden="1">
      <c r="A52" s="173"/>
      <c r="B52" s="173"/>
      <c r="C52" s="173">
        <v>888</v>
      </c>
      <c r="D52" s="174"/>
      <c r="E52" s="175">
        <f>ROUND(BL3*KontiN!K18,2)</f>
        <v>0</v>
      </c>
      <c r="F52" s="174"/>
      <c r="G52" s="174"/>
      <c r="H52" s="174"/>
      <c r="I52" s="174"/>
      <c r="J52" s="174"/>
      <c r="K52" s="174"/>
      <c r="L52" s="174"/>
      <c r="M52" s="174"/>
      <c r="N52" s="183">
        <f>KontiN!K21</f>
        <v>0</v>
      </c>
      <c r="O52" s="173">
        <f>SUM(KontiN!K56:KontiN!K57)</f>
        <v>0</v>
      </c>
      <c r="P52" s="174"/>
      <c r="Q52" s="174"/>
      <c r="R52" s="176"/>
      <c r="S52" s="175">
        <f>KontiN!O59</f>
        <v>0</v>
      </c>
      <c r="T52" s="174"/>
      <c r="U52" s="174"/>
      <c r="V52" s="174"/>
      <c r="W52" s="175">
        <f>KontiN!K21</f>
        <v>0</v>
      </c>
      <c r="X52" s="174"/>
      <c r="Y52" s="175">
        <f>'Bed S1'!G12</f>
        <v>0</v>
      </c>
      <c r="Z52" s="175">
        <f>'Bed S1'!F14</f>
        <v>0</v>
      </c>
      <c r="AA52" s="175">
        <f>'Bed S1'!M14</f>
        <v>0</v>
      </c>
      <c r="AB52" s="177"/>
      <c r="AC52" s="177"/>
      <c r="AD52" s="174"/>
      <c r="AE52" s="175">
        <f>ROUND(BL3*KontiN!K20,2)</f>
        <v>0</v>
      </c>
      <c r="AF52" s="175">
        <f>ROUND(BL3*KontiN!K19,2)</f>
        <v>0</v>
      </c>
      <c r="AG52" s="623">
        <f>AG14</f>
        <v>0</v>
      </c>
      <c r="AH52" s="174"/>
      <c r="AI52" s="173">
        <f>IF(KontiN!O25&gt;7,1,)</f>
        <v>0</v>
      </c>
      <c r="AJ52" s="759">
        <f>GTS!AJ7</f>
        <v>0</v>
      </c>
      <c r="AK52" s="758">
        <f>AK18</f>
        <v>0</v>
      </c>
      <c r="AL52" s="759">
        <f>IF(AI52&lt;&gt;1,KontiN!O27,0)</f>
        <v>18</v>
      </c>
      <c r="AM52" s="623">
        <f>GTS!AJ24</f>
        <v>0</v>
      </c>
      <c r="AN52" s="623">
        <f>GTS!AK24</f>
        <v>0</v>
      </c>
      <c r="AO52" s="623">
        <f>GTS!A27</f>
        <v>0</v>
      </c>
      <c r="AP52" s="758">
        <f>GTS!C6+AK18</f>
        <v>0</v>
      </c>
      <c r="AQ52" s="758">
        <f>GTS!AC26</f>
        <v>0</v>
      </c>
      <c r="AR52" s="183">
        <f>IF(KontiN!K56&lt;&gt;" ",KontiN!K56,)</f>
        <v>0</v>
      </c>
      <c r="AS52" s="758">
        <f>GTS!P29</f>
        <v>0</v>
      </c>
      <c r="AT52" s="758">
        <f>GTS!AC31</f>
        <v>0</v>
      </c>
      <c r="AW52" s="173">
        <f>KontiN!B25-KontiN!J26</f>
        <v>0</v>
      </c>
      <c r="BI52" s="1" t="str">
        <f>IF(ISTEXT('Bed S1'!A46),'Bed S1'!A46," ")</f>
        <v> </v>
      </c>
      <c r="BJ52" s="758">
        <f>AL18</f>
        <v>0</v>
      </c>
      <c r="BK52" s="759"/>
      <c r="BL52" s="757">
        <f>KontiN!N59+'Bed S1'!O21</f>
        <v>0</v>
      </c>
      <c r="BM52" s="757">
        <f>KontiN!O24</f>
        <v>0</v>
      </c>
      <c r="BN52" s="757"/>
      <c r="BO52" s="757"/>
      <c r="BP52"/>
      <c r="BQ52"/>
      <c r="BR52"/>
    </row>
    <row r="53" spans="1:67" s="86" customFormat="1" ht="11.25" hidden="1">
      <c r="A53" s="178" t="s">
        <v>147</v>
      </c>
      <c r="B53" s="178"/>
      <c r="C53" s="179" t="s">
        <v>137</v>
      </c>
      <c r="D53" s="178"/>
      <c r="E53" s="179" t="s">
        <v>148</v>
      </c>
      <c r="F53" s="213" t="s">
        <v>138</v>
      </c>
      <c r="G53" s="179"/>
      <c r="H53" s="179" t="s">
        <v>139</v>
      </c>
      <c r="I53" s="179"/>
      <c r="J53" s="179" t="s">
        <v>181</v>
      </c>
      <c r="K53" s="179" t="s">
        <v>182</v>
      </c>
      <c r="L53" s="179" t="s">
        <v>183</v>
      </c>
      <c r="M53" s="179"/>
      <c r="N53" s="178" t="s">
        <v>295</v>
      </c>
      <c r="O53" s="178" t="s">
        <v>296</v>
      </c>
      <c r="P53" s="178" t="s">
        <v>184</v>
      </c>
      <c r="Q53" s="179"/>
      <c r="R53" s="179" t="s">
        <v>185</v>
      </c>
      <c r="S53" s="179" t="s">
        <v>186</v>
      </c>
      <c r="T53" s="179" t="s">
        <v>187</v>
      </c>
      <c r="U53" s="179" t="s">
        <v>188</v>
      </c>
      <c r="V53" s="179" t="s">
        <v>189</v>
      </c>
      <c r="W53" s="214" t="s">
        <v>140</v>
      </c>
      <c r="X53" s="179"/>
      <c r="Y53" s="179" t="s">
        <v>190</v>
      </c>
      <c r="Z53" s="179" t="s">
        <v>294</v>
      </c>
      <c r="AA53" s="179"/>
      <c r="AB53" s="179"/>
      <c r="AC53" s="179"/>
      <c r="AD53" s="179" t="s">
        <v>149</v>
      </c>
      <c r="AE53" s="179" t="s">
        <v>141</v>
      </c>
      <c r="AF53" s="179" t="s">
        <v>142</v>
      </c>
      <c r="AG53" s="179" t="s">
        <v>312</v>
      </c>
      <c r="AH53" s="179" t="s">
        <v>143</v>
      </c>
      <c r="AI53" s="179" t="s">
        <v>150</v>
      </c>
      <c r="AJ53" s="761" t="s">
        <v>337</v>
      </c>
      <c r="AK53" s="761" t="s">
        <v>338</v>
      </c>
      <c r="AL53" s="179" t="s">
        <v>151</v>
      </c>
      <c r="AM53" s="179" t="s">
        <v>152</v>
      </c>
      <c r="AN53" s="179" t="s">
        <v>153</v>
      </c>
      <c r="AO53" s="179" t="s">
        <v>144</v>
      </c>
      <c r="AP53" s="179" t="s">
        <v>146</v>
      </c>
      <c r="AQ53" s="179" t="s">
        <v>145</v>
      </c>
      <c r="AR53" s="179" t="s">
        <v>169</v>
      </c>
      <c r="AS53" s="761" t="s">
        <v>338</v>
      </c>
      <c r="AT53" s="761" t="s">
        <v>345</v>
      </c>
      <c r="AW53" s="179" t="s">
        <v>291</v>
      </c>
      <c r="BJ53" s="179" t="s">
        <v>315</v>
      </c>
      <c r="BK53" s="179" t="s">
        <v>316</v>
      </c>
      <c r="BL53" s="179" t="s">
        <v>362</v>
      </c>
      <c r="BM53" s="179" t="s">
        <v>363</v>
      </c>
      <c r="BN53" s="179"/>
      <c r="BO53" s="179"/>
    </row>
    <row r="54" spans="1:70" s="670" customFormat="1" ht="77.25" hidden="1">
      <c r="A54" s="180" t="s">
        <v>154</v>
      </c>
      <c r="B54" s="181"/>
      <c r="C54" s="181"/>
      <c r="D54" s="181"/>
      <c r="E54" s="182" t="s">
        <v>155</v>
      </c>
      <c r="F54" s="182" t="s">
        <v>156</v>
      </c>
      <c r="G54" s="182"/>
      <c r="H54" s="181"/>
      <c r="I54" s="182"/>
      <c r="J54" s="182"/>
      <c r="K54" s="182"/>
      <c r="L54" s="182"/>
      <c r="M54" s="182"/>
      <c r="N54" s="182" t="s">
        <v>293</v>
      </c>
      <c r="O54" s="182" t="s">
        <v>296</v>
      </c>
      <c r="P54" s="182"/>
      <c r="Q54" s="182"/>
      <c r="R54" s="182"/>
      <c r="S54" s="182" t="s">
        <v>157</v>
      </c>
      <c r="T54" s="182"/>
      <c r="U54" s="182"/>
      <c r="V54" s="182"/>
      <c r="W54" s="182" t="s">
        <v>158</v>
      </c>
      <c r="X54" s="182"/>
      <c r="Y54" s="182" t="s">
        <v>35</v>
      </c>
      <c r="Z54" s="182" t="s">
        <v>159</v>
      </c>
      <c r="AA54" s="182" t="s">
        <v>160</v>
      </c>
      <c r="AB54" s="182"/>
      <c r="AC54" s="182"/>
      <c r="AD54" s="182"/>
      <c r="AE54" s="182" t="s">
        <v>161</v>
      </c>
      <c r="AF54" s="182" t="s">
        <v>162</v>
      </c>
      <c r="AG54" s="624" t="s">
        <v>314</v>
      </c>
      <c r="AH54" s="182"/>
      <c r="AI54" s="182" t="s">
        <v>163</v>
      </c>
      <c r="AJ54" s="762" t="s">
        <v>339</v>
      </c>
      <c r="AK54" s="762" t="s">
        <v>340</v>
      </c>
      <c r="AL54" s="624" t="s">
        <v>164</v>
      </c>
      <c r="AM54" s="624" t="s">
        <v>152</v>
      </c>
      <c r="AN54" s="624" t="s">
        <v>153</v>
      </c>
      <c r="AO54" s="624" t="s">
        <v>165</v>
      </c>
      <c r="AP54" s="624" t="s">
        <v>166</v>
      </c>
      <c r="AQ54" s="624" t="s">
        <v>167</v>
      </c>
      <c r="AR54" s="182" t="s">
        <v>169</v>
      </c>
      <c r="AS54" s="762" t="s">
        <v>346</v>
      </c>
      <c r="AT54" s="762" t="s">
        <v>347</v>
      </c>
      <c r="AW54" s="182" t="s">
        <v>292</v>
      </c>
      <c r="BJ54" s="624" t="s">
        <v>317</v>
      </c>
      <c r="BK54" s="624" t="s">
        <v>318</v>
      </c>
      <c r="BL54" s="624" t="s">
        <v>364</v>
      </c>
      <c r="BM54" s="624" t="s">
        <v>361</v>
      </c>
      <c r="BN54" s="624"/>
      <c r="BO54" s="624"/>
      <c r="BP54" s="755"/>
      <c r="BQ54" s="755"/>
      <c r="BR54" s="755"/>
    </row>
    <row r="55" ht="14.25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</sheetData>
  <sheetProtection sheet="1" objects="1" scenarios="1" formatRows="0"/>
  <mergeCells count="26">
    <mergeCell ref="F18:G19"/>
    <mergeCell ref="Z4:AA4"/>
    <mergeCell ref="V16:W16"/>
    <mergeCell ref="X16:Y16"/>
    <mergeCell ref="AM15:AM19"/>
    <mergeCell ref="Z16:AA16"/>
    <mergeCell ref="AB16:AC16"/>
    <mergeCell ref="AI14:AI15"/>
    <mergeCell ref="E6:G7"/>
    <mergeCell ref="F15:F16"/>
    <mergeCell ref="AQ17:AQ19"/>
    <mergeCell ref="AF14:AF15"/>
    <mergeCell ref="AE17:AH18"/>
    <mergeCell ref="AE14:AE15"/>
    <mergeCell ref="AH14:AH15"/>
    <mergeCell ref="AO17:AO19"/>
    <mergeCell ref="AP17:AP19"/>
    <mergeCell ref="AG14:AG15"/>
    <mergeCell ref="AJ14:AJ19"/>
    <mergeCell ref="H16:I16"/>
    <mergeCell ref="J16:K16"/>
    <mergeCell ref="L16:M16"/>
    <mergeCell ref="T16:U16"/>
    <mergeCell ref="N16:O16"/>
    <mergeCell ref="R16:S16"/>
    <mergeCell ref="P16:Q16"/>
  </mergeCells>
  <conditionalFormatting sqref="J14 H14 L14 N14 P14 R14 T14 V14 X14 Z14 AB14">
    <cfRule type="expression" priority="27" dxfId="140" stopIfTrue="1">
      <formula>H$14&gt;0</formula>
    </cfRule>
  </conditionalFormatting>
  <conditionalFormatting sqref="K14 I14 M14 O14 Q14 S14 U14 W14 Y14 AA14 AC14">
    <cfRule type="expression" priority="28" dxfId="141" stopIfTrue="1">
      <formula>H$14&gt;0</formula>
    </cfRule>
  </conditionalFormatting>
  <conditionalFormatting sqref="AM22:AM47 B22:B47 AB47 Z22:Z47">
    <cfRule type="expression" priority="29" dxfId="142" stopIfTrue="1">
      <formula>$F22&gt;0</formula>
    </cfRule>
  </conditionalFormatting>
  <conditionalFormatting sqref="AH22:AH47">
    <cfRule type="expression" priority="30" dxfId="143" stopIfTrue="1">
      <formula>$F22&gt;0</formula>
    </cfRule>
  </conditionalFormatting>
  <conditionalFormatting sqref="F22:F48">
    <cfRule type="expression" priority="31" dxfId="135" stopIfTrue="1">
      <formula>(IF(C22&gt;0,2,)-COUNTBLANK(F22))=1</formula>
    </cfRule>
  </conditionalFormatting>
  <conditionalFormatting sqref="B10:B12">
    <cfRule type="expression" priority="26" dxfId="142" stopIfTrue="1">
      <formula>$F10&lt;&gt;""</formula>
    </cfRule>
  </conditionalFormatting>
  <conditionalFormatting sqref="A3:D3">
    <cfRule type="expression" priority="25" dxfId="144" stopIfTrue="1">
      <formula>$C$4&gt;0</formula>
    </cfRule>
  </conditionalFormatting>
  <conditionalFormatting sqref="Z9">
    <cfRule type="expression" priority="24" dxfId="142" stopIfTrue="1">
      <formula>$F9&gt;0</formula>
    </cfRule>
  </conditionalFormatting>
  <conditionalFormatting sqref="Z10">
    <cfRule type="expression" priority="23" dxfId="142" stopIfTrue="1">
      <formula>$F10&lt;&gt;""</formula>
    </cfRule>
  </conditionalFormatting>
  <conditionalFormatting sqref="Z11:Z12">
    <cfRule type="expression" priority="22" dxfId="142" stopIfTrue="1">
      <formula>$F11&lt;&gt;""</formula>
    </cfRule>
  </conditionalFormatting>
  <conditionalFormatting sqref="Z4:AA4">
    <cfRule type="cellIs" priority="21" dxfId="145" operator="greaterThan" stopIfTrue="1">
      <formula>0</formula>
    </cfRule>
  </conditionalFormatting>
  <conditionalFormatting sqref="AI8:AI12 AM8:AM12">
    <cfRule type="cellIs" priority="20" dxfId="26" operator="notEqual" stopIfTrue="1">
      <formula>0</formula>
    </cfRule>
  </conditionalFormatting>
  <conditionalFormatting sqref="AE10">
    <cfRule type="expression" priority="19" dxfId="146" stopIfTrue="1">
      <formula>$F10&lt;&gt;""</formula>
    </cfRule>
  </conditionalFormatting>
  <conditionalFormatting sqref="AE9">
    <cfRule type="expression" priority="18" dxfId="146" stopIfTrue="1">
      <formula>$F9&lt;&gt;""</formula>
    </cfRule>
  </conditionalFormatting>
  <conditionalFormatting sqref="AE11">
    <cfRule type="expression" priority="17" dxfId="146" stopIfTrue="1">
      <formula>$F11&lt;&gt;""</formula>
    </cfRule>
  </conditionalFormatting>
  <conditionalFormatting sqref="AE12">
    <cfRule type="expression" priority="16" dxfId="146" stopIfTrue="1">
      <formula>$F12&lt;&gt;""</formula>
    </cfRule>
  </conditionalFormatting>
  <conditionalFormatting sqref="AE4">
    <cfRule type="cellIs" priority="14" dxfId="145" operator="greaterThan" stopIfTrue="1">
      <formula>0</formula>
    </cfRule>
  </conditionalFormatting>
  <conditionalFormatting sqref="AM3:AQ3 AS3:AT3">
    <cfRule type="expression" priority="12" dxfId="4" stopIfTrue="1">
      <formula>$AM$3&gt;0</formula>
    </cfRule>
  </conditionalFormatting>
  <conditionalFormatting sqref="AJ9:AJ12">
    <cfRule type="expression" priority="10" dxfId="142" stopIfTrue="1">
      <formula>$F9&gt;0</formula>
    </cfRule>
  </conditionalFormatting>
  <conditionalFormatting sqref="AF19">
    <cfRule type="expression" priority="7" dxfId="147" stopIfTrue="1">
      <formula>$Z$4&gt;=$D$8</formula>
    </cfRule>
  </conditionalFormatting>
  <conditionalFormatting sqref="AF22:AG47">
    <cfRule type="expression" priority="6" dxfId="143" stopIfTrue="1">
      <formula>$F22&gt;0</formula>
    </cfRule>
  </conditionalFormatting>
  <conditionalFormatting sqref="AJ22:AJ44">
    <cfRule type="expression" priority="5" dxfId="142" stopIfTrue="1">
      <formula>$F22&gt;0</formula>
    </cfRule>
  </conditionalFormatting>
  <conditionalFormatting sqref="AJ45:AJ47">
    <cfRule type="expression" priority="4" dxfId="142" stopIfTrue="1">
      <formula>$F45&gt;0</formula>
    </cfRule>
  </conditionalFormatting>
  <conditionalFormatting sqref="AL8">
    <cfRule type="cellIs" priority="3" dxfId="26" operator="notEqual" stopIfTrue="1">
      <formula>0</formula>
    </cfRule>
  </conditionalFormatting>
  <conditionalFormatting sqref="AJ4">
    <cfRule type="cellIs" priority="1" dxfId="115" operator="equal" stopIfTrue="1">
      <formula>"N"</formula>
    </cfRule>
  </conditionalFormatting>
  <dataValidations count="5">
    <dataValidation type="whole" allowBlank="1" showInputMessage="1" showErrorMessage="1" sqref="AG22:AH47 Z22:AA47 AB47:AC47 AE9:AE12 Z9:AA12 AE22:AE47 AJ9:AJ12 AJ22:AJ47 AF39:AF47 AM22:AM47">
      <formula1>0</formula1>
      <formula2>33</formula2>
    </dataValidation>
    <dataValidation type="list" allowBlank="1" showErrorMessage="1" prompt="bitte Zahl von  1 bis 9  eingeben" error="hier ist nur die eine Zahl erlaubt!" sqref="F22:F47 F9:F12">
      <formula1>"1"</formula1>
    </dataValidation>
    <dataValidation type="list" allowBlank="1" showDropDown="1" showInputMessage="1" showErrorMessage="1" error="bitte einen einzelnen Buchstaben eingeben!" sqref="G22:G47">
      <formula1>"a,b,c,d,e,f,g,h,i,j,k,l,m,n,o,p,q,r,s,t,u,v,w,x,y,z,A,B,C,D,E,F,G,H,I,J,K,L,M,N,O,P,Q,R,S,T,U,V,W,X,Y,Z"</formula1>
    </dataValidation>
    <dataValidation type="whole" allowBlank="1" showInputMessage="1" showErrorMessage="1" prompt="Bitte beachten, dass Schüler bei &quot;mangelhafter Sprachkenntnis&quot; in der nächsten Spalte einzutragen sind!" sqref="AF22:AF38">
      <formula1>0</formula1>
      <formula2>33</formula2>
    </dataValidation>
    <dataValidation type="list" allowBlank="1" showDropDown="1" showInputMessage="1" showErrorMessage="1" prompt="Hier &quot;N&quot; eingeben, wenn KEINE verschränkte Klasse am Standort, obwohl in zumindest einer Klasse alle Schüler an GTS teilnehmen!" sqref="AJ4">
      <formula1>$AL$4</formula1>
    </dataValidation>
  </dataValidations>
  <printOptions horizontalCentered="1"/>
  <pageMargins left="0.5511811023622047" right="0.4330708661417323" top="0.7086614173228347" bottom="0.7086614173228347" header="0.5118110236220472" footer="0.5511811023622047"/>
  <pageSetup fitToHeight="2" fitToWidth="1" horizontalDpi="600" verticalDpi="600" orientation="landscape" paperSize="9" r:id="rId3"/>
  <headerFooter alignWithMargins="0">
    <oddFooter>&amp;L&amp;"Century Gothic,Standard"&amp;9&amp;F&amp;R&amp;"Century Gothic,Standard"&amp;9Druckdatum: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>
    <tabColor theme="9" tint="0.39998000860214233"/>
  </sheetPr>
  <dimension ref="A1:T66"/>
  <sheetViews>
    <sheetView showGridLines="0" zoomScalePageLayoutView="0" workbookViewId="0" topLeftCell="A1">
      <selection activeCell="A13" sqref="A13"/>
    </sheetView>
  </sheetViews>
  <sheetFormatPr defaultColWidth="11.57421875" defaultRowHeight="12.75" zeroHeight="1"/>
  <cols>
    <col min="1" max="1" width="0.9921875" style="228" customWidth="1"/>
    <col min="2" max="2" width="6.7109375" style="228" customWidth="1"/>
    <col min="3" max="3" width="5.140625" style="228" customWidth="1"/>
    <col min="4" max="4" width="5.7109375" style="228" customWidth="1"/>
    <col min="5" max="5" width="11.8515625" style="228" customWidth="1"/>
    <col min="6" max="6" width="12.421875" style="228" customWidth="1"/>
    <col min="7" max="8" width="6.57421875" style="228" customWidth="1"/>
    <col min="9" max="12" width="5.28125" style="228" customWidth="1"/>
    <col min="13" max="14" width="5.7109375" style="228" customWidth="1"/>
    <col min="15" max="16" width="6.00390625" style="228" customWidth="1"/>
    <col min="17" max="17" width="4.28125" style="228" customWidth="1"/>
    <col min="18" max="18" width="4.140625" style="228" hidden="1" customWidth="1"/>
    <col min="19" max="19" width="12.28125" style="228" hidden="1" customWidth="1"/>
    <col min="20" max="20" width="12.421875" style="228" customWidth="1"/>
    <col min="21" max="16384" width="11.57421875" style="228" customWidth="1"/>
  </cols>
  <sheetData>
    <row r="1" spans="1:17" ht="27">
      <c r="A1" s="292"/>
      <c r="B1" s="289" t="s">
        <v>222</v>
      </c>
      <c r="C1" s="289"/>
      <c r="D1" s="289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20.25">
      <c r="A2" s="289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ht="14.25" hidden="1">
      <c r="A3" s="288"/>
      <c r="B3" s="288" t="s">
        <v>221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ht="14.25" hidden="1">
      <c r="A4" s="288"/>
      <c r="B4" s="577" t="s">
        <v>325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1:17" ht="20.25" hidden="1">
      <c r="A5" s="289"/>
      <c r="B5" s="288"/>
      <c r="C5" s="288"/>
      <c r="D5" s="288"/>
      <c r="E5" s="288"/>
      <c r="F5" s="288"/>
      <c r="G5" s="578"/>
      <c r="H5" s="288"/>
      <c r="I5" s="288"/>
      <c r="J5" s="288"/>
      <c r="K5" s="288"/>
      <c r="L5" s="288"/>
      <c r="M5" s="288"/>
      <c r="N5" s="288"/>
      <c r="O5" s="288"/>
      <c r="P5" s="579" t="s">
        <v>302</v>
      </c>
      <c r="Q5" s="288"/>
    </row>
    <row r="6" spans="1:17" ht="14.25">
      <c r="A6" s="288"/>
      <c r="B6" s="288" t="s">
        <v>303</v>
      </c>
      <c r="C6" s="288"/>
      <c r="D6" s="288"/>
      <c r="E6" s="288"/>
      <c r="F6" s="288"/>
      <c r="G6" s="578" t="s">
        <v>304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</row>
    <row r="7" spans="1:17" ht="20.25">
      <c r="A7" s="289"/>
      <c r="B7" s="288" t="s">
        <v>305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</row>
    <row r="8" spans="1:17" ht="14.25">
      <c r="A8" s="288"/>
      <c r="B8" s="288" t="s">
        <v>306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</row>
    <row r="9" spans="1:17" ht="20.25">
      <c r="A9" s="289"/>
      <c r="B9" s="288" t="s">
        <v>307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</row>
    <row r="10" spans="1:17" ht="14.25">
      <c r="A10" s="288"/>
      <c r="B10" s="288" t="s">
        <v>326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</row>
    <row r="11" spans="1:17" ht="15">
      <c r="A11" s="291"/>
      <c r="B11" s="290" t="s">
        <v>220</v>
      </c>
      <c r="C11" s="290"/>
      <c r="D11" s="290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</row>
    <row r="12" spans="1:17" ht="14.25">
      <c r="A12" s="288"/>
      <c r="B12" s="288"/>
      <c r="C12" s="288"/>
      <c r="D12" s="288"/>
      <c r="E12" s="288" t="s">
        <v>308</v>
      </c>
      <c r="F12" s="288"/>
      <c r="G12" s="288"/>
      <c r="H12" s="288"/>
      <c r="I12" s="288"/>
      <c r="J12" s="288"/>
      <c r="K12" s="288"/>
      <c r="L12" s="288"/>
      <c r="M12" s="288"/>
      <c r="N12" s="580" t="s">
        <v>219</v>
      </c>
      <c r="O12" s="288"/>
      <c r="P12" s="288"/>
      <c r="Q12" s="288"/>
    </row>
    <row r="13" spans="1:17" ht="15">
      <c r="A13" s="291"/>
      <c r="B13" s="290" t="s">
        <v>218</v>
      </c>
      <c r="C13" s="290"/>
      <c r="D13" s="290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</row>
    <row r="14" spans="1:17" ht="20.25">
      <c r="A14" s="289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</row>
    <row r="15" spans="2:18" ht="15" customHeight="1">
      <c r="B15" s="287" t="s">
        <v>217</v>
      </c>
      <c r="C15" s="286"/>
      <c r="D15" s="286"/>
      <c r="E15" s="286"/>
      <c r="F15" s="285"/>
      <c r="G15" s="851" t="s">
        <v>197</v>
      </c>
      <c r="H15" s="852"/>
      <c r="R15" s="277">
        <f>SUM(R16:R17)</f>
        <v>0</v>
      </c>
    </row>
    <row r="16" spans="1:18" ht="15" customHeight="1">
      <c r="A16" s="281"/>
      <c r="B16" s="284" t="s">
        <v>216</v>
      </c>
      <c r="C16" s="283"/>
      <c r="D16" s="283"/>
      <c r="E16" s="283"/>
      <c r="F16" s="282" t="s">
        <v>215</v>
      </c>
      <c r="G16" s="855"/>
      <c r="H16" s="856"/>
      <c r="R16" s="277">
        <f>SUM(G16:P16)</f>
        <v>0</v>
      </c>
    </row>
    <row r="17" spans="1:18" ht="15">
      <c r="A17" s="281"/>
      <c r="B17" s="280"/>
      <c r="C17" s="279"/>
      <c r="D17" s="279"/>
      <c r="E17" s="279"/>
      <c r="F17" s="278" t="s">
        <v>214</v>
      </c>
      <c r="G17" s="853"/>
      <c r="H17" s="854"/>
      <c r="R17" s="277">
        <f>SUM(G17:P17)</f>
        <v>0</v>
      </c>
    </row>
    <row r="18" spans="1:18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P18" s="276" t="str">
        <f>P46</f>
        <v>PS  . . .</v>
      </c>
      <c r="R18" s="269"/>
    </row>
    <row r="19" spans="1:12" ht="18.75">
      <c r="A19" s="6"/>
      <c r="B19" s="555" t="str">
        <f>IF(AND(C21=0,C22="",C23=""),"Bitte das Zutreffende ankreuzen  in Zeile 21 bis 23","")</f>
        <v>Bitte das Zutreffende ankreuzen  in Zeile 21 bis 23</v>
      </c>
      <c r="C19" s="555"/>
      <c r="D19" s="6"/>
      <c r="E19" s="6"/>
      <c r="F19" s="6"/>
      <c r="G19" s="6"/>
      <c r="H19" s="6"/>
      <c r="I19" s="6"/>
      <c r="J19" s="6"/>
      <c r="K19" s="6"/>
      <c r="L19" s="6"/>
    </row>
    <row r="20" spans="1:19" ht="27.75" thickBot="1">
      <c r="A20" s="272"/>
      <c r="B20" s="275" t="str">
        <f>"Für die Neuaufnahme von Schülern im Schuljahr "&amp;LEFT(KontiN!F16,5)&amp;"20"&amp;RIGHT(KontiN!F16,2)&amp;" gilt:"</f>
        <v>Für die Neuaufnahme von Schülern im Schuljahr 2020/2021 gilt:</v>
      </c>
      <c r="C20" s="275"/>
      <c r="D20" s="275"/>
      <c r="S20" s="274" t="s">
        <v>213</v>
      </c>
    </row>
    <row r="21" spans="1:19" ht="27.75" thickBot="1">
      <c r="A21" s="272"/>
      <c r="B21" s="271"/>
      <c r="C21" s="270"/>
      <c r="D21" s="273" t="str">
        <f>"Es werden "&amp;LEFT(KontiN!F16,5)&amp;"20"&amp;RIGHT(KontiN!F16,2)&amp;"  KEINE sprengelfremden Schüler neu aufgenommen"</f>
        <v>Es werden 2020/2021  KEINE sprengelfremden Schüler neu aufgenommen</v>
      </c>
      <c r="R21" s="269"/>
      <c r="S21" s="268" t="s">
        <v>309</v>
      </c>
    </row>
    <row r="22" spans="1:19" ht="27.75" thickBot="1">
      <c r="A22" s="272"/>
      <c r="B22" s="271"/>
      <c r="C22" s="581">
        <f>IF(AND(C23&lt;&gt;"X",R15&gt;0),"X","")</f>
      </c>
      <c r="D22" s="273" t="s">
        <v>212</v>
      </c>
      <c r="R22" s="269"/>
      <c r="S22" s="268" t="s">
        <v>327</v>
      </c>
    </row>
    <row r="23" spans="1:19" ht="27.75" customHeight="1" thickBot="1">
      <c r="A23" s="272"/>
      <c r="B23" s="271"/>
      <c r="C23" s="581">
        <f>IF(OR(R26=0,R36=0),"X","")</f>
      </c>
      <c r="D23" s="857" t="s">
        <v>211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R23" s="269"/>
      <c r="S23" s="268" t="s">
        <v>210</v>
      </c>
    </row>
    <row r="24" spans="4:16" ht="14.25"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</row>
    <row r="25" ht="15" thickBot="1"/>
    <row r="26" spans="1:19" ht="18.75" thickBot="1">
      <c r="A26" s="265"/>
      <c r="B26" s="844" t="s">
        <v>209</v>
      </c>
      <c r="C26" s="845"/>
      <c r="D26" s="845"/>
      <c r="E26" s="845"/>
      <c r="F26" s="846"/>
      <c r="G26" s="264"/>
      <c r="R26" s="228" t="str">
        <f>IF(SUM(R28,R30)=0,"Z",)</f>
        <v>Z</v>
      </c>
      <c r="S26" s="228" t="s">
        <v>207</v>
      </c>
    </row>
    <row r="27" spans="2:19" ht="15" customHeight="1">
      <c r="B27" s="847"/>
      <c r="C27" s="848"/>
      <c r="D27" s="848"/>
      <c r="E27" s="848"/>
      <c r="F27" s="849"/>
      <c r="G27" s="858" t="s">
        <v>197</v>
      </c>
      <c r="H27" s="859"/>
      <c r="R27" s="228">
        <f>IF(G28&lt;&gt;0,1,0)+IF(I28&lt;&gt;0,1,0)+IF(K28&lt;&gt;0,1,0)+IF(M28&lt;&gt;0,1,0)+IF(O28&lt;&gt;0,1,0)</f>
        <v>0</v>
      </c>
      <c r="S27" s="228" t="s">
        <v>206</v>
      </c>
    </row>
    <row r="28" spans="1:19" ht="18.75" thickBot="1">
      <c r="A28" s="263"/>
      <c r="B28" s="262"/>
      <c r="C28" s="261"/>
      <c r="D28" s="261"/>
      <c r="E28" s="261"/>
      <c r="F28" s="259" t="s">
        <v>205</v>
      </c>
      <c r="G28" s="835"/>
      <c r="H28" s="836"/>
      <c r="R28" s="228">
        <f>SUM(G28:O28)</f>
        <v>0</v>
      </c>
      <c r="S28" s="228" t="s">
        <v>204</v>
      </c>
    </row>
    <row r="29" spans="1:19" ht="8.25" customHeight="1" thickBot="1">
      <c r="A29" s="254"/>
      <c r="B29" s="258"/>
      <c r="C29" s="257"/>
      <c r="D29" s="257"/>
      <c r="E29" s="257"/>
      <c r="F29" s="257"/>
      <c r="G29" s="256"/>
      <c r="H29" s="255"/>
      <c r="Q29" s="254"/>
      <c r="R29" s="253">
        <f>IF(R26="Z",7,IF(R30&gt;0,(R27*2)/R30,))</f>
        <v>7</v>
      </c>
      <c r="S29" s="253" t="s">
        <v>203</v>
      </c>
    </row>
    <row r="30" spans="2:18" ht="14.25">
      <c r="B30" s="252"/>
      <c r="F30" s="251"/>
      <c r="G30" s="250" t="s">
        <v>196</v>
      </c>
      <c r="H30" s="249" t="s">
        <v>195</v>
      </c>
      <c r="R30" s="228">
        <f>SUM(R31:R32)</f>
        <v>0</v>
      </c>
    </row>
    <row r="31" spans="2:19" ht="46.5" customHeight="1" thickBot="1">
      <c r="B31" s="837">
        <f>IF(C$23="","","Die Aufnahme dieser Schüler ergäbe nach 
früherer Rechnung an unserer Schule 
eine zusätzliche Klasse auf dieser Stufe")</f>
      </c>
      <c r="C31" s="838"/>
      <c r="D31" s="838"/>
      <c r="E31" s="838"/>
      <c r="F31" s="839"/>
      <c r="G31" s="248"/>
      <c r="H31" s="582"/>
      <c r="R31" s="228">
        <f>IF(G31&lt;&gt;0,1,0)+IF(I31&lt;&gt;0,1,0)+IF(K31&lt;&gt;0,1,0)+IF(M31&lt;&gt;0,1,0)+IF(O31&lt;&gt;0,1,0)+IF(G32&lt;&gt;0,1,0)+IF(I32&lt;&gt;0,1,0)+IF(K32&lt;&gt;0,1,0)+IF(M32&lt;&gt;0,1,0)+IF(O32&lt;&gt;0,1,0)</f>
        <v>0</v>
      </c>
      <c r="S31" s="228" t="s">
        <v>202</v>
      </c>
    </row>
    <row r="32" spans="2:19" ht="45" customHeight="1" hidden="1" thickBot="1">
      <c r="B32" s="840">
        <f>IF(C$23="","","An der sprengelmäßig zuständigen Schule gibt es dadurch eine Verringerung der Klassenzahl auf dieser Stufe")</f>
      </c>
      <c r="C32" s="841"/>
      <c r="D32" s="842"/>
      <c r="E32" s="842"/>
      <c r="F32" s="843"/>
      <c r="G32" s="583"/>
      <c r="H32" s="584">
        <f>IF(OR(G31&lt;&gt;0,H31&lt;&gt;0),"X",)</f>
        <v>0</v>
      </c>
      <c r="R32" s="228">
        <f>IF(H31&lt;&gt;0,1,0)+IF(J31&lt;&gt;0,1,0)+IF(L31&lt;&gt;0,1,0)+IF(N31&lt;&gt;0,1,0)+IF(P31&lt;&gt;0,1,0)+IF(H32&lt;&gt;0,1,0)+IF(J32&lt;&gt;0,1,0)+IF(L32&lt;&gt;0,1,0)+IF(N32&lt;&gt;0,1,0)+IF(P32&lt;&gt;0,1,0)</f>
        <v>0</v>
      </c>
      <c r="S32" s="228" t="s">
        <v>201</v>
      </c>
    </row>
    <row r="33" spans="1:16" ht="25.5">
      <c r="A33" s="247"/>
      <c r="B33" s="246"/>
      <c r="C33" s="245" t="str">
        <f>IF(OR(R26="Z",P33&lt;&gt;" ")," ","Beachte:")</f>
        <v> </v>
      </c>
      <c r="D33" s="267"/>
      <c r="E33" s="266" t="str">
        <f>IF(AND(R28&gt;0,R31&gt;0),S22,IF(AND(R26&lt;&gt;"Z",OR(R28=0,R29&gt;1,R30=0)),S20," "))</f>
        <v> </v>
      </c>
      <c r="H33" s="243"/>
      <c r="I33" s="242"/>
      <c r="J33" s="242"/>
      <c r="K33" s="242"/>
      <c r="L33" s="242"/>
      <c r="M33" s="242"/>
      <c r="N33" s="242"/>
      <c r="O33" s="242"/>
      <c r="P33" s="241" t="str">
        <f>IF(AND(E33=" ",R29=1),S$23," ")</f>
        <v> </v>
      </c>
    </row>
    <row r="34" spans="2:16" ht="6" customHeight="1">
      <c r="B34" s="240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8"/>
    </row>
    <row r="35" ht="15" thickBot="1"/>
    <row r="36" spans="1:19" ht="18" customHeight="1" thickBot="1">
      <c r="A36" s="265"/>
      <c r="B36" s="844" t="s">
        <v>208</v>
      </c>
      <c r="C36" s="845"/>
      <c r="D36" s="845"/>
      <c r="E36" s="845"/>
      <c r="F36" s="846"/>
      <c r="G36" s="264"/>
      <c r="R36" s="228" t="str">
        <f>IF(SUM(R38,R40)=0,"Z",)</f>
        <v>Z</v>
      </c>
      <c r="S36" s="228" t="s">
        <v>207</v>
      </c>
    </row>
    <row r="37" spans="1:19" ht="15" customHeight="1">
      <c r="A37" s="251"/>
      <c r="B37" s="847"/>
      <c r="C37" s="848"/>
      <c r="D37" s="848"/>
      <c r="E37" s="848"/>
      <c r="F37" s="849"/>
      <c r="G37" s="858" t="s">
        <v>197</v>
      </c>
      <c r="H37" s="859"/>
      <c r="R37" s="228">
        <f>IF(G38&lt;&gt;0,1,0)+IF(I38&lt;&gt;0,1,0)+IF(K38&lt;&gt;0,1,0)+IF(M38&lt;&gt;0,1,0)+IF(O38&lt;&gt;0,1,0)</f>
        <v>0</v>
      </c>
      <c r="S37" s="228" t="s">
        <v>206</v>
      </c>
    </row>
    <row r="38" spans="1:19" ht="18.75" thickBot="1">
      <c r="A38" s="263"/>
      <c r="B38" s="262"/>
      <c r="C38" s="261"/>
      <c r="D38" s="261"/>
      <c r="E38" s="260"/>
      <c r="F38" s="259" t="s">
        <v>205</v>
      </c>
      <c r="G38" s="835"/>
      <c r="H38" s="836"/>
      <c r="R38" s="228">
        <f>SUM(G38:O38)</f>
        <v>0</v>
      </c>
      <c r="S38" s="228" t="s">
        <v>204</v>
      </c>
    </row>
    <row r="39" spans="1:19" ht="8.25" customHeight="1" thickBot="1">
      <c r="A39" s="254"/>
      <c r="B39" s="258"/>
      <c r="C39" s="257"/>
      <c r="D39" s="257"/>
      <c r="E39" s="257"/>
      <c r="F39" s="257"/>
      <c r="G39" s="256"/>
      <c r="H39" s="255"/>
      <c r="Q39" s="254"/>
      <c r="R39" s="253">
        <f>IF(R36="Z",7,IF(R40&gt;0,(R37*2)/R40,))</f>
        <v>7</v>
      </c>
      <c r="S39" s="253" t="s">
        <v>203</v>
      </c>
    </row>
    <row r="40" spans="2:18" ht="14.25">
      <c r="B40" s="252"/>
      <c r="F40" s="251"/>
      <c r="G40" s="250" t="s">
        <v>196</v>
      </c>
      <c r="H40" s="249" t="s">
        <v>195</v>
      </c>
      <c r="R40" s="228">
        <f>SUM(R41:R42)</f>
        <v>0</v>
      </c>
    </row>
    <row r="41" spans="2:19" ht="46.5" customHeight="1" thickBot="1">
      <c r="B41" s="837">
        <f>IF(C$23="","","Die Aufnahme dieser Schüler ergäbe nach 
früherer Rechnung an unserer Schule 
eine zusätzliche Klasse auf dieser Stufe")</f>
      </c>
      <c r="C41" s="838"/>
      <c r="D41" s="838"/>
      <c r="E41" s="838"/>
      <c r="F41" s="839"/>
      <c r="G41" s="248"/>
      <c r="H41" s="582"/>
      <c r="R41" s="228">
        <f>IF(G41&lt;&gt;0,1,0)+IF(I41&lt;&gt;0,1,0)+IF(K41&lt;&gt;0,1,0)+IF(M41&lt;&gt;0,1,0)+IF(O41&lt;&gt;0,1,0)+IF(G42&lt;&gt;0,1,0)+IF(I42&lt;&gt;0,1,0)+IF(K42&lt;&gt;0,1,0)+IF(M42&lt;&gt;0,1,0)+IF(O42&lt;&gt;0,1,0)</f>
        <v>0</v>
      </c>
      <c r="S41" s="228" t="s">
        <v>202</v>
      </c>
    </row>
    <row r="42" spans="2:19" ht="45" customHeight="1" hidden="1" thickBot="1">
      <c r="B42" s="840">
        <f>IF(C$23="","","An der sprengelmäßig zuständigen Schule gibt es dadurch eine Verringerung der Klassenzahl auf dieser Stufe")</f>
      </c>
      <c r="C42" s="842"/>
      <c r="D42" s="842"/>
      <c r="E42" s="842"/>
      <c r="F42" s="843"/>
      <c r="G42" s="583"/>
      <c r="H42" s="584">
        <f>IF(OR(G41&lt;&gt;0,H41&lt;&gt;0),"X",)</f>
        <v>0</v>
      </c>
      <c r="R42" s="228">
        <f>IF(H41&lt;&gt;0,1,0)+IF(J41&lt;&gt;0,1,0)+IF(L41&lt;&gt;0,1,0)+IF(N41&lt;&gt;0,1,0)+IF(P41&lt;&gt;0,1,0)+IF(H42&lt;&gt;0,1,0)+IF(J42&lt;&gt;0,1,0)+IF(L42&lt;&gt;0,1,0)+IF(N42&lt;&gt;0,1,0)+IF(P42&lt;&gt;0,1,0)</f>
        <v>0</v>
      </c>
      <c r="S42" s="228" t="s">
        <v>201</v>
      </c>
    </row>
    <row r="43" spans="1:16" ht="25.5">
      <c r="A43" s="247"/>
      <c r="B43" s="246"/>
      <c r="C43" s="245" t="str">
        <f>IF(OR(R36="Z",P43&lt;&gt;" ")," ","Achtung:")</f>
        <v> </v>
      </c>
      <c r="E43" s="244" t="str">
        <f>IF(AND(R38&gt;0,R41&gt;0),S21,IF(AND(R36&lt;&gt;"Z",OR(R38=0,R39&gt;1,R40=0)),S20," "))</f>
        <v> </v>
      </c>
      <c r="H43" s="243"/>
      <c r="I43" s="242"/>
      <c r="J43" s="242"/>
      <c r="K43" s="242"/>
      <c r="L43" s="242"/>
      <c r="M43" s="242"/>
      <c r="N43" s="242"/>
      <c r="O43" s="242"/>
      <c r="P43" s="241" t="str">
        <f>IF(AND(E43=" ",R39=1),S$23," ")</f>
        <v> </v>
      </c>
    </row>
    <row r="44" spans="2:16" ht="6" customHeight="1">
      <c r="B44" s="240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8"/>
    </row>
    <row r="45" ht="9" customHeight="1"/>
    <row r="46" spans="2:20" ht="18">
      <c r="B46" s="237" t="s">
        <v>194</v>
      </c>
      <c r="C46" s="237"/>
      <c r="D46" s="237"/>
      <c r="P46" s="236" t="str">
        <f>Bemerkung!E6</f>
        <v>PS  . . .</v>
      </c>
      <c r="Q46" s="235">
        <f>IF(E43=S21,"Sprengelfremde aufgenommen OHNE zusätzliche Ressourcen !!",IF(E33=S22,"Zustimmung der BilDiV für Sprengelfremde erforderlich !!",IF(OR(AND(C22&gt;0,R15&gt;0),AND(C21=0,OR(P33=S23,P43=S23))),"Eingabe der Sprengelfremden hat ergeben:  o.k.",IF(AND(C21&gt;0,R28=0,R38=0),"Keine sprengelfremden Kinder",))))</f>
        <v>0</v>
      </c>
      <c r="R46" s="234"/>
      <c r="S46" s="234"/>
      <c r="T46" s="234"/>
    </row>
    <row r="47" spans="2:18" ht="15" customHeight="1">
      <c r="B47" s="834"/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R47" s="233">
        <f>IF(OR(AND(C23&lt;&gt;"",R28=0,R38=0),AND(C23="",SUM(R28,R38)&gt;0)),1,IF(LEFT(Q46,5)="Zusti",2,IF(LEFT(Q46,6)="Spreng",3,)))</f>
        <v>0</v>
      </c>
    </row>
    <row r="48" spans="2:16" ht="15" customHeight="1"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</row>
    <row r="49" spans="2:16" ht="15" customHeight="1">
      <c r="B49" s="834"/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</row>
    <row r="50" spans="2:16" ht="15" customHeight="1"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</row>
    <row r="51" spans="2:16" ht="14.25"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</row>
    <row r="52" spans="2:16" ht="14.25"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</row>
    <row r="53" spans="2:16" ht="14.25">
      <c r="B53" s="834"/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</row>
    <row r="54" spans="2:16" ht="14.25"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</row>
    <row r="55" spans="1:16" ht="20.25" hidden="1">
      <c r="A55" s="230"/>
      <c r="B55" s="232" t="s">
        <v>193</v>
      </c>
      <c r="C55" s="232"/>
      <c r="D55" s="232"/>
      <c r="P55" s="231" t="s">
        <v>192</v>
      </c>
    </row>
    <row r="56" spans="1:6" ht="20.25" hidden="1">
      <c r="A56" s="230"/>
      <c r="F56" s="229" t="s">
        <v>191</v>
      </c>
    </row>
    <row r="57" spans="2:16" ht="13.5" customHeight="1" hidden="1">
      <c r="B57" s="850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</row>
    <row r="58" spans="2:16" ht="13.5" customHeight="1" hidden="1">
      <c r="B58" s="850"/>
      <c r="C58" s="850"/>
      <c r="D58" s="850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0"/>
      <c r="P58" s="850"/>
    </row>
    <row r="59" spans="2:16" ht="14.25" hidden="1"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0"/>
      <c r="P59" s="850"/>
    </row>
    <row r="60" spans="2:16" ht="14.25" hidden="1">
      <c r="B60" s="850"/>
      <c r="C60" s="850"/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</row>
    <row r="61" spans="2:16" ht="14.25" hidden="1">
      <c r="B61" s="850"/>
      <c r="C61" s="850"/>
      <c r="D61" s="850"/>
      <c r="E61" s="850"/>
      <c r="F61" s="850"/>
      <c r="G61" s="850"/>
      <c r="H61" s="850"/>
      <c r="I61" s="850"/>
      <c r="J61" s="850"/>
      <c r="K61" s="850"/>
      <c r="L61" s="850"/>
      <c r="M61" s="850"/>
      <c r="N61" s="850"/>
      <c r="O61" s="850"/>
      <c r="P61" s="850"/>
    </row>
    <row r="62" spans="2:16" ht="14.25" hidden="1">
      <c r="B62" s="850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</row>
    <row r="63" spans="2:16" ht="14.25" hidden="1">
      <c r="B63" s="850"/>
      <c r="C63" s="850"/>
      <c r="D63" s="850"/>
      <c r="E63" s="850"/>
      <c r="F63" s="850"/>
      <c r="G63" s="850"/>
      <c r="H63" s="850"/>
      <c r="I63" s="850"/>
      <c r="J63" s="850"/>
      <c r="K63" s="850"/>
      <c r="L63" s="850"/>
      <c r="M63" s="850"/>
      <c r="N63" s="850"/>
      <c r="O63" s="850"/>
      <c r="P63" s="850"/>
    </row>
    <row r="64" spans="2:16" ht="14.25" hidden="1">
      <c r="B64" s="850"/>
      <c r="C64" s="850"/>
      <c r="D64" s="850"/>
      <c r="E64" s="850"/>
      <c r="F64" s="850"/>
      <c r="G64" s="850"/>
      <c r="H64" s="850"/>
      <c r="I64" s="850"/>
      <c r="J64" s="850"/>
      <c r="K64" s="850"/>
      <c r="L64" s="850"/>
      <c r="M64" s="850"/>
      <c r="N64" s="850"/>
      <c r="O64" s="850"/>
      <c r="P64" s="850"/>
    </row>
    <row r="65" spans="2:16" ht="14.25" hidden="1">
      <c r="B65" s="850"/>
      <c r="C65" s="850"/>
      <c r="D65" s="850"/>
      <c r="E65" s="850"/>
      <c r="F65" s="850"/>
      <c r="G65" s="850"/>
      <c r="H65" s="850"/>
      <c r="I65" s="850"/>
      <c r="J65" s="850"/>
      <c r="K65" s="850"/>
      <c r="L65" s="850"/>
      <c r="M65" s="850"/>
      <c r="N65" s="850"/>
      <c r="O65" s="850"/>
      <c r="P65" s="850"/>
    </row>
    <row r="66" spans="2:16" ht="14.25" hidden="1">
      <c r="B66" s="850"/>
      <c r="C66" s="850"/>
      <c r="D66" s="850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0"/>
      <c r="P66" s="850"/>
    </row>
    <row r="67" ht="14.25"/>
    <row r="68" ht="14.25"/>
    <row r="69" ht="14.25"/>
    <row r="70" ht="14.25"/>
  </sheetData>
  <sheetProtection password="C560" sheet="1"/>
  <mergeCells count="16">
    <mergeCell ref="B57:P66"/>
    <mergeCell ref="G15:H15"/>
    <mergeCell ref="G17:H17"/>
    <mergeCell ref="G38:H38"/>
    <mergeCell ref="G16:H16"/>
    <mergeCell ref="D23:P24"/>
    <mergeCell ref="G37:H37"/>
    <mergeCell ref="B26:F27"/>
    <mergeCell ref="G27:H27"/>
    <mergeCell ref="B42:F42"/>
    <mergeCell ref="B47:P54"/>
    <mergeCell ref="G28:H28"/>
    <mergeCell ref="B41:F41"/>
    <mergeCell ref="B32:F32"/>
    <mergeCell ref="B36:F37"/>
    <mergeCell ref="B31:F31"/>
  </mergeCells>
  <conditionalFormatting sqref="E43">
    <cfRule type="cellIs" priority="3" dxfId="148" operator="equal" stopIfTrue="1">
      <formula>$S$21</formula>
    </cfRule>
  </conditionalFormatting>
  <conditionalFormatting sqref="A18:L19">
    <cfRule type="expression" priority="2" dxfId="113" stopIfTrue="1">
      <formula>$B$19&lt;&gt;""</formula>
    </cfRule>
  </conditionalFormatting>
  <conditionalFormatting sqref="C21">
    <cfRule type="expression" priority="1" dxfId="149" stopIfTrue="1">
      <formula>$R$15&gt;0</formula>
    </cfRule>
  </conditionalFormatting>
  <dataValidations count="1">
    <dataValidation type="whole" allowBlank="1" showInputMessage="1" showErrorMessage="1" prompt="Hier die Anzahl der Schüler eingeben" sqref="G16:H17">
      <formula1>0</formula1>
      <formula2>99</formula2>
    </dataValidation>
  </dataValidations>
  <printOptions verticalCentered="1"/>
  <pageMargins left="0.6299212598425197" right="0.3937007874015748" top="0.5905511811023623" bottom="0.5905511811023623" header="0.31496062992125984" footer="0.31496062992125984"/>
  <pageSetup fitToHeight="3" horizontalDpi="600" verticalDpi="600" orientation="portrait" paperSize="9" scale="94" r:id="rId2"/>
  <headerFooter>
    <oddFooter>&amp;L&amp;8&amp;F&amp;R&amp;8Druckdatum: &amp;11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indexed="44"/>
    <pageSetUpPr fitToPage="1"/>
  </sheetPr>
  <dimension ref="A1:AS44"/>
  <sheetViews>
    <sheetView showGridLines="0" showZeros="0" zoomScale="85" zoomScaleNormal="85" zoomScalePageLayoutView="0" workbookViewId="0" topLeftCell="A1">
      <pane xSplit="3" ySplit="2" topLeftCell="D3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5" sqref="L5"/>
    </sheetView>
  </sheetViews>
  <sheetFormatPr defaultColWidth="4.57421875" defaultRowHeight="12.75" zeroHeight="1"/>
  <cols>
    <col min="1" max="2" width="7.57421875" style="98" customWidth="1"/>
    <col min="3" max="3" width="0.2890625" style="98" customWidth="1"/>
    <col min="4" max="4" width="7.140625" style="98" customWidth="1"/>
    <col min="5" max="6" width="6.57421875" style="98" customWidth="1"/>
    <col min="7" max="8" width="6.00390625" style="98" customWidth="1"/>
    <col min="9" max="9" width="1.8515625" style="98" customWidth="1"/>
    <col min="10" max="11" width="6.57421875" style="98" customWidth="1"/>
    <col min="12" max="13" width="6.00390625" style="98" customWidth="1"/>
    <col min="14" max="14" width="3.00390625" style="98" customWidth="1"/>
    <col min="15" max="16" width="6.57421875" style="98" customWidth="1"/>
    <col min="17" max="18" width="6.00390625" style="98" customWidth="1"/>
    <col min="19" max="19" width="1.8515625" style="98" customWidth="1"/>
    <col min="20" max="21" width="6.57421875" style="98" customWidth="1"/>
    <col min="22" max="23" width="6.00390625" style="98" customWidth="1"/>
    <col min="24" max="24" width="3.00390625" style="98" customWidth="1"/>
    <col min="25" max="26" width="6.57421875" style="98" customWidth="1"/>
    <col min="27" max="28" width="6.00390625" style="98" customWidth="1"/>
    <col min="29" max="29" width="3.00390625" style="98" customWidth="1"/>
    <col min="30" max="39" width="5.00390625" style="98" customWidth="1"/>
    <col min="40" max="16384" width="4.57421875" style="98" customWidth="1"/>
  </cols>
  <sheetData>
    <row r="1" spans="1:45" ht="30">
      <c r="A1" s="778" t="s">
        <v>354</v>
      </c>
      <c r="O1" s="99" t="s">
        <v>47</v>
      </c>
      <c r="P1" s="224" t="str">
        <f>Bemerkung!E6</f>
        <v>PS  . . .</v>
      </c>
      <c r="AF1" s="689">
        <v>10</v>
      </c>
      <c r="AG1" s="690">
        <v>20</v>
      </c>
      <c r="AH1" s="691" t="s">
        <v>320</v>
      </c>
      <c r="AI1" s="689" t="s">
        <v>321</v>
      </c>
      <c r="AS1" s="720" t="s">
        <v>48</v>
      </c>
    </row>
    <row r="2" spans="1:35" ht="12.75" customHeight="1">
      <c r="A2" s="100"/>
      <c r="AF2" s="692">
        <v>4</v>
      </c>
      <c r="AG2" s="690">
        <v>7</v>
      </c>
      <c r="AH2" s="689">
        <v>3</v>
      </c>
      <c r="AI2" s="693">
        <v>2</v>
      </c>
    </row>
    <row r="3" spans="1:35" ht="12.75" customHeight="1">
      <c r="A3" s="100"/>
      <c r="P3"/>
      <c r="S3" s="574" t="s">
        <v>301</v>
      </c>
      <c r="T3" s="155" t="s">
        <v>300</v>
      </c>
      <c r="AF3" s="689">
        <v>25</v>
      </c>
      <c r="AG3" s="693">
        <v>0</v>
      </c>
      <c r="AH3" s="690">
        <v>0.4</v>
      </c>
      <c r="AI3" s="691">
        <f>SUM(AH2:AI2)</f>
        <v>5</v>
      </c>
    </row>
    <row r="4" spans="4:35" ht="15" thickBot="1">
      <c r="D4" s="721" t="s">
        <v>330</v>
      </c>
      <c r="O4"/>
      <c r="P4"/>
      <c r="Q4" s="779" t="s">
        <v>67</v>
      </c>
      <c r="R4" s="156"/>
      <c r="S4" s="698" t="s">
        <v>351</v>
      </c>
      <c r="AF4" s="689"/>
      <c r="AG4" s="693">
        <v>2</v>
      </c>
      <c r="AH4" s="690">
        <v>0.62</v>
      </c>
      <c r="AI4" s="689"/>
    </row>
    <row r="5" spans="1:35" ht="19.5" thickBot="1" thickTop="1">
      <c r="A5" s="699"/>
      <c r="H5" s="700" t="s">
        <v>331</v>
      </c>
      <c r="I5" s="867">
        <f>Klassen!AK17+Klassen!AK19</f>
        <v>0</v>
      </c>
      <c r="J5" s="868"/>
      <c r="K5" s="723" t="s">
        <v>332</v>
      </c>
      <c r="L5" s="724"/>
      <c r="M5" s="710" t="str">
        <f>IF(L5&lt;0," an anderer Schule",IF(L5&gt;0," von anderer Schule"," an/von anderer Schule"))</f>
        <v> an/von anderer Schule</v>
      </c>
      <c r="O5"/>
      <c r="P5"/>
      <c r="Q5" s="725">
        <f>IF(L5&lt;&gt;0,"= "&amp;C6,)</f>
        <v>0</v>
      </c>
      <c r="AF5" s="689"/>
      <c r="AG5" s="693">
        <v>3</v>
      </c>
      <c r="AH5" s="690">
        <v>0.84</v>
      </c>
      <c r="AI5" s="689"/>
    </row>
    <row r="6" spans="1:34" ht="18.75" thickTop="1">
      <c r="A6" s="699"/>
      <c r="C6" s="722">
        <f>SUM(I5,L5)</f>
        <v>0</v>
      </c>
      <c r="N6" s="99">
        <f>IF(AI7&gt;0,"daher sind bei pr3 wöchentlich höchstens ",)</f>
        <v>0</v>
      </c>
      <c r="O6" s="701">
        <f>IF(AI7&gt;0,AI7,)</f>
        <v>0</v>
      </c>
      <c r="P6" s="702">
        <f>ROUNDUP($AI7*0.84,1)</f>
        <v>0</v>
      </c>
      <c r="Q6" s="702">
        <f>ROUNDUP($AI7*0.62,1)</f>
        <v>0</v>
      </c>
      <c r="R6" s="703">
        <f>ROUNDUP($AI7*0.4,1)</f>
        <v>0</v>
      </c>
      <c r="S6" s="98">
        <f>IF(AI7&gt;0," Wochenstunden über die Lehrerbesoldung abrechenbar,",)</f>
        <v>0</v>
      </c>
      <c r="AF6" s="689"/>
      <c r="AG6" s="694">
        <v>4</v>
      </c>
      <c r="AH6" s="695">
        <v>1</v>
      </c>
    </row>
    <row r="7" spans="1:36" ht="12.75" customHeight="1">
      <c r="A7" s="704"/>
      <c r="O7" s="705">
        <f>IF(AI7&gt;0,"bei Lernzeiten an ..  4 od. 5, ",)</f>
        <v>0</v>
      </c>
      <c r="P7" s="706">
        <f>IF(AI7&gt;0,"an 3,",)</f>
        <v>0</v>
      </c>
      <c r="Q7" s="706">
        <f>IF(AI7&gt;0,"an 2,",)</f>
        <v>0</v>
      </c>
      <c r="R7" s="707">
        <f>IF(AI7&gt;0," oder lediglich an 1 Tag(en) pro Woche.",)</f>
        <v>0</v>
      </c>
      <c r="AF7" s="689">
        <v>40</v>
      </c>
      <c r="AH7" s="697">
        <f>ROUNDUP(LOOKUP(AF26,AG3:AG6,AH3:AH6)*AI7,1)</f>
        <v>0</v>
      </c>
      <c r="AI7" s="585">
        <f>IF(C6&lt;AG2,,IF(C6&lt;AF7,LOOKUP(C6,AH8:AH11,AI8:AI11),ROUNDDOWN(C6/AF$1,0)*AH$2+ROUNDDOWN(C6/AG$1,0)*AI$2))</f>
        <v>0</v>
      </c>
      <c r="AJ7" s="696">
        <f>IF(C6&gt;=AG1,MAX(ROUNDDOWN(C6/AG1,0),ROUNDUP(C6/AF3,0)),IF(C6&gt;=AG2,1,))</f>
        <v>0</v>
      </c>
    </row>
    <row r="8" spans="1:35" ht="15.75">
      <c r="A8" s="764" t="s">
        <v>341</v>
      </c>
      <c r="AH8" s="708">
        <v>0</v>
      </c>
      <c r="AI8" s="709">
        <f>AI3</f>
        <v>5</v>
      </c>
    </row>
    <row r="9" spans="1:35" ht="6.75" customHeight="1">
      <c r="A9" s="704"/>
      <c r="AH9" s="708">
        <v>18</v>
      </c>
      <c r="AI9" s="709">
        <f>AI8*1.6</f>
        <v>8</v>
      </c>
    </row>
    <row r="10" spans="1:35" ht="20.25">
      <c r="A10" s="101"/>
      <c r="D10" s="102" t="s">
        <v>49</v>
      </c>
      <c r="F10" s="103" t="s">
        <v>50</v>
      </c>
      <c r="G10" s="104"/>
      <c r="H10" s="105"/>
      <c r="I10" s="106"/>
      <c r="J10" s="106"/>
      <c r="K10" s="103" t="s">
        <v>51</v>
      </c>
      <c r="L10" s="104"/>
      <c r="M10" s="105"/>
      <c r="N10" s="106"/>
      <c r="O10" s="106"/>
      <c r="P10" s="103" t="s">
        <v>52</v>
      </c>
      <c r="Q10" s="104"/>
      <c r="R10" s="105"/>
      <c r="S10" s="106"/>
      <c r="T10" s="106"/>
      <c r="U10" s="103" t="s">
        <v>53</v>
      </c>
      <c r="V10" s="104"/>
      <c r="W10" s="105"/>
      <c r="X10" s="106"/>
      <c r="Y10" s="106"/>
      <c r="Z10" s="103" t="s">
        <v>54</v>
      </c>
      <c r="AA10" s="104"/>
      <c r="AB10" s="105"/>
      <c r="AH10" s="708">
        <v>24</v>
      </c>
      <c r="AI10" s="709">
        <f>AI8*2</f>
        <v>10</v>
      </c>
    </row>
    <row r="11" spans="1:35" ht="14.25">
      <c r="A11" s="860" t="s">
        <v>55</v>
      </c>
      <c r="B11" s="861"/>
      <c r="C11" s="107"/>
      <c r="D11" s="107"/>
      <c r="E11" s="108" t="s">
        <v>56</v>
      </c>
      <c r="F11" s="109"/>
      <c r="J11" s="108" t="s">
        <v>56</v>
      </c>
      <c r="K11" s="109"/>
      <c r="O11" s="108" t="s">
        <v>56</v>
      </c>
      <c r="P11" s="109"/>
      <c r="T11" s="108" t="s">
        <v>56</v>
      </c>
      <c r="U11" s="109"/>
      <c r="Y11" s="108" t="s">
        <v>56</v>
      </c>
      <c r="Z11" s="109"/>
      <c r="AH11" s="708">
        <v>30</v>
      </c>
      <c r="AI11" s="709">
        <f>AI8*2.6</f>
        <v>13</v>
      </c>
    </row>
    <row r="12" spans="1:31" ht="14.25">
      <c r="A12" s="862"/>
      <c r="B12" s="863"/>
      <c r="C12" s="107"/>
      <c r="D12" s="107"/>
      <c r="E12" s="110" t="s">
        <v>34</v>
      </c>
      <c r="F12" s="111" t="s">
        <v>34</v>
      </c>
      <c r="G12" s="112" t="s">
        <v>57</v>
      </c>
      <c r="H12" s="113"/>
      <c r="J12" s="110" t="s">
        <v>34</v>
      </c>
      <c r="K12" s="111" t="s">
        <v>34</v>
      </c>
      <c r="L12" s="112" t="s">
        <v>57</v>
      </c>
      <c r="M12" s="113"/>
      <c r="O12" s="110" t="s">
        <v>34</v>
      </c>
      <c r="P12" s="111" t="s">
        <v>34</v>
      </c>
      <c r="Q12" s="112" t="s">
        <v>57</v>
      </c>
      <c r="R12" s="113"/>
      <c r="T12" s="110" t="s">
        <v>34</v>
      </c>
      <c r="U12" s="111" t="s">
        <v>34</v>
      </c>
      <c r="V12" s="112" t="s">
        <v>57</v>
      </c>
      <c r="W12" s="113"/>
      <c r="Y12" s="110" t="s">
        <v>34</v>
      </c>
      <c r="Z12" s="111" t="s">
        <v>34</v>
      </c>
      <c r="AA12" s="112" t="s">
        <v>57</v>
      </c>
      <c r="AB12" s="113"/>
      <c r="AD12" s="114">
        <v>0.034722222222222224</v>
      </c>
      <c r="AE12" s="114">
        <v>0.6666666666666666</v>
      </c>
    </row>
    <row r="13" spans="1:28" ht="15">
      <c r="A13" s="115" t="s">
        <v>58</v>
      </c>
      <c r="B13" s="116" t="s">
        <v>59</v>
      </c>
      <c r="C13" s="117"/>
      <c r="D13" s="117"/>
      <c r="E13" s="118" t="s">
        <v>60</v>
      </c>
      <c r="F13" s="119" t="s">
        <v>61</v>
      </c>
      <c r="G13" s="120" t="s">
        <v>60</v>
      </c>
      <c r="H13" s="121" t="s">
        <v>61</v>
      </c>
      <c r="J13" s="118" t="s">
        <v>60</v>
      </c>
      <c r="K13" s="119" t="s">
        <v>61</v>
      </c>
      <c r="L13" s="120" t="s">
        <v>60</v>
      </c>
      <c r="M13" s="121" t="s">
        <v>61</v>
      </c>
      <c r="O13" s="118" t="s">
        <v>60</v>
      </c>
      <c r="P13" s="119" t="s">
        <v>61</v>
      </c>
      <c r="Q13" s="120" t="s">
        <v>60</v>
      </c>
      <c r="R13" s="121" t="s">
        <v>61</v>
      </c>
      <c r="T13" s="118" t="s">
        <v>60</v>
      </c>
      <c r="U13" s="119" t="s">
        <v>61</v>
      </c>
      <c r="V13" s="120" t="s">
        <v>60</v>
      </c>
      <c r="W13" s="121" t="s">
        <v>61</v>
      </c>
      <c r="Y13" s="118" t="s">
        <v>60</v>
      </c>
      <c r="Z13" s="119" t="s">
        <v>61</v>
      </c>
      <c r="AA13" s="120" t="s">
        <v>60</v>
      </c>
      <c r="AB13" s="121" t="s">
        <v>61</v>
      </c>
    </row>
    <row r="14" spans="1:39" ht="18">
      <c r="A14" s="683"/>
      <c r="B14" s="684">
        <f>IF(A14&gt;0,A14+AD$12,)</f>
        <v>0</v>
      </c>
      <c r="C14" s="586">
        <f aca="true" t="shared" si="0" ref="C14:C23">ROUND((B14-A14)*24*60,1)</f>
        <v>0</v>
      </c>
      <c r="D14" s="586">
        <f aca="true" t="shared" si="1" ref="D14:D23">IF(A14&gt;0,"= "&amp;C14&amp;" min",)</f>
        <v>0</v>
      </c>
      <c r="E14" s="193"/>
      <c r="F14" s="194"/>
      <c r="G14" s="587">
        <f aca="true" t="shared" si="2" ref="G14:H23">AD14</f>
        <v>0</v>
      </c>
      <c r="H14" s="588">
        <f t="shared" si="2"/>
        <v>0</v>
      </c>
      <c r="I14" s="195"/>
      <c r="J14" s="196"/>
      <c r="K14" s="197"/>
      <c r="L14" s="587">
        <f aca="true" t="shared" si="3" ref="L14:M23">AF14</f>
        <v>0</v>
      </c>
      <c r="M14" s="588">
        <f t="shared" si="3"/>
        <v>0</v>
      </c>
      <c r="N14" s="198"/>
      <c r="O14" s="199"/>
      <c r="P14" s="200"/>
      <c r="Q14" s="587">
        <f aca="true" t="shared" si="4" ref="Q14:R23">AH14</f>
        <v>0</v>
      </c>
      <c r="R14" s="588">
        <f t="shared" si="4"/>
        <v>0</v>
      </c>
      <c r="S14" s="198"/>
      <c r="T14" s="196"/>
      <c r="U14" s="197"/>
      <c r="V14" s="587">
        <f aca="true" t="shared" si="5" ref="V14:W23">AJ14</f>
        <v>0</v>
      </c>
      <c r="W14" s="588">
        <f t="shared" si="5"/>
        <v>0</v>
      </c>
      <c r="X14" s="198"/>
      <c r="Y14" s="199"/>
      <c r="Z14" s="200"/>
      <c r="AA14" s="587">
        <f aca="true" t="shared" si="6" ref="AA14:AB23">AL14</f>
        <v>0</v>
      </c>
      <c r="AB14" s="588">
        <f t="shared" si="6"/>
        <v>0</v>
      </c>
      <c r="AD14" s="122">
        <f>IF(E14&gt;=AF1,ROUNDDOWN(E14/AF1,0),IF(E14&gt;0,1,))*C14/50</f>
        <v>0</v>
      </c>
      <c r="AE14" s="122">
        <f>IF(F14&gt;=AG1,MAX(ROUNDDOWN(F14/AG1,0),ROUNDUP(F14/AF3,0)),IF(F14&gt;0,1,))*C14/50*0.5</f>
        <v>0</v>
      </c>
      <c r="AF14" s="122">
        <f>IF(J14&gt;=AF1,ROUNDDOWN(J14/AF1,0),IF(J14&gt;0,1,))*C14/50</f>
        <v>0</v>
      </c>
      <c r="AG14" s="122">
        <f>IF(K14&gt;=AG1,MAX(ROUNDDOWN(K14/AG1,0),ROUNDUP(K14/AF3,0)),IF(K14&gt;0,1,))*C14/50*0.5</f>
        <v>0</v>
      </c>
      <c r="AH14" s="122">
        <f>IF(O14&gt;=AF1,ROUNDDOWN(O14/AF1,0),IF(O14&gt;0,1,))*C14/50</f>
        <v>0</v>
      </c>
      <c r="AI14" s="122">
        <f>IF(P14&gt;=AG1,MAX(ROUNDDOWN(P14/AG1,0),ROUNDUP(P14/AF3,0)),IF(P14&gt;0,1,))*C14/50*0.5</f>
        <v>0</v>
      </c>
      <c r="AJ14" s="122">
        <f>IF(T14&gt;=AF1,ROUNDDOWN(T14/AF1,0),IF(T14&gt;0,1,))*C14/50</f>
        <v>0</v>
      </c>
      <c r="AK14" s="122">
        <f>IF(U14&gt;=AG1,MAX(ROUNDDOWN(U14/AG1,0),ROUNDUP(U14/AF3,0)),IF(U14&gt;0,1,))*C14/50*0.5</f>
        <v>0</v>
      </c>
      <c r="AL14" s="122">
        <f>IF(Y14&gt;=AF1,ROUNDDOWN(Y14/AF1,0),IF(Y14&gt;0,1,))*C14/50</f>
        <v>0</v>
      </c>
      <c r="AM14" s="122">
        <f>IF(Z14&gt;=AG1,MAX(ROUNDDOWN(Z14/AG1,0),ROUNDUP(Z14/AF3,0)),IF(Z14&gt;0,1,))*C14/50*0.5</f>
        <v>0</v>
      </c>
    </row>
    <row r="15" spans="1:39" ht="18">
      <c r="A15" s="685">
        <f aca="true" t="shared" si="7" ref="A15:A22">IF(B14&lt;AE$12,B14,)</f>
        <v>0</v>
      </c>
      <c r="B15" s="686">
        <f>IF(A15&gt;0,A15+AD$12,)</f>
        <v>0</v>
      </c>
      <c r="C15" s="586">
        <f t="shared" si="0"/>
        <v>0</v>
      </c>
      <c r="D15" s="586">
        <f t="shared" si="1"/>
        <v>0</v>
      </c>
      <c r="E15" s="193"/>
      <c r="F15" s="194"/>
      <c r="G15" s="587">
        <f t="shared" si="2"/>
        <v>0</v>
      </c>
      <c r="H15" s="588">
        <f t="shared" si="2"/>
        <v>0</v>
      </c>
      <c r="I15" s="195"/>
      <c r="J15" s="196"/>
      <c r="K15" s="197"/>
      <c r="L15" s="587">
        <f t="shared" si="3"/>
        <v>0</v>
      </c>
      <c r="M15" s="588">
        <f t="shared" si="3"/>
        <v>0</v>
      </c>
      <c r="N15" s="198"/>
      <c r="O15" s="201"/>
      <c r="P15" s="202"/>
      <c r="Q15" s="587">
        <f t="shared" si="4"/>
        <v>0</v>
      </c>
      <c r="R15" s="588">
        <f t="shared" si="4"/>
        <v>0</v>
      </c>
      <c r="S15" s="198"/>
      <c r="T15" s="196"/>
      <c r="U15" s="197"/>
      <c r="V15" s="587">
        <f t="shared" si="5"/>
        <v>0</v>
      </c>
      <c r="W15" s="588">
        <f t="shared" si="5"/>
        <v>0</v>
      </c>
      <c r="X15" s="198"/>
      <c r="Y15" s="201"/>
      <c r="Z15" s="202"/>
      <c r="AA15" s="587">
        <f t="shared" si="6"/>
        <v>0</v>
      </c>
      <c r="AB15" s="588">
        <f t="shared" si="6"/>
        <v>0</v>
      </c>
      <c r="AD15" s="122">
        <f>IF(E15&gt;=AF1,ROUNDDOWN(E15/AF1,0),IF(E15&gt;0,1,))*C15/50</f>
        <v>0</v>
      </c>
      <c r="AE15" s="122">
        <f>IF(F15&gt;=AG1,MAX(ROUNDDOWN(F15/AG1,0),ROUNDUP(F15/AF3,0)),IF(F15&gt;0,1,))*C15/50*0.5</f>
        <v>0</v>
      </c>
      <c r="AF15" s="122">
        <f>IF(J15&gt;=AF1,ROUNDDOWN(J15/AF1,0),IF(J15&gt;0,1,))*C15/50</f>
        <v>0</v>
      </c>
      <c r="AG15" s="122">
        <f>IF(K15&gt;=AG1,MAX(ROUNDDOWN(K15/AG1,0),ROUNDUP(K15/AF3,0)),IF(K15&gt;0,1,))*C15/50*0.5</f>
        <v>0</v>
      </c>
      <c r="AH15" s="122">
        <f>IF(O15&gt;=AF1,ROUNDDOWN(O15/AF1,0),IF(O15&gt;0,1,))*C15/50</f>
        <v>0</v>
      </c>
      <c r="AI15" s="122">
        <f>IF(P15&gt;=AG1,MAX(ROUNDDOWN(P15/AG1,0),ROUNDUP(P15/AF3,0)),IF(P15&gt;0,1,))*C15/50*0.5</f>
        <v>0</v>
      </c>
      <c r="AJ15" s="122">
        <f>IF(T15&gt;=AF1,ROUNDDOWN(T15/AF1,0),IF(T15&gt;0,1,))*C15/50</f>
        <v>0</v>
      </c>
      <c r="AK15" s="122">
        <f>IF(U15&gt;=AG1,MAX(ROUNDDOWN(U15/AG1,0),ROUNDUP(U15/AF3,0)),IF(U15&gt;0,1,))*C15/50*0.5</f>
        <v>0</v>
      </c>
      <c r="AL15" s="122">
        <f>IF(Y15&gt;=AF1,ROUNDDOWN(Y15/AF1,0),IF(Y15&gt;0,1,))*C15/50</f>
        <v>0</v>
      </c>
      <c r="AM15" s="122">
        <f>IF(Z15&gt;=AG1,MAX(ROUNDDOWN(Z15/AG1,0),ROUNDUP(Z15/AF3,0)),IF(Z15&gt;0,1,))*C15/50*0.5</f>
        <v>0</v>
      </c>
    </row>
    <row r="16" spans="1:39" ht="18">
      <c r="A16" s="685">
        <f t="shared" si="7"/>
        <v>0</v>
      </c>
      <c r="B16" s="686">
        <f aca="true" t="shared" si="8" ref="B16:B22">IF(A16&gt;0,A16+AD$12,)</f>
        <v>0</v>
      </c>
      <c r="C16" s="586">
        <f>ROUND((B16-A16)*24*60,1)</f>
        <v>0</v>
      </c>
      <c r="D16" s="586">
        <f>IF(A16&gt;0,"= "&amp;C16&amp;" min",)</f>
        <v>0</v>
      </c>
      <c r="E16" s="193"/>
      <c r="F16" s="194"/>
      <c r="G16" s="587">
        <f>AD16</f>
        <v>0</v>
      </c>
      <c r="H16" s="588">
        <f>AE16</f>
        <v>0</v>
      </c>
      <c r="I16" s="195"/>
      <c r="J16" s="196"/>
      <c r="K16" s="197"/>
      <c r="L16" s="587">
        <f>AF16</f>
        <v>0</v>
      </c>
      <c r="M16" s="588">
        <f>AG16</f>
        <v>0</v>
      </c>
      <c r="N16" s="198"/>
      <c r="O16" s="201"/>
      <c r="P16" s="202"/>
      <c r="Q16" s="587">
        <f>AH16</f>
        <v>0</v>
      </c>
      <c r="R16" s="588">
        <f>AI16</f>
        <v>0</v>
      </c>
      <c r="S16" s="198"/>
      <c r="T16" s="196"/>
      <c r="U16" s="197"/>
      <c r="V16" s="587">
        <f>AJ16</f>
        <v>0</v>
      </c>
      <c r="W16" s="588">
        <f>AK16</f>
        <v>0</v>
      </c>
      <c r="X16" s="198"/>
      <c r="Y16" s="201"/>
      <c r="Z16" s="202"/>
      <c r="AA16" s="587">
        <f>AL16</f>
        <v>0</v>
      </c>
      <c r="AB16" s="588">
        <f>AM16</f>
        <v>0</v>
      </c>
      <c r="AD16" s="122">
        <f>IF(E16&gt;=AF1,ROUNDDOWN(E16/AF1,0),IF(E16&gt;0,1,))*C16/50</f>
        <v>0</v>
      </c>
      <c r="AE16" s="122">
        <f>IF(F16&gt;=AG1,MAX(ROUNDDOWN(F16/AG1,0),ROUNDUP(F16/AF3,0)),IF(F16&gt;0,1,))*C16/50*0.5</f>
        <v>0</v>
      </c>
      <c r="AF16" s="122">
        <f>IF(J16&gt;=AF1,ROUNDDOWN(J16/AF1,0),IF(J16&gt;0,1,))*C16/50</f>
        <v>0</v>
      </c>
      <c r="AG16" s="122">
        <f>IF(K16&gt;=AG1,MAX(ROUNDDOWN(K16/AG1,0),ROUNDUP(K16/AF3,0)),IF(K16&gt;0,1,))*C16/50*0.5</f>
        <v>0</v>
      </c>
      <c r="AH16" s="122">
        <f>IF(O16&gt;=AF1,ROUNDDOWN(O16/AF1,0),IF(O16&gt;0,1,))*C16/50</f>
        <v>0</v>
      </c>
      <c r="AI16" s="122">
        <f>IF(P16&gt;=AG1,MAX(ROUNDDOWN(P16/AG1,0),ROUNDUP(P16/AF3,0)),IF(P16&gt;0,1,))*C16/50*0.5</f>
        <v>0</v>
      </c>
      <c r="AJ16" s="122">
        <f>IF(T16&gt;=AF1,ROUNDDOWN(T16/AF1,0),IF(T16&gt;0,1,))*C16/50</f>
        <v>0</v>
      </c>
      <c r="AK16" s="122">
        <f>IF(U16&gt;=AG1,MAX(ROUNDDOWN(U16/AG1,0),ROUNDUP(U16/AF3,0)),IF(U16&gt;0,1,))*C16/50*0.5</f>
        <v>0</v>
      </c>
      <c r="AL16" s="122">
        <f>IF(Y16&gt;=AF1,ROUNDDOWN(Y16/AF1,0),IF(Y16&gt;0,1,))*C16/50</f>
        <v>0</v>
      </c>
      <c r="AM16" s="122">
        <f>IF(Z16&gt;=AG1,MAX(ROUNDDOWN(Z16/AG1,0),ROUNDUP(Z16/AF3,0)),IF(Z16&gt;0,1,))*C16/50*0.5</f>
        <v>0</v>
      </c>
    </row>
    <row r="17" spans="1:39" ht="18">
      <c r="A17" s="685">
        <f t="shared" si="7"/>
        <v>0</v>
      </c>
      <c r="B17" s="686">
        <f t="shared" si="8"/>
        <v>0</v>
      </c>
      <c r="C17" s="586">
        <f t="shared" si="0"/>
        <v>0</v>
      </c>
      <c r="D17" s="586">
        <f t="shared" si="1"/>
        <v>0</v>
      </c>
      <c r="E17" s="193"/>
      <c r="F17" s="194"/>
      <c r="G17" s="587">
        <f t="shared" si="2"/>
        <v>0</v>
      </c>
      <c r="H17" s="588">
        <f t="shared" si="2"/>
        <v>0</v>
      </c>
      <c r="I17" s="195"/>
      <c r="J17" s="196"/>
      <c r="K17" s="197"/>
      <c r="L17" s="587">
        <f t="shared" si="3"/>
        <v>0</v>
      </c>
      <c r="M17" s="588">
        <f t="shared" si="3"/>
        <v>0</v>
      </c>
      <c r="N17" s="198"/>
      <c r="O17" s="201"/>
      <c r="P17" s="202"/>
      <c r="Q17" s="587">
        <f t="shared" si="4"/>
        <v>0</v>
      </c>
      <c r="R17" s="588">
        <f t="shared" si="4"/>
        <v>0</v>
      </c>
      <c r="S17" s="198"/>
      <c r="T17" s="196"/>
      <c r="U17" s="197"/>
      <c r="V17" s="587">
        <f t="shared" si="5"/>
        <v>0</v>
      </c>
      <c r="W17" s="588">
        <f t="shared" si="5"/>
        <v>0</v>
      </c>
      <c r="X17" s="198"/>
      <c r="Y17" s="201"/>
      <c r="Z17" s="202"/>
      <c r="AA17" s="587">
        <f t="shared" si="6"/>
        <v>0</v>
      </c>
      <c r="AB17" s="588">
        <f t="shared" si="6"/>
        <v>0</v>
      </c>
      <c r="AD17" s="122">
        <f>IF(E17&gt;=AF1,ROUNDDOWN(E17/AF1,0),IF(E17&gt;0,1,))*C17/50</f>
        <v>0</v>
      </c>
      <c r="AE17" s="122">
        <f>IF(F17&gt;=AG1,MAX(ROUNDDOWN(F17/AG1,0),ROUNDUP(F17/AF3,0)),IF(F17&gt;0,1,))*C17/50*0.5</f>
        <v>0</v>
      </c>
      <c r="AF17" s="122">
        <f>IF(J17&gt;=AF1,ROUNDDOWN(J17/AF1,0),IF(J17&gt;0,1,))*C17/50</f>
        <v>0</v>
      </c>
      <c r="AG17" s="122">
        <f>IF(K17&gt;=AG1,MAX(ROUNDDOWN(K17/AG1,0),ROUNDUP(K17/AF3,0)),IF(K17&gt;0,1,))*C17/50*0.5</f>
        <v>0</v>
      </c>
      <c r="AH17" s="122">
        <f>IF(O17&gt;=AF1,ROUNDDOWN(O17/AF1,0),IF(O17&gt;0,1,))*C17/50</f>
        <v>0</v>
      </c>
      <c r="AI17" s="122">
        <f>IF(P17&gt;=AG1,MAX(ROUNDDOWN(P17/AG1,0),ROUNDUP(P17/AF3,0)),IF(P17&gt;0,1,))*C17/50*0.5</f>
        <v>0</v>
      </c>
      <c r="AJ17" s="122">
        <f>IF(T17&gt;=AF1,ROUNDDOWN(T17/AF1,0),IF(T17&gt;0,1,))*C17/50</f>
        <v>0</v>
      </c>
      <c r="AK17" s="122">
        <f>IF(U17&gt;=AG1,MAX(ROUNDDOWN(U17/AG1,0),ROUNDUP(U17/AF3,0)),IF(U17&gt;0,1,))*C17/50*0.5</f>
        <v>0</v>
      </c>
      <c r="AL17" s="122">
        <f>IF(Y17&gt;=AF1,ROUNDDOWN(Y17/AF1,0),IF(Y17&gt;0,1,))*C17/50</f>
        <v>0</v>
      </c>
      <c r="AM17" s="122">
        <f>IF(Z17&gt;=AG1,MAX(ROUNDDOWN(Z17/AG1,0),ROUNDUP(Z17/AF3,0)),IF(Z17&gt;0,1,))*C17/50*0.5</f>
        <v>0</v>
      </c>
    </row>
    <row r="18" spans="1:39" ht="18">
      <c r="A18" s="685">
        <f t="shared" si="7"/>
        <v>0</v>
      </c>
      <c r="B18" s="686">
        <f t="shared" si="8"/>
        <v>0</v>
      </c>
      <c r="C18" s="586">
        <f t="shared" si="0"/>
        <v>0</v>
      </c>
      <c r="D18" s="586">
        <f t="shared" si="1"/>
        <v>0</v>
      </c>
      <c r="E18" s="203"/>
      <c r="F18" s="204"/>
      <c r="G18" s="587">
        <f t="shared" si="2"/>
        <v>0</v>
      </c>
      <c r="H18" s="588">
        <f t="shared" si="2"/>
        <v>0</v>
      </c>
      <c r="I18" s="195"/>
      <c r="J18" s="205"/>
      <c r="K18" s="206"/>
      <c r="L18" s="587">
        <f t="shared" si="3"/>
        <v>0</v>
      </c>
      <c r="M18" s="588">
        <f t="shared" si="3"/>
        <v>0</v>
      </c>
      <c r="N18" s="198"/>
      <c r="O18" s="207"/>
      <c r="P18" s="208"/>
      <c r="Q18" s="587">
        <f t="shared" si="4"/>
        <v>0</v>
      </c>
      <c r="R18" s="588">
        <f t="shared" si="4"/>
        <v>0</v>
      </c>
      <c r="S18" s="198"/>
      <c r="T18" s="205"/>
      <c r="U18" s="206"/>
      <c r="V18" s="587">
        <f t="shared" si="5"/>
        <v>0</v>
      </c>
      <c r="W18" s="588">
        <f t="shared" si="5"/>
        <v>0</v>
      </c>
      <c r="X18" s="198"/>
      <c r="Y18" s="207"/>
      <c r="Z18" s="208"/>
      <c r="AA18" s="587">
        <f t="shared" si="6"/>
        <v>0</v>
      </c>
      <c r="AB18" s="588">
        <f t="shared" si="6"/>
        <v>0</v>
      </c>
      <c r="AD18" s="122">
        <f>IF(E18&gt;=AF1,ROUNDDOWN(E18/AF1,0),IF(E18&gt;0,1,))*C18/50</f>
        <v>0</v>
      </c>
      <c r="AE18" s="122">
        <f>IF(F18&gt;=AG1,MAX(ROUNDDOWN(F18/AG1,0),ROUNDUP(F18/AF3,0)),IF(F18&gt;0,1,))*C18/50*0.5</f>
        <v>0</v>
      </c>
      <c r="AF18" s="122">
        <f>IF(J18&gt;=AF1,ROUNDDOWN(J18/AF1,0),IF(J18&gt;0,1,))*C18/50</f>
        <v>0</v>
      </c>
      <c r="AG18" s="122">
        <f>IF(K18&gt;=AG1,MAX(ROUNDDOWN(K18/AG1,0),ROUNDUP(K18/AF3,0)),IF(K18&gt;0,1,))*C18/50*0.5</f>
        <v>0</v>
      </c>
      <c r="AH18" s="122">
        <f>IF(O18&gt;=AF1,ROUNDDOWN(O18/AF1,0),IF(O18&gt;0,1,))*C18/50</f>
        <v>0</v>
      </c>
      <c r="AI18" s="122">
        <f>IF(P18&gt;=AG1,MAX(ROUNDDOWN(P18/AG1,0),ROUNDUP(P18/AF3,0)),IF(P18&gt;0,1,))*C18/50*0.5</f>
        <v>0</v>
      </c>
      <c r="AJ18" s="122">
        <f>IF(T18&gt;=AF1,ROUNDDOWN(T18/AF1,0),IF(T18&gt;0,1,))*C18/50</f>
        <v>0</v>
      </c>
      <c r="AK18" s="122">
        <f>IF(U18&gt;=AG1,MAX(ROUNDDOWN(U18/AG1,0),ROUNDUP(U18/AF3,0)),IF(U18&gt;0,1,))*C18/50*0.5</f>
        <v>0</v>
      </c>
      <c r="AL18" s="122">
        <f>IF(Y18&gt;=AF1,ROUNDDOWN(Y18/AF1,0),IF(Y18&gt;0,1,))*C18/50</f>
        <v>0</v>
      </c>
      <c r="AM18" s="122">
        <f>IF(Z18&gt;=AG1,MAX(ROUNDDOWN(Z18/AG1,0),ROUNDUP(Z18/AF3,0)),IF(Z18&gt;0,1,))*C18/50*0.5</f>
        <v>0</v>
      </c>
    </row>
    <row r="19" spans="1:39" ht="4.5" customHeight="1">
      <c r="A19" s="685">
        <f t="shared" si="7"/>
        <v>0</v>
      </c>
      <c r="B19" s="686">
        <f t="shared" si="8"/>
        <v>0</v>
      </c>
      <c r="C19" s="586">
        <f>ROUND((B19-A19)*24*60,1)</f>
        <v>0</v>
      </c>
      <c r="D19" s="586">
        <f>IF(A19&gt;0,"= "&amp;C19&amp;" min",)</f>
        <v>0</v>
      </c>
      <c r="E19" s="203"/>
      <c r="F19" s="204"/>
      <c r="G19" s="587">
        <f t="shared" si="2"/>
        <v>0</v>
      </c>
      <c r="H19" s="588">
        <f t="shared" si="2"/>
        <v>0</v>
      </c>
      <c r="I19" s="195"/>
      <c r="J19" s="205"/>
      <c r="K19" s="206"/>
      <c r="L19" s="587">
        <f t="shared" si="3"/>
        <v>0</v>
      </c>
      <c r="M19" s="588">
        <f t="shared" si="3"/>
        <v>0</v>
      </c>
      <c r="N19" s="198"/>
      <c r="O19" s="207"/>
      <c r="P19" s="208"/>
      <c r="Q19" s="587">
        <f t="shared" si="4"/>
        <v>0</v>
      </c>
      <c r="R19" s="588">
        <f t="shared" si="4"/>
        <v>0</v>
      </c>
      <c r="S19" s="198"/>
      <c r="T19" s="205"/>
      <c r="U19" s="206"/>
      <c r="V19" s="587">
        <f t="shared" si="5"/>
        <v>0</v>
      </c>
      <c r="W19" s="588">
        <f t="shared" si="5"/>
        <v>0</v>
      </c>
      <c r="X19" s="198"/>
      <c r="Y19" s="207"/>
      <c r="Z19" s="208"/>
      <c r="AA19" s="587">
        <f t="shared" si="6"/>
        <v>0</v>
      </c>
      <c r="AB19" s="588">
        <f t="shared" si="6"/>
        <v>0</v>
      </c>
      <c r="AD19" s="122">
        <f>IF(E19&gt;=AF1,ROUNDDOWN(E19/AF1,0),IF(E19&gt;0,1,))*C19/50</f>
        <v>0</v>
      </c>
      <c r="AE19" s="122">
        <f>IF(F19&gt;=AG1,MAX(ROUNDDOWN(F19/AG1,0),ROUNDUP(F19/AF3,0)),IF(F19&gt;0,1,))*C19/50*0.5</f>
        <v>0</v>
      </c>
      <c r="AF19" s="122">
        <f>IF(J19&gt;=AF1,ROUNDDOWN(J19/AF1,0),IF(J19&gt;0,1,))*C19/50</f>
        <v>0</v>
      </c>
      <c r="AG19" s="122">
        <f>IF(K19&gt;=AG1,MAX(ROUNDDOWN(K19/AG1,0),ROUNDUP(K19/AF3,0)),IF(K19&gt;0,1,))*C19/50*0.5</f>
        <v>0</v>
      </c>
      <c r="AH19" s="122">
        <f>IF(O19&gt;=AF1,ROUNDDOWN(O19/AF1,0),IF(O19&gt;0,1,))*C19/50</f>
        <v>0</v>
      </c>
      <c r="AI19" s="122">
        <f>IF(P19&gt;=AG1,MAX(ROUNDDOWN(P19/AG1,0),ROUNDUP(P19/AF3,0)),IF(P19&gt;0,1,))*C19/50*0.5</f>
        <v>0</v>
      </c>
      <c r="AJ19" s="122">
        <f>IF(T19&gt;=AF1,ROUNDDOWN(T19/AF1,0),IF(T19&gt;0,1,))*C19/50</f>
        <v>0</v>
      </c>
      <c r="AK19" s="122">
        <f>IF(U19&gt;=AG1,MAX(ROUNDDOWN(U19/AG1,0),ROUNDUP(U19/AF3,0)),IF(U19&gt;0,1,))*C19/50*0.5</f>
        <v>0</v>
      </c>
      <c r="AL19" s="122">
        <f>IF(Y19&gt;=AF1,ROUNDDOWN(Y19/AF1,0),IF(Y19&gt;0,1,))*C19/50</f>
        <v>0</v>
      </c>
      <c r="AM19" s="122">
        <f>IF(Z19&gt;=AG1,MAX(ROUNDDOWN(Z19/AG1,0),ROUNDUP(Z19/AF3,0)),IF(Z19&gt;0,1,))*C19/50*0.5</f>
        <v>0</v>
      </c>
    </row>
    <row r="20" spans="1:39" ht="4.5" customHeight="1">
      <c r="A20" s="685">
        <f t="shared" si="7"/>
        <v>0</v>
      </c>
      <c r="B20" s="686">
        <f t="shared" si="8"/>
        <v>0</v>
      </c>
      <c r="C20" s="586">
        <f>ROUND((B20-A20)*24*60,1)</f>
        <v>0</v>
      </c>
      <c r="D20" s="586">
        <f>IF(A20&gt;0,"= "&amp;C20&amp;" min",)</f>
        <v>0</v>
      </c>
      <c r="E20" s="203"/>
      <c r="F20" s="204"/>
      <c r="G20" s="587">
        <f t="shared" si="2"/>
        <v>0</v>
      </c>
      <c r="H20" s="588">
        <f t="shared" si="2"/>
        <v>0</v>
      </c>
      <c r="I20" s="195"/>
      <c r="J20" s="205"/>
      <c r="K20" s="206"/>
      <c r="L20" s="587">
        <f t="shared" si="3"/>
        <v>0</v>
      </c>
      <c r="M20" s="588">
        <f t="shared" si="3"/>
        <v>0</v>
      </c>
      <c r="N20" s="198"/>
      <c r="O20" s="207"/>
      <c r="P20" s="208"/>
      <c r="Q20" s="587">
        <f t="shared" si="4"/>
        <v>0</v>
      </c>
      <c r="R20" s="588">
        <f t="shared" si="4"/>
        <v>0</v>
      </c>
      <c r="S20" s="198"/>
      <c r="T20" s="205"/>
      <c r="U20" s="206"/>
      <c r="V20" s="587">
        <f t="shared" si="5"/>
        <v>0</v>
      </c>
      <c r="W20" s="588">
        <f t="shared" si="5"/>
        <v>0</v>
      </c>
      <c r="X20" s="198"/>
      <c r="Y20" s="207"/>
      <c r="Z20" s="208"/>
      <c r="AA20" s="587">
        <f t="shared" si="6"/>
        <v>0</v>
      </c>
      <c r="AB20" s="588">
        <f t="shared" si="6"/>
        <v>0</v>
      </c>
      <c r="AD20" s="122">
        <f>IF(E20&gt;=AF1,ROUNDDOWN(E20/AF1,0),IF(E20&gt;0,1,))*C20/50</f>
        <v>0</v>
      </c>
      <c r="AE20" s="122">
        <f>IF(F20&gt;=AG1,MAX(ROUNDDOWN(F20/AG1,0),ROUNDUP(F20/AF3,0)),IF(F20&gt;0,1,))*C20/50*0.5</f>
        <v>0</v>
      </c>
      <c r="AF20" s="122">
        <f>IF(J20&gt;=AF1,ROUNDDOWN(J20/AF1,0),IF(J20&gt;0,1,))*C20/50</f>
        <v>0</v>
      </c>
      <c r="AG20" s="122">
        <f>IF(K20&gt;=AG1,MAX(ROUNDDOWN(K20/AG1,0),ROUNDUP(K20/AF3,0)),IF(K20&gt;0,1,))*C20/50*0.5</f>
        <v>0</v>
      </c>
      <c r="AH20" s="122">
        <f>IF(O20&gt;=AF1,ROUNDDOWN(O20/AF1,0),IF(O20&gt;0,1,))*C20/50</f>
        <v>0</v>
      </c>
      <c r="AI20" s="122">
        <f>IF(P20&gt;=AG1,MAX(ROUNDDOWN(P20/AG1,0),ROUNDUP(P20/AF3,0)),IF(P20&gt;0,1,))*C20/50*0.5</f>
        <v>0</v>
      </c>
      <c r="AJ20" s="122">
        <f>IF(T20&gt;=AF1,ROUNDDOWN(T20/AF1,0),IF(T20&gt;0,1,))*C20/50</f>
        <v>0</v>
      </c>
      <c r="AK20" s="122">
        <f>IF(U20&gt;=AG1,MAX(ROUNDDOWN(U20/AG1,0),ROUNDUP(U20/AF3,0)),IF(U20&gt;0,1,))*C20/50*0.5</f>
        <v>0</v>
      </c>
      <c r="AL20" s="122">
        <f>IF(Y20&gt;=AF1,ROUNDDOWN(Y20/AF1,0),IF(Y20&gt;0,1,))*C20/50</f>
        <v>0</v>
      </c>
      <c r="AM20" s="122">
        <f>IF(Z20&gt;=AG1,MAX(ROUNDDOWN(Z20/AG1,0),ROUNDUP(Z20/AF3,0)),IF(Z20&gt;0,1,))*C20/50*0.5</f>
        <v>0</v>
      </c>
    </row>
    <row r="21" spans="1:39" ht="4.5" customHeight="1">
      <c r="A21" s="685">
        <f t="shared" si="7"/>
        <v>0</v>
      </c>
      <c r="B21" s="686">
        <f t="shared" si="8"/>
        <v>0</v>
      </c>
      <c r="C21" s="586">
        <f>ROUND((B21-A21)*24*60,1)</f>
        <v>0</v>
      </c>
      <c r="D21" s="586">
        <f>IF(A21&gt;0,"= "&amp;C21&amp;" min",)</f>
        <v>0</v>
      </c>
      <c r="E21" s="203"/>
      <c r="F21" s="204"/>
      <c r="G21" s="587">
        <f t="shared" si="2"/>
        <v>0</v>
      </c>
      <c r="H21" s="588">
        <f t="shared" si="2"/>
        <v>0</v>
      </c>
      <c r="I21" s="195"/>
      <c r="J21" s="205"/>
      <c r="K21" s="206"/>
      <c r="L21" s="587">
        <f t="shared" si="3"/>
        <v>0</v>
      </c>
      <c r="M21" s="588">
        <f t="shared" si="3"/>
        <v>0</v>
      </c>
      <c r="N21" s="198"/>
      <c r="O21" s="207"/>
      <c r="P21" s="208"/>
      <c r="Q21" s="587">
        <f t="shared" si="4"/>
        <v>0</v>
      </c>
      <c r="R21" s="588">
        <f t="shared" si="4"/>
        <v>0</v>
      </c>
      <c r="S21" s="198"/>
      <c r="T21" s="205"/>
      <c r="U21" s="206"/>
      <c r="V21" s="587">
        <f t="shared" si="5"/>
        <v>0</v>
      </c>
      <c r="W21" s="588">
        <f t="shared" si="5"/>
        <v>0</v>
      </c>
      <c r="X21" s="198"/>
      <c r="Y21" s="207"/>
      <c r="Z21" s="208"/>
      <c r="AA21" s="587">
        <f t="shared" si="6"/>
        <v>0</v>
      </c>
      <c r="AB21" s="588">
        <f t="shared" si="6"/>
        <v>0</v>
      </c>
      <c r="AD21" s="122">
        <f>IF(E21&gt;=AF1,ROUNDDOWN(E21/AF1,0),IF(E21&gt;0,1,))*C21/50</f>
        <v>0</v>
      </c>
      <c r="AE21" s="122">
        <f>IF(F21&gt;=AG1,MAX(ROUNDDOWN(F21/AG1,0),ROUNDUP(F21/AF3,0)),IF(F21&gt;0,1,))*C21/50*0.5</f>
        <v>0</v>
      </c>
      <c r="AF21" s="122">
        <f>IF(J21&gt;=AF1,ROUNDDOWN(J21/AF1,0),IF(J21&gt;0,1,))*C21/50</f>
        <v>0</v>
      </c>
      <c r="AG21" s="122">
        <f>IF(K21&gt;=AG1,MAX(ROUNDDOWN(K21/AG1,0),ROUNDUP(K21/AF3,0)),IF(K21&gt;0,1,))*C21/50*0.5</f>
        <v>0</v>
      </c>
      <c r="AH21" s="122">
        <f>IF(O21&gt;=AF1,ROUNDDOWN(O21/AF1,0),IF(O21&gt;0,1,))*C21/50</f>
        <v>0</v>
      </c>
      <c r="AI21" s="122">
        <f>IF(P21&gt;=AG1,MAX(ROUNDDOWN(P21/AG1,0),ROUNDUP(P21/AF3,0)),IF(P21&gt;0,1,))*C21/50*0.5</f>
        <v>0</v>
      </c>
      <c r="AJ21" s="122">
        <f>IF(T21&gt;=AF1,ROUNDDOWN(T21/AF1,0),IF(T21&gt;0,1,))*C21/50</f>
        <v>0</v>
      </c>
      <c r="AK21" s="122">
        <f>IF(U21&gt;=AG1,MAX(ROUNDDOWN(U21/AG1,0),ROUNDUP(U21/AF3,0)),IF(U21&gt;0,1,))*C21/50*0.5</f>
        <v>0</v>
      </c>
      <c r="AL21" s="122">
        <f>IF(Y21&gt;=AF1,ROUNDDOWN(Y21/AF1,0),IF(Y21&gt;0,1,))*C21/50</f>
        <v>0</v>
      </c>
      <c r="AM21" s="122">
        <f>IF(Z21&gt;=AG1,MAX(ROUNDDOWN(Z21/AG1,0),ROUNDUP(Z21/AF3,0)),IF(Z21&gt;0,1,))*C21/50*0.5</f>
        <v>0</v>
      </c>
    </row>
    <row r="22" spans="1:39" ht="4.5" customHeight="1">
      <c r="A22" s="685">
        <f t="shared" si="7"/>
        <v>0</v>
      </c>
      <c r="B22" s="686">
        <f t="shared" si="8"/>
        <v>0</v>
      </c>
      <c r="C22" s="586">
        <f t="shared" si="0"/>
        <v>0</v>
      </c>
      <c r="D22" s="586">
        <f t="shared" si="1"/>
        <v>0</v>
      </c>
      <c r="E22" s="203"/>
      <c r="F22" s="204"/>
      <c r="G22" s="587">
        <f t="shared" si="2"/>
        <v>0</v>
      </c>
      <c r="H22" s="588">
        <f t="shared" si="2"/>
        <v>0</v>
      </c>
      <c r="I22" s="195"/>
      <c r="J22" s="205"/>
      <c r="K22" s="206"/>
      <c r="L22" s="587">
        <f t="shared" si="3"/>
        <v>0</v>
      </c>
      <c r="M22" s="588">
        <f t="shared" si="3"/>
        <v>0</v>
      </c>
      <c r="N22" s="198"/>
      <c r="O22" s="207"/>
      <c r="P22" s="208"/>
      <c r="Q22" s="587">
        <f t="shared" si="4"/>
        <v>0</v>
      </c>
      <c r="R22" s="588">
        <f t="shared" si="4"/>
        <v>0</v>
      </c>
      <c r="S22" s="198"/>
      <c r="T22" s="205"/>
      <c r="U22" s="206"/>
      <c r="V22" s="587">
        <f t="shared" si="5"/>
        <v>0</v>
      </c>
      <c r="W22" s="588">
        <f t="shared" si="5"/>
        <v>0</v>
      </c>
      <c r="X22" s="198"/>
      <c r="Y22" s="207"/>
      <c r="Z22" s="208"/>
      <c r="AA22" s="587">
        <f t="shared" si="6"/>
        <v>0</v>
      </c>
      <c r="AB22" s="588">
        <f t="shared" si="6"/>
        <v>0</v>
      </c>
      <c r="AD22" s="122">
        <f>IF(E22&gt;=AF1,ROUNDDOWN(E22/AF1,0),IF(E22&gt;0,1,))*C22/50</f>
        <v>0</v>
      </c>
      <c r="AE22" s="122">
        <f>IF(F22&gt;=AG1,MAX(ROUNDDOWN(F22/AG1,0),ROUNDUP(F22/AF3,0)),IF(F22&gt;0,1,))*C22/50*0.5</f>
        <v>0</v>
      </c>
      <c r="AF22" s="122">
        <f>IF(J22&gt;=AF1,ROUNDDOWN(J22/AF1,0),IF(J22&gt;0,1,))*C22/50</f>
        <v>0</v>
      </c>
      <c r="AG22" s="122">
        <f>IF(K22&gt;=AG1,MAX(ROUNDDOWN(K22/AG1,0),ROUNDUP(K22/AF3,0)),IF(K22&gt;0,1,))*C22/50*0.5</f>
        <v>0</v>
      </c>
      <c r="AH22" s="122">
        <f>IF(O22&gt;=AF1,ROUNDDOWN(O22/AF1,0),IF(O22&gt;0,1,))*C22/50</f>
        <v>0</v>
      </c>
      <c r="AI22" s="122">
        <f>IF(P22&gt;=AG1,MAX(ROUNDDOWN(P22/AG1,0),ROUNDUP(P22/AF3,0)),IF(P22&gt;0,1,))*C22/50*0.5</f>
        <v>0</v>
      </c>
      <c r="AJ22" s="122">
        <f>IF(T22&gt;=AF1,ROUNDDOWN(T22/AF1,0),IF(T22&gt;0,1,))*C22/50</f>
        <v>0</v>
      </c>
      <c r="AK22" s="122">
        <f>IF(U22&gt;=AG1,MAX(ROUNDDOWN(U22/AG1,0),ROUNDUP(U22/AF3,0)),IF(U22&gt;0,1,))*C22/50*0.5</f>
        <v>0</v>
      </c>
      <c r="AL22" s="122">
        <f>IF(Y22&gt;=AF1,ROUNDDOWN(Y22/AF1,0),IF(Y22&gt;0,1,))*C22/50</f>
        <v>0</v>
      </c>
      <c r="AM22" s="122">
        <f>IF(Z22&gt;=AG1,MAX(ROUNDDOWN(Z22/AG1,0),ROUNDUP(Z22/AF3,0)),IF(Z22&gt;0,1,))*C22/50*0.5</f>
        <v>0</v>
      </c>
    </row>
    <row r="23" spans="1:39" ht="4.5" customHeight="1">
      <c r="A23" s="687">
        <f>IF(B22&lt;AE$12,B22,)</f>
        <v>0</v>
      </c>
      <c r="B23" s="688">
        <f>IF(A23&gt;0,A23+AD$12,)</f>
        <v>0</v>
      </c>
      <c r="C23" s="586">
        <f t="shared" si="0"/>
        <v>0</v>
      </c>
      <c r="D23" s="586">
        <f t="shared" si="1"/>
        <v>0</v>
      </c>
      <c r="E23" s="209"/>
      <c r="F23" s="210"/>
      <c r="G23" s="587">
        <f t="shared" si="2"/>
        <v>0</v>
      </c>
      <c r="H23" s="588">
        <f t="shared" si="2"/>
        <v>0</v>
      </c>
      <c r="I23" s="195"/>
      <c r="J23" s="211"/>
      <c r="K23" s="212"/>
      <c r="L23" s="587">
        <f t="shared" si="3"/>
        <v>0</v>
      </c>
      <c r="M23" s="588">
        <f t="shared" si="3"/>
        <v>0</v>
      </c>
      <c r="N23" s="198"/>
      <c r="O23" s="207"/>
      <c r="P23" s="208"/>
      <c r="Q23" s="587">
        <f t="shared" si="4"/>
        <v>0</v>
      </c>
      <c r="R23" s="588">
        <f t="shared" si="4"/>
        <v>0</v>
      </c>
      <c r="S23" s="198"/>
      <c r="T23" s="211"/>
      <c r="U23" s="212"/>
      <c r="V23" s="587">
        <f t="shared" si="5"/>
        <v>0</v>
      </c>
      <c r="W23" s="588">
        <f t="shared" si="5"/>
        <v>0</v>
      </c>
      <c r="X23" s="198"/>
      <c r="Y23" s="207"/>
      <c r="Z23" s="208"/>
      <c r="AA23" s="587">
        <f t="shared" si="6"/>
        <v>0</v>
      </c>
      <c r="AB23" s="588">
        <f t="shared" si="6"/>
        <v>0</v>
      </c>
      <c r="AD23" s="122">
        <f>IF(E23&gt;=AF1,ROUNDDOWN(E23/AF1,0),IF(E23&gt;0,1,))*C23/50</f>
        <v>0</v>
      </c>
      <c r="AE23" s="122">
        <f>IF(F23&gt;=AG1,MAX(ROUNDDOWN(F23/AG1,0),ROUNDUP(F23/AF3,0)),IF(F23&gt;0,1,))*C23/50*0.5</f>
        <v>0</v>
      </c>
      <c r="AF23" s="122">
        <f>IF(J23&gt;=AF1,ROUNDDOWN(J23/AF1,0),IF(J23&gt;0,1,))*C23/50</f>
        <v>0</v>
      </c>
      <c r="AG23" s="122">
        <f>IF(K23&gt;=AG1,MAX(ROUNDDOWN(K23/AG1,0),ROUNDUP(K23/AF3,0)),IF(K23&gt;0,1,))*C23/50*0.5</f>
        <v>0</v>
      </c>
      <c r="AH23" s="122">
        <f>IF(O23&gt;=AF1,ROUNDDOWN(O23/AF1,0),IF(O23&gt;0,1,))*C23/50</f>
        <v>0</v>
      </c>
      <c r="AI23" s="122">
        <f>IF(P23&gt;=AG1,MAX(ROUNDDOWN(P23/AG1,0),ROUNDUP(P23/AF3,0)),IF(P23&gt;0,1,))*C23/50*0.5</f>
        <v>0</v>
      </c>
      <c r="AJ23" s="122">
        <f>IF(T23&gt;=AF1,ROUNDDOWN(T23/AF1,0),IF(T23&gt;0,1,))*C23/50</f>
        <v>0</v>
      </c>
      <c r="AK23" s="122">
        <f>IF(U23&gt;=AG1,MAX(ROUNDDOWN(U23/AG1,0),ROUNDUP(U23/AF3,0)),IF(U23&gt;0,1,))*C23/50*0.5</f>
        <v>0</v>
      </c>
      <c r="AL23" s="122">
        <f>IF(Y23&gt;=AF1,ROUNDDOWN(Y23/AF1,0),IF(Y23&gt;0,1,))*C23/50</f>
        <v>0</v>
      </c>
      <c r="AM23" s="122">
        <f>IF(Z23&gt;=AG1,MAX(ROUNDDOWN(Z23/AG1,0),ROUNDUP(Z23/AF3,0)),IF(Z23&gt;0,1,))*C23/50*0.5</f>
        <v>0</v>
      </c>
    </row>
    <row r="24" spans="5:37" ht="23.25">
      <c r="E24" s="765">
        <f>SUM(E14:E23)</f>
        <v>0</v>
      </c>
      <c r="F24" s="765">
        <f>SUM(F14:F23)</f>
        <v>0</v>
      </c>
      <c r="G24" s="766">
        <f>SUM(G14:G23)</f>
        <v>0</v>
      </c>
      <c r="H24" s="766">
        <f>SUM(H14:H23)</f>
        <v>0</v>
      </c>
      <c r="I24" s="767"/>
      <c r="J24" s="765">
        <f>SUM(J14:J23)</f>
        <v>0</v>
      </c>
      <c r="K24" s="765">
        <f>SUM(K14:K23)</f>
        <v>0</v>
      </c>
      <c r="L24" s="766">
        <f>SUM(L14:L23)</f>
        <v>0</v>
      </c>
      <c r="M24" s="766">
        <f>SUM(M14:M23)</f>
        <v>0</v>
      </c>
      <c r="N24" s="768"/>
      <c r="O24" s="765">
        <f>SUM(O14:O23)</f>
        <v>0</v>
      </c>
      <c r="P24" s="765">
        <f>SUM(P14:P23)</f>
        <v>0</v>
      </c>
      <c r="Q24" s="766">
        <f>SUM(Q14:Q23)</f>
        <v>0</v>
      </c>
      <c r="R24" s="766">
        <f>SUM(R14:R23)</f>
        <v>0</v>
      </c>
      <c r="S24" s="768"/>
      <c r="T24" s="765">
        <f>SUM(T14:T23)</f>
        <v>0</v>
      </c>
      <c r="U24" s="765">
        <f>SUM(U14:U23)</f>
        <v>0</v>
      </c>
      <c r="V24" s="766">
        <f>SUM(V14:V23)</f>
        <v>0</v>
      </c>
      <c r="W24" s="766">
        <f>SUM(W14:W23)</f>
        <v>0</v>
      </c>
      <c r="X24" s="768"/>
      <c r="Y24" s="765">
        <f>SUM(Y14:Y23)</f>
        <v>0</v>
      </c>
      <c r="Z24" s="765">
        <f>SUM(Z14:Z23)</f>
        <v>0</v>
      </c>
      <c r="AA24" s="766">
        <f>SUM(AA14:AA23)</f>
        <v>0</v>
      </c>
      <c r="AB24" s="766">
        <f>SUM(AB14:AB23)</f>
        <v>0</v>
      </c>
      <c r="AC24" s="123"/>
      <c r="AD24" s="124">
        <f>E24+J24+O24+T24+Y24</f>
        <v>0</v>
      </c>
      <c r="AE24" s="124">
        <f>F24+K24+P24+U24+Z24</f>
        <v>0</v>
      </c>
      <c r="AF24" s="125">
        <f>G24+L24+Q24+V24+AA24</f>
        <v>0</v>
      </c>
      <c r="AG24" s="125">
        <f>H24+M24+R24+W24+AB24</f>
        <v>0</v>
      </c>
      <c r="AH24" s="125">
        <f>AF24+AG24</f>
        <v>0</v>
      </c>
      <c r="AI24" s="125">
        <f>ROUND(IF(AH24&gt;AH7,AH7,AH24),2)</f>
        <v>0</v>
      </c>
      <c r="AJ24" s="170">
        <f>IF(AF24&gt;AI24,AI24,AF24)</f>
        <v>0</v>
      </c>
      <c r="AK24" s="171">
        <f>AI24-AJ24</f>
        <v>0</v>
      </c>
    </row>
    <row r="25" spans="1:37" ht="2.25" customHeight="1">
      <c r="A25" s="98">
        <f>IF(AH24&gt;AI24,AH24,)</f>
        <v>0</v>
      </c>
      <c r="D25" s="769" t="s">
        <v>62</v>
      </c>
      <c r="F25" s="770">
        <f>E24+F24</f>
        <v>0</v>
      </c>
      <c r="G25" s="770">
        <f>AD28+AE28*2</f>
        <v>0</v>
      </c>
      <c r="H25" s="770"/>
      <c r="I25" s="771"/>
      <c r="J25" s="86"/>
      <c r="K25" s="770">
        <f>J24+K24</f>
        <v>0</v>
      </c>
      <c r="L25" s="770">
        <f>AF28+AG28*2</f>
        <v>0</v>
      </c>
      <c r="M25" s="86"/>
      <c r="N25" s="770"/>
      <c r="O25" s="86"/>
      <c r="P25" s="770">
        <f>O24+P24</f>
        <v>0</v>
      </c>
      <c r="Q25" s="770">
        <f>AH28+AI28*2</f>
        <v>0</v>
      </c>
      <c r="R25" s="86"/>
      <c r="S25" s="770"/>
      <c r="T25" s="86"/>
      <c r="U25" s="770">
        <f>T24+U24</f>
        <v>0</v>
      </c>
      <c r="V25" s="770">
        <f>AJ28+AK28*2</f>
        <v>0</v>
      </c>
      <c r="W25" s="86"/>
      <c r="X25" s="770"/>
      <c r="Y25" s="86"/>
      <c r="Z25" s="770">
        <f>Y24+Z24</f>
        <v>0</v>
      </c>
      <c r="AA25" s="770">
        <f>AL28+AM28*2</f>
        <v>0</v>
      </c>
      <c r="AB25" s="86"/>
      <c r="AE25" s="772">
        <f>F25+K25+P25+U25+Z25</f>
        <v>0</v>
      </c>
      <c r="AF25" s="772">
        <f>G25+L25+Q25+V25+AA25</f>
        <v>0</v>
      </c>
      <c r="AK25" s="570">
        <f>KontiN!J26</f>
        <v>0</v>
      </c>
    </row>
    <row r="26" spans="1:38" ht="34.5">
      <c r="A26" s="773"/>
      <c r="D26" s="727"/>
      <c r="J26" s="774">
        <f>IF(AE25&gt;0,"Zusammengezählt werden "&amp;AE25&amp;" Schüler in  "&amp;AF25&amp;" Gruppen geführt  ",)</f>
        <v>0</v>
      </c>
      <c r="K26" s="775">
        <f>IF(AE25&gt;0,"=  durchschnittlich "&amp;AE26&amp;" Kinder  über "&amp;AF26&amp;" Tage",)</f>
        <v>0</v>
      </c>
      <c r="L26" s="712"/>
      <c r="M26" s="712"/>
      <c r="Q26" s="864">
        <f>IF(AE25=0,,IF(AF26=5,"… in "&amp;AJ26-M29&amp;" Gruppen im Durchschnitt über 5 Tage","… in "&amp;AI26&amp;" Gruppen täglich  bzw "&amp;AJ26-M29&amp;" über 5 Tage"))</f>
        <v>0</v>
      </c>
      <c r="R26" s="864"/>
      <c r="S26" s="864"/>
      <c r="T26" s="864"/>
      <c r="U26" s="712">
        <f>IF(AND(Q26&gt;0,AF26&lt;&gt;5),"   ( = im Durchschnitt )",)</f>
        <v>0</v>
      </c>
      <c r="AB26" s="729">
        <f>IF(A27&gt;0,"bei max. "&amp;AC26&amp;" LZGrup",)</f>
        <v>0</v>
      </c>
      <c r="AC26" s="713">
        <f>MAX(MAX(AD29:AD38,AF29:AF38,AH29:AH38,AJ29:AJ38,AL29:AL38),MAX(AE29:AE38,AG29:AG38,AI29:AI38,AK29:AK38,AM29:AM38)*2)</f>
        <v>0</v>
      </c>
      <c r="AE26" s="90">
        <f>IF(AE25&gt;0,ROUND(AE25/AF25,1),)</f>
        <v>0</v>
      </c>
      <c r="AF26" s="90">
        <f>SUM(AD27:AM27)</f>
        <v>0</v>
      </c>
      <c r="AH26" s="569">
        <f>SUM(AD39:AM39)</f>
        <v>0</v>
      </c>
      <c r="AI26" s="569">
        <f>IF(AH26&gt;0,ROUND(AF25/AH26,1),)</f>
        <v>0</v>
      </c>
      <c r="AJ26" s="569">
        <f>IF(AH26&gt;0,ROUND(AF25/AH26*AF26/5,2),)+M29</f>
        <v>0</v>
      </c>
      <c r="AK26" s="570">
        <f>INT(AJ26/2)</f>
        <v>0</v>
      </c>
      <c r="AL26" s="571">
        <f>ROUNDUP(AJ26/2,0)</f>
        <v>0</v>
      </c>
    </row>
    <row r="27" spans="1:39" ht="20.25">
      <c r="A27" s="869">
        <f>AI24</f>
        <v>0</v>
      </c>
      <c r="B27" s="869"/>
      <c r="D27" s="728">
        <f>IF(AND(AE25&gt;0,AG24&gt;0),"  (umgerechnete) Wochenstden sind somit tatsächlich über die Lehrerbesoldung bei pr3 verrechenbar.",IF(AE25&gt;0,"  Wochenstunden sind somit tatsächlich über die Lehrerbesoldung bei pr3 verrechenbar.",))</f>
        <v>0</v>
      </c>
      <c r="E27" s="3"/>
      <c r="Z27" s="129">
        <f ca="1">TODAY()</f>
        <v>43957</v>
      </c>
      <c r="AA27" s="130"/>
      <c r="AB27" s="130"/>
      <c r="AE27" s="572">
        <f>IF((AD28+AE28)&gt;0,1,)</f>
        <v>0</v>
      </c>
      <c r="AF27" s="573"/>
      <c r="AG27" s="572">
        <f>IF((AF28+AG28)&gt;0,1,)</f>
        <v>0</v>
      </c>
      <c r="AH27" s="573"/>
      <c r="AI27" s="572">
        <f>IF((AH28+AI28)&gt;0,1,)</f>
        <v>0</v>
      </c>
      <c r="AJ27" s="573"/>
      <c r="AK27" s="572">
        <f>IF((AJ28+AK28)&gt;0,1,)</f>
        <v>0</v>
      </c>
      <c r="AL27" s="573"/>
      <c r="AM27" s="572">
        <f>IF((AL28+AM28)&gt;0,1,)</f>
        <v>0</v>
      </c>
    </row>
    <row r="28" spans="4:39" ht="18">
      <c r="D28" s="4"/>
      <c r="K28" s="730">
        <f>IF(AH24&gt;0,"davon "&amp;AG24&amp;" ILZ",)</f>
        <v>0</v>
      </c>
      <c r="L28" s="780">
        <f>IF(AND(AG24=0,K28&lt;&gt;0),"&gt;&gt;&gt; dazu braucht es eine aktuelle Befragung u. Entscheidung!",)</f>
        <v>0</v>
      </c>
      <c r="Z28" s="131" t="s">
        <v>16</v>
      </c>
      <c r="AA28" s="131"/>
      <c r="AB28" s="132"/>
      <c r="AD28" s="133">
        <f aca="true" t="shared" si="9" ref="AD28:AM28">SUM(AD29:AD38)</f>
        <v>0</v>
      </c>
      <c r="AE28" s="133">
        <f t="shared" si="9"/>
        <v>0</v>
      </c>
      <c r="AF28" s="133">
        <f t="shared" si="9"/>
        <v>0</v>
      </c>
      <c r="AG28" s="133">
        <f t="shared" si="9"/>
        <v>0</v>
      </c>
      <c r="AH28" s="133">
        <f t="shared" si="9"/>
        <v>0</v>
      </c>
      <c r="AI28" s="133">
        <f t="shared" si="9"/>
        <v>0</v>
      </c>
      <c r="AJ28" s="133">
        <f t="shared" si="9"/>
        <v>0</v>
      </c>
      <c r="AK28" s="133">
        <f t="shared" si="9"/>
        <v>0</v>
      </c>
      <c r="AL28" s="133">
        <f t="shared" si="9"/>
        <v>0</v>
      </c>
      <c r="AM28" s="133">
        <f t="shared" si="9"/>
        <v>0</v>
      </c>
    </row>
    <row r="29" spans="1:41" ht="15.75">
      <c r="A29" s="726" t="s">
        <v>355</v>
      </c>
      <c r="G29" s="731">
        <f>IF(L29&lt;&gt;"","Mit ","")</f>
      </c>
      <c r="H29" s="732">
        <f>Klassen!AK18</f>
        <v>0</v>
      </c>
      <c r="I29" s="733">
        <f>IF(L29&lt;&gt;"","SchülerInnen","")</f>
      </c>
      <c r="L29" s="99">
        <f>IF(Klassen!$BP22&gt;0,"in","")</f>
      </c>
      <c r="M29" s="734">
        <f>Klassen!AL18</f>
        <v>0</v>
      </c>
      <c r="N29" s="98">
        <f>IF(L29&lt;&gt;"","Klassen","")</f>
      </c>
      <c r="O29" s="98"/>
      <c r="P29" s="870">
        <f>ROUND(SUM(G32:AB32,G36:AB36),2)</f>
        <v>0</v>
      </c>
      <c r="Q29" s="870"/>
      <c r="R29" s="98">
        <f>IF(SUM(G32:AB32)&gt;0," WoStden an Lernzeiten und Freizeit","")</f>
      </c>
      <c r="AD29" s="133">
        <f>IF(E14&gt;0,ROUND(G14*50/$C14,1),)</f>
        <v>0</v>
      </c>
      <c r="AE29" s="133">
        <f>IF(F14&gt;0,ROUND(H14*50/$C14,1),)</f>
        <v>0</v>
      </c>
      <c r="AF29" s="133">
        <f>IF(J14&gt;0,ROUND(L14*50/$C14,1),)</f>
        <v>0</v>
      </c>
      <c r="AG29" s="133">
        <f>IF(K14&gt;0,ROUND(M14*50/$C14,1),)</f>
        <v>0</v>
      </c>
      <c r="AH29" s="133">
        <f>IF(O14&gt;0,ROUND(Q14*50/$C14,1),)</f>
        <v>0</v>
      </c>
      <c r="AI29" s="133">
        <f>IF(P14&gt;0,ROUND(R14*50/$C14,1),)</f>
        <v>0</v>
      </c>
      <c r="AJ29" s="133">
        <f>IF(T14&gt;0,ROUND(V14*50/$C14,1),)</f>
        <v>0</v>
      </c>
      <c r="AK29" s="133">
        <f>IF(U14&gt;0,ROUND(W14*50/$C14,1),)</f>
        <v>0</v>
      </c>
      <c r="AL29" s="133">
        <f>IF(Y14&gt;0,ROUND(AA14*50/$C14,1),)</f>
        <v>0</v>
      </c>
      <c r="AM29" s="133">
        <f>IF(Z14&gt;0,ROUND(AB14*50/$C14,1),)</f>
        <v>0</v>
      </c>
      <c r="AN29" s="133"/>
      <c r="AO29" s="133"/>
    </row>
    <row r="30" spans="7:41" ht="12.75">
      <c r="G30" s="735" t="s">
        <v>57</v>
      </c>
      <c r="H30" s="736"/>
      <c r="L30" s="735">
        <f>IF(J32&gt;0,"WoStunden","")</f>
      </c>
      <c r="M30" s="736"/>
      <c r="Q30" s="735">
        <f>IF(O32&gt;0,"WoStunden","")</f>
      </c>
      <c r="R30" s="736"/>
      <c r="V30" s="735">
        <f>IF(T32&gt;0,"WoStunden","")</f>
      </c>
      <c r="W30" s="736"/>
      <c r="AA30" s="735">
        <f>IF(Y32&gt;0,"WoStunden","")</f>
      </c>
      <c r="AB30" s="736"/>
      <c r="AD30" s="133">
        <f>IF(E15&gt;0,ROUND(G15*50/$C15,1),)</f>
        <v>0</v>
      </c>
      <c r="AE30" s="133">
        <f>IF(F15&gt;0,ROUND(H15*50/$C15,1),)</f>
        <v>0</v>
      </c>
      <c r="AF30" s="133">
        <f>IF(J15&gt;0,ROUND(L15*50/$C15,1),)</f>
        <v>0</v>
      </c>
      <c r="AG30" s="133">
        <f>IF(K15&gt;0,ROUND(M15*50/$C15,1),)</f>
        <v>0</v>
      </c>
      <c r="AH30" s="133">
        <f>IF(O15&gt;0,ROUND(Q15*50/$C15,1),)</f>
        <v>0</v>
      </c>
      <c r="AI30" s="133">
        <f>IF(P15&gt;0,ROUND(R15*50/$C15,1),)</f>
        <v>0</v>
      </c>
      <c r="AJ30" s="133">
        <f>IF(T15&gt;0,ROUND(V15*50/$C15,1),)</f>
        <v>0</v>
      </c>
      <c r="AK30" s="133">
        <f>IF(U15&gt;0,ROUND(W15*50/$C15,1),)</f>
        <v>0</v>
      </c>
      <c r="AL30" s="133">
        <f>IF(Y15&gt;0,ROUND(AA15*50/$C15,1),)</f>
        <v>0</v>
      </c>
      <c r="AM30" s="133">
        <f>IF(Z15&gt;0,ROUND(AB15*50/$C15,1),)</f>
        <v>0</v>
      </c>
      <c r="AN30" s="133"/>
      <c r="AO30" s="133"/>
    </row>
    <row r="31" spans="4:41" ht="14.25">
      <c r="D31" s="99">
        <f>IF(L29&lt;&gt;"","Lernzeiten u. Freizeit: ","")</f>
      </c>
      <c r="E31" s="737">
        <f>IF(E32&gt;0,"in Klasse ..","")</f>
      </c>
      <c r="F31" s="738"/>
      <c r="G31" s="739" t="s">
        <v>343</v>
      </c>
      <c r="H31" s="121" t="s">
        <v>344</v>
      </c>
      <c r="I31" s="98"/>
      <c r="J31" s="737">
        <f>IF(J32&gt;0,"in Klasse ..","")</f>
      </c>
      <c r="K31" s="738"/>
      <c r="L31" s="739" t="s">
        <v>343</v>
      </c>
      <c r="M31" s="121" t="s">
        <v>344</v>
      </c>
      <c r="N31" s="98"/>
      <c r="O31" s="737">
        <f>IF(O32&gt;0,"in Klasse ..","")</f>
      </c>
      <c r="P31" s="738"/>
      <c r="Q31" s="739" t="s">
        <v>343</v>
      </c>
      <c r="R31" s="121" t="s">
        <v>344</v>
      </c>
      <c r="S31" s="98"/>
      <c r="T31" s="737">
        <f>IF(T32&gt;0,"in Klasse ..","")</f>
      </c>
      <c r="U31" s="738"/>
      <c r="V31" s="739">
        <f>IF(T32&gt;0,"LZ","")</f>
      </c>
      <c r="W31" s="121">
        <f>IF(T32&gt;0,"FrZ","")</f>
      </c>
      <c r="X31" s="98"/>
      <c r="Y31" s="737">
        <f>IF(Y32&gt;0,"in Klasse ..","")</f>
      </c>
      <c r="Z31" s="738"/>
      <c r="AA31" s="739">
        <f>IF(Y32&gt;0,"LZ","")</f>
      </c>
      <c r="AB31" s="121">
        <f>IF(Y32&gt;0,"FrZ","")</f>
      </c>
      <c r="AC31" s="740">
        <f>SUM(H32,M32,R32,W32,AB32,H36,M36,R36,W36,AB36)</f>
        <v>0</v>
      </c>
      <c r="AD31" s="133">
        <f aca="true" t="shared" si="10" ref="AD31:AE38">IF(E16&gt;0,ROUND(G16*50/$C16,1),)</f>
        <v>0</v>
      </c>
      <c r="AE31" s="133">
        <f t="shared" si="10"/>
        <v>0</v>
      </c>
      <c r="AF31" s="133">
        <f aca="true" t="shared" si="11" ref="AF31:AG38">IF(J16&gt;0,ROUND(L16*50/$C16,1),)</f>
        <v>0</v>
      </c>
      <c r="AG31" s="133">
        <f t="shared" si="11"/>
        <v>0</v>
      </c>
      <c r="AH31" s="133">
        <f aca="true" t="shared" si="12" ref="AH31:AI38">IF(O16&gt;0,ROUND(Q16*50/$C16,1),)</f>
        <v>0</v>
      </c>
      <c r="AI31" s="133">
        <f t="shared" si="12"/>
        <v>0</v>
      </c>
      <c r="AJ31" s="133">
        <f aca="true" t="shared" si="13" ref="AJ31:AK38">IF(T16&gt;0,ROUND(V16*50/$C16,1),)</f>
        <v>0</v>
      </c>
      <c r="AK31" s="133">
        <f t="shared" si="13"/>
        <v>0</v>
      </c>
      <c r="AL31" s="133">
        <f aca="true" t="shared" si="14" ref="AL31:AM38">IF(Y16&gt;0,ROUND(AA16*50/$C16,1),)</f>
        <v>0</v>
      </c>
      <c r="AM31" s="133">
        <f t="shared" si="14"/>
        <v>0</v>
      </c>
      <c r="AN31" s="133"/>
      <c r="AO31" s="133"/>
    </row>
    <row r="32" spans="5:41" ht="15">
      <c r="E32" s="741">
        <f>IF(Klassen!$BP22&gt;0,Klassen!$BP22&amp;" Schü. in "&amp;Klassen!$BR22,)</f>
        <v>0</v>
      </c>
      <c r="F32" s="742"/>
      <c r="G32" s="743"/>
      <c r="H32" s="744"/>
      <c r="J32" s="741">
        <f>IF(Klassen!$BP23&gt;0,Klassen!$BP23&amp;" Schü. in "&amp;Klassen!$BR23,)</f>
        <v>0</v>
      </c>
      <c r="K32" s="742"/>
      <c r="L32" s="743"/>
      <c r="M32" s="744"/>
      <c r="O32" s="741">
        <f>IF(Klassen!$BP24&gt;0,Klassen!$BP24&amp;" Schü. in "&amp;Klassen!$BR24,)</f>
        <v>0</v>
      </c>
      <c r="P32" s="742"/>
      <c r="Q32" s="743"/>
      <c r="R32" s="744"/>
      <c r="T32" s="741">
        <f>IF(Klassen!$BP25&gt;0,Klassen!$BP25&amp;" Schü. in "&amp;Klassen!$BR25,)</f>
        <v>0</v>
      </c>
      <c r="U32" s="742"/>
      <c r="V32" s="745"/>
      <c r="W32" s="776"/>
      <c r="Y32" s="741">
        <f>IF(Klassen!$BP26&gt;0,Klassen!$BP26&amp;" Schü. in "&amp;Klassen!$BR26,)</f>
        <v>0</v>
      </c>
      <c r="Z32" s="742"/>
      <c r="AA32" s="745"/>
      <c r="AB32" s="776"/>
      <c r="AD32" s="133">
        <f t="shared" si="10"/>
        <v>0</v>
      </c>
      <c r="AE32" s="133">
        <f t="shared" si="10"/>
        <v>0</v>
      </c>
      <c r="AF32" s="133">
        <f t="shared" si="11"/>
        <v>0</v>
      </c>
      <c r="AG32" s="133">
        <f t="shared" si="11"/>
        <v>0</v>
      </c>
      <c r="AH32" s="133">
        <f t="shared" si="12"/>
        <v>0</v>
      </c>
      <c r="AI32" s="133">
        <f t="shared" si="12"/>
        <v>0</v>
      </c>
      <c r="AJ32" s="133">
        <f t="shared" si="13"/>
        <v>0</v>
      </c>
      <c r="AK32" s="133">
        <f t="shared" si="13"/>
        <v>0</v>
      </c>
      <c r="AL32" s="133">
        <f t="shared" si="14"/>
        <v>0</v>
      </c>
      <c r="AM32" s="133">
        <f t="shared" si="14"/>
        <v>0</v>
      </c>
      <c r="AN32" s="133"/>
      <c r="AO32" s="133"/>
    </row>
    <row r="33" spans="30:41" ht="14.25" hidden="1">
      <c r="AD33" s="133">
        <f t="shared" si="10"/>
        <v>0</v>
      </c>
      <c r="AE33" s="133">
        <f t="shared" si="10"/>
        <v>0</v>
      </c>
      <c r="AF33" s="133">
        <f t="shared" si="11"/>
        <v>0</v>
      </c>
      <c r="AG33" s="133">
        <f t="shared" si="11"/>
        <v>0</v>
      </c>
      <c r="AH33" s="133">
        <f t="shared" si="12"/>
        <v>0</v>
      </c>
      <c r="AI33" s="133">
        <f t="shared" si="12"/>
        <v>0</v>
      </c>
      <c r="AJ33" s="133">
        <f t="shared" si="13"/>
        <v>0</v>
      </c>
      <c r="AK33" s="133">
        <f t="shared" si="13"/>
        <v>0</v>
      </c>
      <c r="AL33" s="133">
        <f t="shared" si="14"/>
        <v>0</v>
      </c>
      <c r="AM33" s="133">
        <f t="shared" si="14"/>
        <v>0</v>
      </c>
      <c r="AN33" s="122"/>
      <c r="AO33" s="122"/>
    </row>
    <row r="34" spans="7:41" ht="14.25" hidden="1">
      <c r="G34" s="735">
        <f>IF(E36&gt;0,"WoStunden","")</f>
      </c>
      <c r="H34" s="736"/>
      <c r="L34" s="735">
        <f>IF(J36&gt;0,"WoStunden","")</f>
      </c>
      <c r="M34" s="736"/>
      <c r="Q34" s="735">
        <f>IF(O36&gt;0,"WoStunden","")</f>
      </c>
      <c r="R34" s="736"/>
      <c r="V34" s="735">
        <f>IF(T36&gt;0,"WoStunden","")</f>
      </c>
      <c r="W34" s="736"/>
      <c r="AA34" s="735">
        <f>IF(Y36&gt;0,"WoStunden","")</f>
      </c>
      <c r="AB34" s="736"/>
      <c r="AD34" s="133">
        <f t="shared" si="10"/>
        <v>0</v>
      </c>
      <c r="AE34" s="133">
        <f t="shared" si="10"/>
        <v>0</v>
      </c>
      <c r="AF34" s="133">
        <f t="shared" si="11"/>
        <v>0</v>
      </c>
      <c r="AG34" s="133">
        <f t="shared" si="11"/>
        <v>0</v>
      </c>
      <c r="AH34" s="133">
        <f t="shared" si="12"/>
        <v>0</v>
      </c>
      <c r="AI34" s="133">
        <f t="shared" si="12"/>
        <v>0</v>
      </c>
      <c r="AJ34" s="133">
        <f t="shared" si="13"/>
        <v>0</v>
      </c>
      <c r="AK34" s="133">
        <f t="shared" si="13"/>
        <v>0</v>
      </c>
      <c r="AL34" s="133">
        <f t="shared" si="14"/>
        <v>0</v>
      </c>
      <c r="AM34" s="133">
        <f t="shared" si="14"/>
        <v>0</v>
      </c>
      <c r="AN34" s="122"/>
      <c r="AO34" s="122"/>
    </row>
    <row r="35" spans="4:39" ht="14.25" hidden="1">
      <c r="D35" s="99" t="s">
        <v>342</v>
      </c>
      <c r="E35" s="737">
        <f>IF(E36&gt;0,"in Klasse ..","")</f>
      </c>
      <c r="F35" s="738"/>
      <c r="G35" s="739" t="s">
        <v>343</v>
      </c>
      <c r="H35" s="121" t="s">
        <v>344</v>
      </c>
      <c r="I35" s="98"/>
      <c r="J35" s="737">
        <f>IF(J36&gt;0,"in Klasse ..","")</f>
      </c>
      <c r="K35" s="738"/>
      <c r="L35" s="739">
        <f>IF(J36&gt;0,"LZ","")</f>
      </c>
      <c r="M35" s="121">
        <f>IF(J36&gt;0,"FrZ","")</f>
      </c>
      <c r="N35" s="98"/>
      <c r="O35" s="737">
        <f>IF(O36&gt;0,"in Klasse ..","")</f>
      </c>
      <c r="P35" s="738"/>
      <c r="Q35" s="739">
        <f>IF(O36&gt;0,"LZ","")</f>
      </c>
      <c r="R35" s="121">
        <f>IF(O36&gt;0,"FrZ","")</f>
      </c>
      <c r="S35" s="98"/>
      <c r="T35" s="737">
        <f>IF(T36&gt;0,"in Klasse ..","")</f>
      </c>
      <c r="U35" s="738"/>
      <c r="V35" s="739">
        <f>IF(T36&gt;0,"LZ","")</f>
      </c>
      <c r="W35" s="121">
        <f>IF(T36&gt;0,"FrZ","")</f>
      </c>
      <c r="X35" s="98"/>
      <c r="Y35" s="737">
        <f>IF(Y36&gt;0,"in Klasse ..","")</f>
      </c>
      <c r="Z35" s="738"/>
      <c r="AA35" s="739">
        <f>IF(Y36&gt;0,"LZ","")</f>
      </c>
      <c r="AB35" s="121">
        <f>IF(Y36&gt;0,"FrZ","")</f>
      </c>
      <c r="AC35" s="98"/>
      <c r="AD35" s="133">
        <f t="shared" si="10"/>
        <v>0</v>
      </c>
      <c r="AE35" s="133">
        <f t="shared" si="10"/>
        <v>0</v>
      </c>
      <c r="AF35" s="133">
        <f t="shared" si="11"/>
        <v>0</v>
      </c>
      <c r="AG35" s="133">
        <f t="shared" si="11"/>
        <v>0</v>
      </c>
      <c r="AH35" s="133">
        <f t="shared" si="12"/>
        <v>0</v>
      </c>
      <c r="AI35" s="133">
        <f t="shared" si="12"/>
        <v>0</v>
      </c>
      <c r="AJ35" s="133">
        <f t="shared" si="13"/>
        <v>0</v>
      </c>
      <c r="AK35" s="133">
        <f t="shared" si="13"/>
        <v>0</v>
      </c>
      <c r="AL35" s="133">
        <f t="shared" si="14"/>
        <v>0</v>
      </c>
      <c r="AM35" s="133">
        <f t="shared" si="14"/>
        <v>0</v>
      </c>
    </row>
    <row r="36" spans="5:39" ht="15" hidden="1">
      <c r="E36" s="741">
        <f>IF(Klassen!$BP27&gt;0,Klassen!$BP27&amp;" Schü. in "&amp;Klassen!$BR27,)</f>
        <v>0</v>
      </c>
      <c r="F36" s="742"/>
      <c r="G36" s="745"/>
      <c r="H36" s="776"/>
      <c r="J36" s="741">
        <f>IF(Klassen!$BP28&gt;0,Klassen!$BP28&amp;" Schü. in "&amp;Klassen!$BR28,)</f>
        <v>0</v>
      </c>
      <c r="K36" s="742"/>
      <c r="L36" s="745"/>
      <c r="M36" s="776"/>
      <c r="O36" s="741">
        <f>IF(Klassen!$BP29&gt;0,Klassen!$BP29&amp;" Schü. in "&amp;Klassen!$BR29,)</f>
        <v>0</v>
      </c>
      <c r="P36" s="742"/>
      <c r="Q36" s="745"/>
      <c r="R36" s="776"/>
      <c r="T36" s="741">
        <f>IF(Klassen!$BP30&gt;0,Klassen!$BP30&amp;" Schü. in "&amp;Klassen!$BR30,)</f>
        <v>0</v>
      </c>
      <c r="U36" s="742"/>
      <c r="V36" s="745"/>
      <c r="W36" s="776"/>
      <c r="Y36" s="741">
        <f>IF(Klassen!$BP31&gt;0,Klassen!$BP31&amp;" Schü. in "&amp;Klassen!$BR31,)</f>
        <v>0</v>
      </c>
      <c r="Z36" s="742"/>
      <c r="AA36" s="745"/>
      <c r="AB36" s="776"/>
      <c r="AD36" s="133">
        <f t="shared" si="10"/>
        <v>0</v>
      </c>
      <c r="AE36" s="133">
        <f t="shared" si="10"/>
        <v>0</v>
      </c>
      <c r="AF36" s="133">
        <f t="shared" si="11"/>
        <v>0</v>
      </c>
      <c r="AG36" s="133">
        <f t="shared" si="11"/>
        <v>0</v>
      </c>
      <c r="AH36" s="133">
        <f t="shared" si="12"/>
        <v>0</v>
      </c>
      <c r="AI36" s="133">
        <f t="shared" si="12"/>
        <v>0</v>
      </c>
      <c r="AJ36" s="133">
        <f t="shared" si="13"/>
        <v>0</v>
      </c>
      <c r="AK36" s="133">
        <f t="shared" si="13"/>
        <v>0</v>
      </c>
      <c r="AL36" s="133">
        <f t="shared" si="14"/>
        <v>0</v>
      </c>
      <c r="AM36" s="133">
        <f t="shared" si="14"/>
        <v>0</v>
      </c>
    </row>
    <row r="37" spans="30:39" ht="14.25">
      <c r="AD37" s="133">
        <f t="shared" si="10"/>
        <v>0</v>
      </c>
      <c r="AE37" s="133">
        <f t="shared" si="10"/>
        <v>0</v>
      </c>
      <c r="AF37" s="133">
        <f t="shared" si="11"/>
        <v>0</v>
      </c>
      <c r="AG37" s="133">
        <f t="shared" si="11"/>
        <v>0</v>
      </c>
      <c r="AH37" s="133">
        <f t="shared" si="12"/>
        <v>0</v>
      </c>
      <c r="AI37" s="133">
        <f t="shared" si="12"/>
        <v>0</v>
      </c>
      <c r="AJ37" s="133">
        <f t="shared" si="13"/>
        <v>0</v>
      </c>
      <c r="AK37" s="133">
        <f t="shared" si="13"/>
        <v>0</v>
      </c>
      <c r="AL37" s="133">
        <f t="shared" si="14"/>
        <v>0</v>
      </c>
      <c r="AM37" s="133">
        <f t="shared" si="14"/>
        <v>0</v>
      </c>
    </row>
    <row r="38" spans="1:39" ht="20.25">
      <c r="A38" s="865">
        <f>P29</f>
        <v>0</v>
      </c>
      <c r="B38" s="865"/>
      <c r="C38"/>
      <c r="D38" s="746">
        <f>IF(M29&gt;0,"  für verschränkte Form",)</f>
        <v>0</v>
      </c>
      <c r="E38" s="3"/>
      <c r="I38" s="747">
        <f>IF(A38&gt;0,".. sofern als gesonderter Zuschlag von der BilDi genehmigt.",)</f>
        <v>0</v>
      </c>
      <c r="J38"/>
      <c r="K38"/>
      <c r="L38"/>
      <c r="M38"/>
      <c r="N38"/>
      <c r="O38"/>
      <c r="P38"/>
      <c r="Q38"/>
      <c r="R38"/>
      <c r="S38"/>
      <c r="T38"/>
      <c r="U38"/>
      <c r="W38" s="134">
        <f>IF(AE25&gt;0,"Beim Leiter:",)</f>
        <v>0</v>
      </c>
      <c r="X38" s="135">
        <f>IF(AE25&gt;0,"+ "&amp;AL26&amp;" Kl. bei LeiterZulage",)</f>
        <v>0</v>
      </c>
      <c r="Y38"/>
      <c r="Z38"/>
      <c r="AA38"/>
      <c r="AB38"/>
      <c r="AC38" s="136"/>
      <c r="AD38" s="133">
        <f t="shared" si="10"/>
        <v>0</v>
      </c>
      <c r="AE38" s="133">
        <f t="shared" si="10"/>
        <v>0</v>
      </c>
      <c r="AF38" s="133">
        <f t="shared" si="11"/>
        <v>0</v>
      </c>
      <c r="AG38" s="133">
        <f t="shared" si="11"/>
        <v>0</v>
      </c>
      <c r="AH38" s="133">
        <f t="shared" si="12"/>
        <v>0</v>
      </c>
      <c r="AI38" s="133">
        <f t="shared" si="12"/>
        <v>0</v>
      </c>
      <c r="AJ38" s="133">
        <f t="shared" si="13"/>
        <v>0</v>
      </c>
      <c r="AK38" s="133">
        <f t="shared" si="13"/>
        <v>0</v>
      </c>
      <c r="AL38" s="133">
        <f t="shared" si="14"/>
        <v>0</v>
      </c>
      <c r="AM38" s="133">
        <f t="shared" si="14"/>
        <v>0</v>
      </c>
    </row>
    <row r="39" spans="1:39" ht="14.25">
      <c r="A39" s="781" t="s">
        <v>46</v>
      </c>
      <c r="B39" s="782"/>
      <c r="C39">
        <f>IF(A38&lt;999,A38,)</f>
        <v>0</v>
      </c>
      <c r="D39" s="748">
        <f>A27+C39</f>
        <v>0</v>
      </c>
      <c r="E39" s="749">
        <f>IF(A38&gt;0," = zusammen",)</f>
        <v>0</v>
      </c>
      <c r="F39"/>
      <c r="G39"/>
      <c r="I39"/>
      <c r="K39" s="750">
        <f>IF(P29&gt;0,"davon "&amp;AC31&amp;" FrZ",)</f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37">
        <f>IF(X38&gt;0,"[ "&amp;AJ26&amp;" Gruppen /2 ..aufgerundet ]",)</f>
        <v>0</v>
      </c>
      <c r="AC39"/>
      <c r="AD39"/>
      <c r="AE39" s="572">
        <f>IF((E14+F14)&gt;0,1,)+IF((E15+F15)&gt;0,1,)+IF((E16+F16)&gt;0,1,)+IF((E17+F17)&gt;0,1,)+IF((E18+F18)&gt;0,1,)+IF((E19+F19)&gt;0,1,)+IF((E20+F20)&gt;0,1,)+IF((E21+F21)&gt;0,1,)+IF((E22+F22)&gt;0,1,)+IF((E23+F23)&gt;0,1,)</f>
        <v>0</v>
      </c>
      <c r="AF39"/>
      <c r="AG39" s="572">
        <f>IF((J14+K14)&gt;0,1,)+IF((J15+K15)&gt;0,1,)+IF((J16+K16)&gt;0,1,)+IF((J17+K17)&gt;0,1,)+IF((J18+K18)&gt;0,1,)+IF((J19+K19)&gt;0,1,)+IF((J20+K20)&gt;0,1,)+IF((J21+K21)&gt;0,1,)+IF((J22+K22)&gt;0,1,)+IF((J23+K23)&gt;0,1,)</f>
        <v>0</v>
      </c>
      <c r="AH39"/>
      <c r="AI39" s="572">
        <f>IF((O14+P14)&gt;0,1,)+IF((O15+P15)&gt;0,1,)+IF((O16+P16)&gt;0,1,)+IF((O17+P17)&gt;0,1,)+IF((O18+P18)&gt;0,1,)+IF((O19+P19)&gt;0,1,)+IF((O20+P20)&gt;0,1,)+IF((O21+P21)&gt;0,1,)+IF((O22+P22)&gt;0,1,)+IF((O23+P23)&gt;0,1,)</f>
        <v>0</v>
      </c>
      <c r="AJ39"/>
      <c r="AK39" s="572">
        <f>IF((T14+U14)&gt;0,1,)+IF((T15+U15)&gt;0,1,)+IF((T16+U16)&gt;0,1,)+IF((T17+U17)&gt;0,1,)+IF((T18+U18)&gt;0,1,)+IF((T19+U19)&gt;0,1,)+IF((T20+U20)&gt;0,1,)+IF((T21+U21)&gt;0,1,)+IF((T22+U22)&gt;0,1,)+IF((T23+U23)&gt;0,1,)</f>
        <v>0</v>
      </c>
      <c r="AL39"/>
      <c r="AM39" s="572">
        <f>IF((Y14+Z14)&gt;0,1,)+IF((Y15+Z15)&gt;0,1,)+IF((Y16+Z16)&gt;0,1,)+IF((Y17+Z17)&gt;0,1,)+IF((Y18+Z18)&gt;0,1,)+IF((Y19+Z19)&gt;0,1,)+IF((Y20+Z20)&gt;0,1,)+IF((Y21+Z21)&gt;0,1,)+IF((Y22+Z22)&gt;0,1,)+IF((Y23+Z23)&gt;0,1,)</f>
        <v>0</v>
      </c>
    </row>
    <row r="40" spans="1:29" ht="14.25" customHeight="1">
      <c r="A40" s="866"/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135">
        <f>IF(AND(AK26&gt;0,(AK26+AK25)&gt;7,AK25&lt;12),"SupplierV reduziert um "&amp;AK26*1.5&amp;" WoStd",IF(AND((AK26+AK25)&lt;=7,AJ26&gt;=1),"Einrechnung von "&amp;ROUNDDOWN(AJ26,0)*0.75&amp;" WoStd",))</f>
        <v>0</v>
      </c>
      <c r="X40"/>
      <c r="Y40"/>
      <c r="Z40"/>
      <c r="AA40"/>
      <c r="AB40"/>
      <c r="AC40" s="138"/>
    </row>
    <row r="41" spans="1:29" ht="14.25" customHeight="1">
      <c r="A41" s="866"/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/>
      <c r="X41"/>
      <c r="Y41"/>
      <c r="Z41"/>
      <c r="AA41"/>
      <c r="AB41" s="137">
        <f>IF(LEFT(W40,4)="Einr","[ "&amp;AJ26&amp;" Gruppen …abgerundet * 0,75 ]",IF(LEFT(W40,4)="Supp","[ mind. "&amp;AK26*2&amp;" Gruppen * 0,75 ]",))</f>
        <v>0</v>
      </c>
      <c r="AC41"/>
    </row>
    <row r="42" spans="1:22" ht="14.25" customHeight="1">
      <c r="A42" s="866"/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6"/>
      <c r="V42" s="866"/>
    </row>
    <row r="43" spans="1:22" ht="14.25" customHeight="1">
      <c r="A43" s="866"/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</row>
    <row r="44" spans="1:28" ht="14.25" customHeight="1">
      <c r="A44" s="866"/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189"/>
      <c r="X44" s="189"/>
      <c r="Y44" s="189"/>
      <c r="Z44" s="190"/>
      <c r="AA44" s="191" t="s">
        <v>178</v>
      </c>
      <c r="AB44" s="189"/>
    </row>
    <row r="45" ht="14.25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CF48" sheet="1" formatRows="0"/>
  <mergeCells count="7">
    <mergeCell ref="A11:B12"/>
    <mergeCell ref="Q26:T26"/>
    <mergeCell ref="A38:B38"/>
    <mergeCell ref="A40:V44"/>
    <mergeCell ref="I5:J5"/>
    <mergeCell ref="A27:B27"/>
    <mergeCell ref="P29:Q29"/>
  </mergeCells>
  <conditionalFormatting sqref="A14">
    <cfRule type="cellIs" priority="99" dxfId="111" operator="greaterThan" stopIfTrue="1">
      <formula>0</formula>
    </cfRule>
  </conditionalFormatting>
  <conditionalFormatting sqref="L15">
    <cfRule type="cellIs" priority="82" dxfId="150" operator="greaterThan" stopIfTrue="1">
      <formula>AF15</formula>
    </cfRule>
  </conditionalFormatting>
  <conditionalFormatting sqref="R15">
    <cfRule type="cellIs" priority="93" dxfId="150" operator="greaterThan" stopIfTrue="1">
      <formula>AI15</formula>
    </cfRule>
  </conditionalFormatting>
  <conditionalFormatting sqref="Q17">
    <cfRule type="cellIs" priority="92" dxfId="150" operator="greaterThan" stopIfTrue="1">
      <formula>AH17</formula>
    </cfRule>
  </conditionalFormatting>
  <conditionalFormatting sqref="R17">
    <cfRule type="cellIs" priority="91" dxfId="150" operator="greaterThan" stopIfTrue="1">
      <formula>AI17</formula>
    </cfRule>
  </conditionalFormatting>
  <conditionalFormatting sqref="Q18">
    <cfRule type="cellIs" priority="90" dxfId="150" operator="greaterThan" stopIfTrue="1">
      <formula>AH18</formula>
    </cfRule>
  </conditionalFormatting>
  <conditionalFormatting sqref="R18">
    <cfRule type="cellIs" priority="89" dxfId="150" operator="greaterThan" stopIfTrue="1">
      <formula>AI18</formula>
    </cfRule>
  </conditionalFormatting>
  <conditionalFormatting sqref="Q22">
    <cfRule type="cellIs" priority="88" dxfId="150" operator="greaterThan" stopIfTrue="1">
      <formula>AH22</formula>
    </cfRule>
  </conditionalFormatting>
  <conditionalFormatting sqref="R22">
    <cfRule type="cellIs" priority="87" dxfId="150" operator="greaterThan" stopIfTrue="1">
      <formula>AI22</formula>
    </cfRule>
  </conditionalFormatting>
  <conditionalFormatting sqref="M15">
    <cfRule type="cellIs" priority="81" dxfId="150" operator="greaterThan" stopIfTrue="1">
      <formula>AG15</formula>
    </cfRule>
  </conditionalFormatting>
  <conditionalFormatting sqref="L17">
    <cfRule type="cellIs" priority="78" dxfId="150" operator="greaterThan" stopIfTrue="1">
      <formula>AF17</formula>
    </cfRule>
  </conditionalFormatting>
  <conditionalFormatting sqref="M17">
    <cfRule type="cellIs" priority="77" dxfId="150" operator="greaterThan" stopIfTrue="1">
      <formula>AG17</formula>
    </cfRule>
  </conditionalFormatting>
  <conditionalFormatting sqref="L18">
    <cfRule type="cellIs" priority="76" dxfId="150" operator="greaterThan" stopIfTrue="1">
      <formula>AF18</formula>
    </cfRule>
  </conditionalFormatting>
  <conditionalFormatting sqref="M18">
    <cfRule type="cellIs" priority="75" dxfId="150" operator="greaterThan" stopIfTrue="1">
      <formula>AG18</formula>
    </cfRule>
  </conditionalFormatting>
  <conditionalFormatting sqref="L22">
    <cfRule type="cellIs" priority="74" dxfId="150" operator="greaterThan" stopIfTrue="1">
      <formula>AF22</formula>
    </cfRule>
  </conditionalFormatting>
  <conditionalFormatting sqref="M22">
    <cfRule type="cellIs" priority="73" dxfId="150" operator="greaterThan" stopIfTrue="1">
      <formula>AG22</formula>
    </cfRule>
  </conditionalFormatting>
  <conditionalFormatting sqref="G19:G21">
    <cfRule type="cellIs" priority="66" dxfId="150" operator="greaterThan" stopIfTrue="1">
      <formula>AD19</formula>
    </cfRule>
  </conditionalFormatting>
  <conditionalFormatting sqref="G22">
    <cfRule type="cellIs" priority="68" dxfId="150" operator="greaterThan" stopIfTrue="1">
      <formula>AD22</formula>
    </cfRule>
  </conditionalFormatting>
  <conditionalFormatting sqref="H17">
    <cfRule type="cellIs" priority="67" dxfId="150" operator="greaterThan" stopIfTrue="1">
      <formula>AE17</formula>
    </cfRule>
  </conditionalFormatting>
  <conditionalFormatting sqref="H18">
    <cfRule type="cellIs" priority="65" dxfId="150" operator="greaterThan" stopIfTrue="1">
      <formula>AE18</formula>
    </cfRule>
  </conditionalFormatting>
  <conditionalFormatting sqref="H22">
    <cfRule type="cellIs" priority="63" dxfId="150" operator="greaterThan" stopIfTrue="1">
      <formula>AE22</formula>
    </cfRule>
  </conditionalFormatting>
  <conditionalFormatting sqref="V15">
    <cfRule type="cellIs" priority="58" dxfId="150" operator="greaterThan" stopIfTrue="1">
      <formula>AJ15</formula>
    </cfRule>
  </conditionalFormatting>
  <conditionalFormatting sqref="W15">
    <cfRule type="cellIs" priority="57" dxfId="150" operator="greaterThan" stopIfTrue="1">
      <formula>AK15</formula>
    </cfRule>
  </conditionalFormatting>
  <conditionalFormatting sqref="V17">
    <cfRule type="cellIs" priority="56" dxfId="150" operator="greaterThan" stopIfTrue="1">
      <formula>AJ17</formula>
    </cfRule>
  </conditionalFormatting>
  <conditionalFormatting sqref="W17">
    <cfRule type="cellIs" priority="55" dxfId="150" operator="greaterThan" stopIfTrue="1">
      <formula>AK17</formula>
    </cfRule>
  </conditionalFormatting>
  <conditionalFormatting sqref="V18">
    <cfRule type="cellIs" priority="54" dxfId="150" operator="greaterThan" stopIfTrue="1">
      <formula>AJ18</formula>
    </cfRule>
  </conditionalFormatting>
  <conditionalFormatting sqref="W18">
    <cfRule type="cellIs" priority="53" dxfId="150" operator="greaterThan" stopIfTrue="1">
      <formula>AK18</formula>
    </cfRule>
  </conditionalFormatting>
  <conditionalFormatting sqref="V22">
    <cfRule type="cellIs" priority="52" dxfId="150" operator="greaterThan" stopIfTrue="1">
      <formula>AJ22</formula>
    </cfRule>
  </conditionalFormatting>
  <conditionalFormatting sqref="W22">
    <cfRule type="cellIs" priority="51" dxfId="150" operator="greaterThan" stopIfTrue="1">
      <formula>AK22</formula>
    </cfRule>
  </conditionalFormatting>
  <conditionalFormatting sqref="AA15">
    <cfRule type="cellIs" priority="46" dxfId="150" operator="greaterThan" stopIfTrue="1">
      <formula>AL15</formula>
    </cfRule>
  </conditionalFormatting>
  <conditionalFormatting sqref="AB15">
    <cfRule type="cellIs" priority="45" dxfId="150" operator="greaterThan" stopIfTrue="1">
      <formula>AM15</formula>
    </cfRule>
  </conditionalFormatting>
  <conditionalFormatting sqref="AA17">
    <cfRule type="cellIs" priority="44" dxfId="150" operator="greaterThan" stopIfTrue="1">
      <formula>AL17</formula>
    </cfRule>
  </conditionalFormatting>
  <conditionalFormatting sqref="AB17">
    <cfRule type="cellIs" priority="43" dxfId="150" operator="greaterThan" stopIfTrue="1">
      <formula>AM17</formula>
    </cfRule>
  </conditionalFormatting>
  <conditionalFormatting sqref="AA18">
    <cfRule type="cellIs" priority="42" dxfId="150" operator="greaterThan" stopIfTrue="1">
      <formula>AL18</formula>
    </cfRule>
  </conditionalFormatting>
  <conditionalFormatting sqref="AB18">
    <cfRule type="cellIs" priority="41" dxfId="150" operator="greaterThan" stopIfTrue="1">
      <formula>AM18</formula>
    </cfRule>
  </conditionalFormatting>
  <conditionalFormatting sqref="AA22">
    <cfRule type="cellIs" priority="40" dxfId="150" operator="greaterThan" stopIfTrue="1">
      <formula>AL22</formula>
    </cfRule>
  </conditionalFormatting>
  <conditionalFormatting sqref="AB22">
    <cfRule type="cellIs" priority="39" dxfId="150" operator="greaterThan" stopIfTrue="1">
      <formula>AM22</formula>
    </cfRule>
  </conditionalFormatting>
  <conditionalFormatting sqref="G18">
    <cfRule type="cellIs" priority="64" dxfId="150" operator="greaterThan" stopIfTrue="1">
      <formula>AD18</formula>
    </cfRule>
  </conditionalFormatting>
  <conditionalFormatting sqref="G15">
    <cfRule type="cellIs" priority="28" dxfId="150" operator="greaterThan" stopIfTrue="1">
      <formula>AD15</formula>
    </cfRule>
  </conditionalFormatting>
  <conditionalFormatting sqref="H16">
    <cfRule type="cellIs" priority="17" dxfId="150" operator="greaterThan" stopIfTrue="1">
      <formula>AE16</formula>
    </cfRule>
  </conditionalFormatting>
  <conditionalFormatting sqref="Q19:Q21">
    <cfRule type="cellIs" priority="32" dxfId="150" operator="greaterThan" stopIfTrue="1">
      <formula>AH19</formula>
    </cfRule>
  </conditionalFormatting>
  <conditionalFormatting sqref="R19:R21">
    <cfRule type="cellIs" priority="31" dxfId="150" operator="greaterThan" stopIfTrue="1">
      <formula>AI19</formula>
    </cfRule>
  </conditionalFormatting>
  <conditionalFormatting sqref="L19:L21">
    <cfRule type="cellIs" priority="30" dxfId="150" operator="greaterThan" stopIfTrue="1">
      <formula>AF19</formula>
    </cfRule>
  </conditionalFormatting>
  <conditionalFormatting sqref="M19:M21">
    <cfRule type="cellIs" priority="29" dxfId="150" operator="greaterThan" stopIfTrue="1">
      <formula>AG19</formula>
    </cfRule>
  </conditionalFormatting>
  <conditionalFormatting sqref="H19:H21">
    <cfRule type="cellIs" priority="27" dxfId="150" operator="greaterThan" stopIfTrue="1">
      <formula>AE19</formula>
    </cfRule>
  </conditionalFormatting>
  <conditionalFormatting sqref="V19:V21">
    <cfRule type="cellIs" priority="26" dxfId="150" operator="greaterThan" stopIfTrue="1">
      <formula>AJ19</formula>
    </cfRule>
  </conditionalFormatting>
  <conditionalFormatting sqref="W19:W21">
    <cfRule type="cellIs" priority="25" dxfId="150" operator="greaterThan" stopIfTrue="1">
      <formula>AK19</formula>
    </cfRule>
  </conditionalFormatting>
  <conditionalFormatting sqref="AA19:AA21">
    <cfRule type="cellIs" priority="24" dxfId="150" operator="greaterThan" stopIfTrue="1">
      <formula>AL19</formula>
    </cfRule>
  </conditionalFormatting>
  <conditionalFormatting sqref="AB19:AB21">
    <cfRule type="cellIs" priority="23" dxfId="150" operator="greaterThan" stopIfTrue="1">
      <formula>AM19</formula>
    </cfRule>
  </conditionalFormatting>
  <conditionalFormatting sqref="R16">
    <cfRule type="cellIs" priority="21" dxfId="150" operator="greaterThan" stopIfTrue="1">
      <formula>AI16</formula>
    </cfRule>
  </conditionalFormatting>
  <conditionalFormatting sqref="M16">
    <cfRule type="cellIs" priority="19" dxfId="150" operator="greaterThan" stopIfTrue="1">
      <formula>AG16</formula>
    </cfRule>
  </conditionalFormatting>
  <conditionalFormatting sqref="W16">
    <cfRule type="cellIs" priority="15" dxfId="150" operator="greaterThan" stopIfTrue="1">
      <formula>AK16</formula>
    </cfRule>
  </conditionalFormatting>
  <conditionalFormatting sqref="AB16">
    <cfRule type="cellIs" priority="13" dxfId="150" operator="greaterThan" stopIfTrue="1">
      <formula>AM16</formula>
    </cfRule>
  </conditionalFormatting>
  <conditionalFormatting sqref="E18:F18 J18:K18 T18:U18 T22:U23 J22:K23 E22:F23">
    <cfRule type="expression" priority="94" dxfId="33" stopIfTrue="1">
      <formula>$A18&gt;0</formula>
    </cfRule>
  </conditionalFormatting>
  <conditionalFormatting sqref="O18:P18 Y18:Z18 Y22:Z23 O22:P23">
    <cfRule type="expression" priority="95" dxfId="151" stopIfTrue="1">
      <formula>$A18&gt;0</formula>
    </cfRule>
  </conditionalFormatting>
  <conditionalFormatting sqref="Q23">
    <cfRule type="cellIs" priority="86" dxfId="150" operator="greaterThan" stopIfTrue="1">
      <formula>AH23</formula>
    </cfRule>
  </conditionalFormatting>
  <conditionalFormatting sqref="R23">
    <cfRule type="cellIs" priority="85" dxfId="150" operator="greaterThan" stopIfTrue="1">
      <formula>AI23</formula>
    </cfRule>
  </conditionalFormatting>
  <conditionalFormatting sqref="Q14">
    <cfRule type="cellIs" priority="84" dxfId="150" operator="greaterThan" stopIfTrue="1">
      <formula>AH14</formula>
    </cfRule>
  </conditionalFormatting>
  <conditionalFormatting sqref="R14">
    <cfRule type="cellIs" priority="83" dxfId="150" operator="greaterThan" stopIfTrue="1">
      <formula>AI14</formula>
    </cfRule>
  </conditionalFormatting>
  <conditionalFormatting sqref="H15">
    <cfRule type="cellIs" priority="79" dxfId="150" operator="greaterThan" stopIfTrue="1">
      <formula>AE15</formula>
    </cfRule>
  </conditionalFormatting>
  <conditionalFormatting sqref="L23">
    <cfRule type="cellIs" priority="72" dxfId="150" operator="greaterThan" stopIfTrue="1">
      <formula>AF23</formula>
    </cfRule>
  </conditionalFormatting>
  <conditionalFormatting sqref="M23">
    <cfRule type="cellIs" priority="71" dxfId="150" operator="greaterThan" stopIfTrue="1">
      <formula>AG23</formula>
    </cfRule>
  </conditionalFormatting>
  <conditionalFormatting sqref="L14">
    <cfRule type="cellIs" priority="70" dxfId="150" operator="greaterThan" stopIfTrue="1">
      <formula>AF14</formula>
    </cfRule>
  </conditionalFormatting>
  <conditionalFormatting sqref="M14">
    <cfRule type="cellIs" priority="69" dxfId="150" operator="greaterThan" stopIfTrue="1">
      <formula>AG14</formula>
    </cfRule>
  </conditionalFormatting>
  <conditionalFormatting sqref="G17">
    <cfRule type="cellIs" priority="62" dxfId="150" operator="greaterThan" stopIfTrue="1">
      <formula>AD17</formula>
    </cfRule>
  </conditionalFormatting>
  <conditionalFormatting sqref="G23">
    <cfRule type="cellIs" priority="80" dxfId="150" operator="greaterThan" stopIfTrue="1">
      <formula>AD23</formula>
    </cfRule>
  </conditionalFormatting>
  <conditionalFormatting sqref="H23">
    <cfRule type="cellIs" priority="61" dxfId="150" operator="greaterThan" stopIfTrue="1">
      <formula>AE23</formula>
    </cfRule>
  </conditionalFormatting>
  <conditionalFormatting sqref="G14">
    <cfRule type="cellIs" priority="18" dxfId="150" operator="greaterThan" stopIfTrue="1">
      <formula>AD14</formula>
    </cfRule>
  </conditionalFormatting>
  <conditionalFormatting sqref="H14">
    <cfRule type="cellIs" priority="59" dxfId="150" operator="greaterThan" stopIfTrue="1">
      <formula>AE14</formula>
    </cfRule>
  </conditionalFormatting>
  <conditionalFormatting sqref="V23">
    <cfRule type="cellIs" priority="50" dxfId="150" operator="greaterThan" stopIfTrue="1">
      <formula>AJ23</formula>
    </cfRule>
  </conditionalFormatting>
  <conditionalFormatting sqref="W23">
    <cfRule type="cellIs" priority="49" dxfId="150" operator="greaterThan" stopIfTrue="1">
      <formula>AK23</formula>
    </cfRule>
  </conditionalFormatting>
  <conditionalFormatting sqref="V14">
    <cfRule type="cellIs" priority="48" dxfId="150" operator="greaterThan" stopIfTrue="1">
      <formula>AJ14</formula>
    </cfRule>
  </conditionalFormatting>
  <conditionalFormatting sqref="W14">
    <cfRule type="cellIs" priority="47" dxfId="150" operator="greaterThan" stopIfTrue="1">
      <formula>AK14</formula>
    </cfRule>
  </conditionalFormatting>
  <conditionalFormatting sqref="AA23">
    <cfRule type="cellIs" priority="38" dxfId="150" operator="greaterThan" stopIfTrue="1">
      <formula>AL23</formula>
    </cfRule>
  </conditionalFormatting>
  <conditionalFormatting sqref="AB23">
    <cfRule type="cellIs" priority="37" dxfId="150" operator="greaterThan" stopIfTrue="1">
      <formula>AM23</formula>
    </cfRule>
  </conditionalFormatting>
  <conditionalFormatting sqref="AA14">
    <cfRule type="cellIs" priority="36" dxfId="150" operator="greaterThan" stopIfTrue="1">
      <formula>AL14</formula>
    </cfRule>
  </conditionalFormatting>
  <conditionalFormatting sqref="AB14">
    <cfRule type="cellIs" priority="35" dxfId="150" operator="greaterThan" stopIfTrue="1">
      <formula>AM14</formula>
    </cfRule>
  </conditionalFormatting>
  <conditionalFormatting sqref="Q15">
    <cfRule type="cellIs" priority="34" dxfId="150" operator="greaterThan" stopIfTrue="1">
      <formula>AH15</formula>
    </cfRule>
  </conditionalFormatting>
  <conditionalFormatting sqref="T19:U21 J19:K21 E19:F21">
    <cfRule type="expression" priority="96" dxfId="33" stopIfTrue="1">
      <formula>$A19&gt;0</formula>
    </cfRule>
  </conditionalFormatting>
  <conditionalFormatting sqref="Y19:Z21 O19:P21">
    <cfRule type="expression" priority="33" dxfId="151" stopIfTrue="1">
      <formula>$A19&gt;0</formula>
    </cfRule>
  </conditionalFormatting>
  <conditionalFormatting sqref="Q16">
    <cfRule type="cellIs" priority="22" dxfId="150" operator="greaterThan" stopIfTrue="1">
      <formula>AH16</formula>
    </cfRule>
  </conditionalFormatting>
  <conditionalFormatting sqref="L16">
    <cfRule type="cellIs" priority="20" dxfId="150" operator="greaterThan" stopIfTrue="1">
      <formula>AF16</formula>
    </cfRule>
  </conditionalFormatting>
  <conditionalFormatting sqref="G16">
    <cfRule type="cellIs" priority="60" dxfId="150" operator="greaterThan" stopIfTrue="1">
      <formula>AD16</formula>
    </cfRule>
  </conditionalFormatting>
  <conditionalFormatting sqref="V16">
    <cfRule type="cellIs" priority="16" dxfId="150" operator="greaterThan" stopIfTrue="1">
      <formula>AJ16</formula>
    </cfRule>
  </conditionalFormatting>
  <conditionalFormatting sqref="AA16">
    <cfRule type="cellIs" priority="14" dxfId="150" operator="greaterThan" stopIfTrue="1">
      <formula>AL16</formula>
    </cfRule>
  </conditionalFormatting>
  <conditionalFormatting sqref="A15:A23">
    <cfRule type="expression" priority="12" dxfId="26" stopIfTrue="1">
      <formula>AND($A15&lt;$B14,$A15&gt;0)</formula>
    </cfRule>
  </conditionalFormatting>
  <conditionalFormatting sqref="E14:F23 J14:K23 O14:P23 T14:U23 Y14:Z23">
    <cfRule type="cellIs" priority="390" dxfId="25" operator="between" stopIfTrue="1">
      <formula>1</formula>
      <formula>GTS!#REF!-1</formula>
    </cfRule>
    <cfRule type="cellIs" priority="391" dxfId="24" operator="greaterThan" stopIfTrue="1">
      <formula>$C$6</formula>
    </cfRule>
  </conditionalFormatting>
  <conditionalFormatting sqref="Q5">
    <cfRule type="cellIs" priority="9" dxfId="23" operator="greaterThan" stopIfTrue="1">
      <formula>0</formula>
    </cfRule>
  </conditionalFormatting>
  <conditionalFormatting sqref="A27:B27">
    <cfRule type="cellIs" priority="8" dxfId="152" operator="greaterThan" stopIfTrue="1">
      <formula>0</formula>
    </cfRule>
  </conditionalFormatting>
  <conditionalFormatting sqref="H29">
    <cfRule type="cellIs" priority="7" dxfId="21" operator="greaterThan" stopIfTrue="1">
      <formula>0</formula>
    </cfRule>
  </conditionalFormatting>
  <conditionalFormatting sqref="A38:B38">
    <cfRule type="cellIs" priority="6" dxfId="152" operator="greaterThan" stopIfTrue="1">
      <formula>0</formula>
    </cfRule>
  </conditionalFormatting>
  <conditionalFormatting sqref="H24 M24 R24 W24 AB24">
    <cfRule type="expression" priority="3" dxfId="142" stopIfTrue="1">
      <formula>G25&gt;0</formula>
    </cfRule>
  </conditionalFormatting>
  <conditionalFormatting sqref="Q26:T26">
    <cfRule type="cellIs" priority="4" dxfId="153" operator="greaterThan" stopIfTrue="1">
      <formula>0</formula>
    </cfRule>
  </conditionalFormatting>
  <conditionalFormatting sqref="AE25">
    <cfRule type="expression" priority="5" dxfId="10" stopIfTrue="1">
      <formula>AND($C$6=0,$AE$25&gt;0)</formula>
    </cfRule>
  </conditionalFormatting>
  <conditionalFormatting sqref="L28:W28">
    <cfRule type="expression" priority="1" dxfId="16" stopIfTrue="1">
      <formula>$L$28&lt;&gt;0</formula>
    </cfRule>
  </conditionalFormatting>
  <dataValidations count="8">
    <dataValidation type="time" allowBlank="1" showInputMessage="1" showErrorMessage="1" error="Uhrzeit bitte mit Doppelpunkt eingeben" sqref="B14:B23 A15:A23">
      <formula1>0.2916666666666667</formula1>
      <formula2>0.75</formula2>
    </dataValidation>
    <dataValidation type="time" allowBlank="1" showInputMessage="1" showErrorMessage="1" prompt="Uhrzeit bitte mit Doppelpunkt eingeben" error="Uhrzeit bitte mit Doppelpunkt eingeben" sqref="A14">
      <formula1>0.2916666666666667</formula1>
      <formula2>0.75</formula2>
    </dataValidation>
    <dataValidation type="decimal" operator="lessThanOrEqual" allowBlank="1" showInputMessage="1" showErrorMessage="1" prompt="Lehrerstunden wöchentlich  ... nach Umrechnung  2 : 1&#10;&#10;(gehalten 2  =  1 zu verrechnen)" error="diese Zahl passt nicht zusammen mit der Schülerzahl in Zeile 5!" sqref="H14:H23 M14:M23 R14:R23 W14:W23 AB14:AB23">
      <formula1>$O$6</formula1>
    </dataValidation>
    <dataValidation type="decimal" operator="lessThanOrEqual" allowBlank="1" showErrorMessage="1" error="diese Zahl passt nicht zusammen mit der Schülerzahl in Zeile 5!" sqref="G14:G23 L14:L23 Q14:Q23 V14:V23 AA14:AA23">
      <formula1>$O$6</formula1>
    </dataValidation>
    <dataValidation type="whole" allowBlank="1" showInputMessage="1" error="bitte Schüler als Ganzzahl eingeben!&#10;(mindestens = 8 pro Gruppe)" sqref="E14:F23 J14:K23 O14:P23 T14:U23 Y14:Z23">
      <formula1>$AF$2</formula1>
      <formula2>333</formula2>
    </dataValidation>
    <dataValidation type="whole" allowBlank="1" showInputMessage="1" showErrorMessage="1" prompt="jeder (verschiedene) Schülerkopf = 1&#10;... unabhängig an wieviel Tagen pro Woche&#10;&#10;Minuseintrag = selber keine Gruppe&#10;" error="soviel geht nicht!" sqref="L5">
      <formula1>-I5</formula1>
      <formula2>222</formula2>
    </dataValidation>
    <dataValidation allowBlank="1" showInputMessage="1" showErrorMessage="1" prompt="Lehrerstunden wöchentlich,&#10;wobei Individ.LZ mit 2 : 1 umgerechnet einzubeziehen ist&#10;(gehalten 2  =  1 zu verrechnen)" sqref="G32 L32 Q32"/>
    <dataValidation allowBlank="1" showInputMessage="1" showErrorMessage="1" prompt="Hier WoStunden der Freizeitbetreuung eingeben, soweit über SQM genehmigt" sqref="H32 M32 R32"/>
  </dataValidations>
  <hyperlinks>
    <hyperlink ref="S4" r:id="rId1" display="http://www2.vobs.at/ftp-pub/allgemein/formulare/GTS.PDF"/>
  </hyperlinks>
  <printOptions horizontalCentered="1"/>
  <pageMargins left="0.5511811023622047" right="0.5511811023622047" top="0.5118110236220472" bottom="0.3937007874015748" header="0.3937007874015748" footer="0.4724409448818898"/>
  <pageSetup fitToHeight="2" fitToWidth="1" horizontalDpi="600" verticalDpi="600" orientation="landscape" paperSize="9" scale="87" r:id="rId5"/>
  <headerFooter alignWithMargins="0">
    <oddFooter>&amp;C&amp;8&amp;F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83"/>
  <sheetViews>
    <sheetView showGridLines="0" showZeros="0" zoomScale="85" zoomScaleNormal="85" zoomScalePageLayoutView="0" workbookViewId="0" topLeftCell="A8">
      <selection activeCell="C20" sqref="C20"/>
    </sheetView>
  </sheetViews>
  <sheetFormatPr defaultColWidth="9.421875" defaultRowHeight="12.75" zeroHeight="1"/>
  <cols>
    <col min="1" max="1" width="23.00390625" style="14" customWidth="1"/>
    <col min="2" max="2" width="5.7109375" style="14" customWidth="1"/>
    <col min="3" max="8" width="6.28125" style="14" customWidth="1"/>
    <col min="9" max="12" width="5.7109375" style="14" customWidth="1"/>
    <col min="13" max="13" width="7.28125" style="14" customWidth="1"/>
    <col min="14" max="14" width="41.28125" style="14" customWidth="1"/>
    <col min="15" max="15" width="4.00390625" style="14" customWidth="1"/>
    <col min="16" max="16" width="7.28125" style="14" bestFit="1" customWidth="1"/>
    <col min="17" max="18" width="5.28125" style="40" customWidth="1"/>
    <col min="19" max="19" width="6.00390625" style="14" bestFit="1" customWidth="1"/>
    <col min="20" max="20" width="4.7109375" style="14" customWidth="1"/>
    <col min="21" max="16384" width="9.421875" style="14" customWidth="1"/>
  </cols>
  <sheetData>
    <row r="1" spans="1:19" ht="20.25" hidden="1">
      <c r="A1" s="26" t="s">
        <v>41</v>
      </c>
      <c r="N1" s="57">
        <v>0</v>
      </c>
      <c r="O1" s="57">
        <v>0</v>
      </c>
      <c r="S1" s="142" t="s">
        <v>198</v>
      </c>
    </row>
    <row r="2" spans="14:17" s="12" customFormat="1" ht="11.25" hidden="1">
      <c r="N2" s="57">
        <v>10</v>
      </c>
      <c r="O2" s="57">
        <v>1</v>
      </c>
      <c r="Q2" s="143">
        <f aca="true" t="shared" si="0" ref="Q2:Q7">(O1*25)+0.1</f>
        <v>0.1</v>
      </c>
    </row>
    <row r="3" spans="1:20" ht="12.75" hidden="1">
      <c r="A3" s="27" t="s">
        <v>23</v>
      </c>
      <c r="B3" s="13">
        <v>39.6</v>
      </c>
      <c r="C3" s="14" t="s">
        <v>19</v>
      </c>
      <c r="D3" s="12"/>
      <c r="N3" s="57">
        <v>29</v>
      </c>
      <c r="O3" s="57">
        <v>2</v>
      </c>
      <c r="Q3" s="143">
        <f t="shared" si="0"/>
        <v>25.1</v>
      </c>
      <c r="R3" s="144">
        <f>IF(Q3&lt;N3,N3-Q3,)</f>
        <v>3.8999999999999986</v>
      </c>
      <c r="S3" s="560">
        <f aca="true" t="shared" si="1" ref="S3:S10">IF(AND(N$18&gt;=Q3,E$18&lt;N3),N3-E$18,)</f>
        <v>0</v>
      </c>
      <c r="T3" s="561">
        <f aca="true" t="shared" si="2" ref="T3:T10">IF(AND(N$18&gt;N3,E$18&lt;N3,(N$18-E$18)&lt;S3),-1,)</f>
        <v>0</v>
      </c>
    </row>
    <row r="4" spans="1:20" ht="12.75" hidden="1">
      <c r="A4" s="27" t="s">
        <v>24</v>
      </c>
      <c r="B4" s="15">
        <v>1.66</v>
      </c>
      <c r="C4" s="12"/>
      <c r="D4" s="12"/>
      <c r="E4" s="16"/>
      <c r="G4" s="12"/>
      <c r="H4" s="18" t="s">
        <v>1</v>
      </c>
      <c r="I4" s="17">
        <v>24</v>
      </c>
      <c r="N4" s="57">
        <v>61</v>
      </c>
      <c r="O4" s="57">
        <v>3</v>
      </c>
      <c r="Q4" s="143">
        <f t="shared" si="0"/>
        <v>50.1</v>
      </c>
      <c r="R4" s="144">
        <f aca="true" t="shared" si="3" ref="R4:R16">IF(Q4&lt;N4,N4-Q4,)</f>
        <v>10.899999999999999</v>
      </c>
      <c r="S4" s="560">
        <f t="shared" si="1"/>
        <v>0</v>
      </c>
      <c r="T4" s="561">
        <f t="shared" si="2"/>
        <v>0</v>
      </c>
    </row>
    <row r="5" spans="1:20" ht="12.75" hidden="1">
      <c r="A5" s="1"/>
      <c r="B5" s="28" t="s">
        <v>0</v>
      </c>
      <c r="C5" s="29">
        <v>0.2</v>
      </c>
      <c r="J5" s="18" t="s">
        <v>2</v>
      </c>
      <c r="K5" s="19">
        <v>0.5</v>
      </c>
      <c r="N5" s="57">
        <v>88</v>
      </c>
      <c r="O5" s="57">
        <v>4</v>
      </c>
      <c r="Q5" s="143">
        <f t="shared" si="0"/>
        <v>75.1</v>
      </c>
      <c r="R5" s="144">
        <f t="shared" si="3"/>
        <v>12.900000000000006</v>
      </c>
      <c r="S5" s="560">
        <f t="shared" si="1"/>
        <v>0</v>
      </c>
      <c r="T5" s="561">
        <f t="shared" si="2"/>
        <v>0</v>
      </c>
    </row>
    <row r="6" spans="1:20" ht="12.75" hidden="1">
      <c r="A6" s="1"/>
      <c r="B6" s="28" t="s">
        <v>3</v>
      </c>
      <c r="C6" s="29">
        <v>1.3</v>
      </c>
      <c r="D6" s="1"/>
      <c r="G6" s="1"/>
      <c r="H6" s="1"/>
      <c r="J6" s="28" t="s">
        <v>22</v>
      </c>
      <c r="K6" s="55">
        <f>IF(E18&lt;20,9,)</f>
        <v>9</v>
      </c>
      <c r="L6" s="14" t="str">
        <f>IF(K6&gt;0," da unter 20","")</f>
        <v> da unter 20</v>
      </c>
      <c r="N6" s="57">
        <v>110</v>
      </c>
      <c r="O6" s="57">
        <v>5</v>
      </c>
      <c r="Q6" s="143">
        <f t="shared" si="0"/>
        <v>100.1</v>
      </c>
      <c r="R6" s="144">
        <f t="shared" si="3"/>
        <v>9.900000000000006</v>
      </c>
      <c r="S6" s="560">
        <f t="shared" si="1"/>
        <v>0</v>
      </c>
      <c r="T6" s="561">
        <f t="shared" si="2"/>
        <v>0</v>
      </c>
    </row>
    <row r="7" spans="14:20" ht="12.75" hidden="1">
      <c r="N7" s="58">
        <v>132</v>
      </c>
      <c r="O7" s="58">
        <v>6</v>
      </c>
      <c r="Q7" s="143">
        <f t="shared" si="0"/>
        <v>125.1</v>
      </c>
      <c r="R7" s="144">
        <f t="shared" si="3"/>
        <v>6.900000000000006</v>
      </c>
      <c r="S7" s="560">
        <f t="shared" si="1"/>
        <v>0</v>
      </c>
      <c r="T7" s="561">
        <f t="shared" si="2"/>
        <v>0</v>
      </c>
    </row>
    <row r="8" spans="1:20" ht="23.25">
      <c r="A8" s="41"/>
      <c r="D8" s="83" t="s">
        <v>30</v>
      </c>
      <c r="E8" s="225" t="str">
        <f>Bemerkung!E6</f>
        <v>PS  . . .</v>
      </c>
      <c r="F8" s="226"/>
      <c r="G8" s="226"/>
      <c r="H8" s="226"/>
      <c r="I8" s="226"/>
      <c r="J8" s="226"/>
      <c r="N8" s="57">
        <v>154</v>
      </c>
      <c r="O8" s="57">
        <v>7</v>
      </c>
      <c r="P8" s="57" t="str">
        <f>IF(LEFT(E8,1)&lt;&gt;"P","PtS "&amp;E8,E8)</f>
        <v>PS  . . .</v>
      </c>
      <c r="Q8" s="143">
        <f>(O7*25)+0.1</f>
        <v>150.1</v>
      </c>
      <c r="R8" s="144">
        <f t="shared" si="3"/>
        <v>3.9000000000000057</v>
      </c>
      <c r="S8" s="560">
        <f t="shared" si="1"/>
        <v>0</v>
      </c>
      <c r="T8" s="561">
        <f t="shared" si="2"/>
        <v>0</v>
      </c>
    </row>
    <row r="9" spans="13:20" s="40" customFormat="1" ht="11.25">
      <c r="M9" s="881">
        <f>IF(K23&lt;&gt;0,"Abschlag 
von  "&amp;TEXT(N22,"0,0")&amp;"%",)</f>
        <v>0</v>
      </c>
      <c r="N9" s="59">
        <v>176</v>
      </c>
      <c r="O9" s="59">
        <v>8</v>
      </c>
      <c r="Q9" s="143">
        <f aca="true" t="shared" si="4" ref="Q9:Q16">(O8*25)+0.1</f>
        <v>175.1</v>
      </c>
      <c r="R9" s="144">
        <f t="shared" si="3"/>
        <v>0.9000000000000057</v>
      </c>
      <c r="S9" s="560">
        <f t="shared" si="1"/>
        <v>0</v>
      </c>
      <c r="T9" s="561">
        <f t="shared" si="2"/>
        <v>0</v>
      </c>
    </row>
    <row r="10" spans="1:20" ht="15.75">
      <c r="A10" s="1"/>
      <c r="C10" s="147">
        <f>IF(OR(ISNUMBER(SEARCH("Hittisau",E8)),ISNUMBER(SEARCH("Gallenkirch",E8)),ISNUMBER(SEARCH("walsertal",E8)),ISNUMBER(SEARCH("Riezlern",E8))),"X",)</f>
        <v>0</v>
      </c>
      <c r="D10" s="31">
        <f>IF(C10&gt;0," ... die mit ihren Klassen nicht als selbständige Schule geführt wird",)</f>
        <v>0</v>
      </c>
      <c r="M10" s="882"/>
      <c r="N10" s="57">
        <v>198</v>
      </c>
      <c r="O10" s="57">
        <v>9</v>
      </c>
      <c r="Q10" s="143">
        <f t="shared" si="4"/>
        <v>200.1</v>
      </c>
      <c r="R10" s="143">
        <f t="shared" si="3"/>
        <v>0</v>
      </c>
      <c r="S10" s="560">
        <f t="shared" si="1"/>
        <v>0</v>
      </c>
      <c r="T10" s="561">
        <f t="shared" si="2"/>
        <v>0</v>
      </c>
    </row>
    <row r="11" spans="1:18" s="40" customFormat="1" ht="3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882"/>
      <c r="N11" s="57">
        <v>220</v>
      </c>
      <c r="O11" s="57">
        <v>10</v>
      </c>
      <c r="Q11" s="143">
        <f t="shared" si="4"/>
        <v>225.1</v>
      </c>
      <c r="R11" s="143">
        <f t="shared" si="3"/>
        <v>0</v>
      </c>
    </row>
    <row r="12" spans="1:18" s="84" customFormat="1" ht="3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882"/>
      <c r="N12" s="58">
        <v>242</v>
      </c>
      <c r="O12" s="58">
        <v>11</v>
      </c>
      <c r="Q12" s="143">
        <f t="shared" si="4"/>
        <v>250.1</v>
      </c>
      <c r="R12" s="143">
        <f t="shared" si="3"/>
        <v>0</v>
      </c>
    </row>
    <row r="13" spans="1:19" s="40" customFormat="1" ht="3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82"/>
      <c r="N13" s="57">
        <v>264</v>
      </c>
      <c r="O13" s="57">
        <v>12</v>
      </c>
      <c r="Q13" s="143">
        <f t="shared" si="4"/>
        <v>275.1</v>
      </c>
      <c r="R13" s="143">
        <f t="shared" si="3"/>
        <v>0</v>
      </c>
      <c r="S13" s="84"/>
    </row>
    <row r="14" spans="2:18" s="84" customFormat="1" ht="14.25" hidden="1">
      <c r="B14" s="65" t="s">
        <v>31</v>
      </c>
      <c r="C14" s="889"/>
      <c r="D14" s="890"/>
      <c r="E14" s="889"/>
      <c r="F14" s="890"/>
      <c r="G14" s="889"/>
      <c r="H14" s="890"/>
      <c r="I14" s="892"/>
      <c r="J14" s="893"/>
      <c r="K14" s="891"/>
      <c r="L14" s="891"/>
      <c r="M14" s="882"/>
      <c r="N14" s="58">
        <v>286</v>
      </c>
      <c r="O14" s="58">
        <v>13</v>
      </c>
      <c r="Q14" s="143">
        <f t="shared" si="4"/>
        <v>300.1</v>
      </c>
      <c r="R14" s="143">
        <f t="shared" si="3"/>
        <v>0</v>
      </c>
    </row>
    <row r="15" spans="1:18" s="40" customFormat="1" ht="14.25" hidden="1">
      <c r="A15" s="24"/>
      <c r="M15" s="882"/>
      <c r="N15" s="57">
        <v>308</v>
      </c>
      <c r="O15" s="57">
        <v>14</v>
      </c>
      <c r="Q15" s="143">
        <f t="shared" si="4"/>
        <v>325.1</v>
      </c>
      <c r="R15" s="143">
        <f t="shared" si="3"/>
        <v>0</v>
      </c>
    </row>
    <row r="16" spans="1:18" ht="23.25">
      <c r="A16" s="82" t="s">
        <v>29</v>
      </c>
      <c r="F16" s="81" t="s">
        <v>359</v>
      </c>
      <c r="I16" s="1"/>
      <c r="K16" s="799" t="s">
        <v>360</v>
      </c>
      <c r="M16" s="882"/>
      <c r="N16" s="57">
        <v>330</v>
      </c>
      <c r="O16" s="57">
        <v>15</v>
      </c>
      <c r="Q16" s="143">
        <f t="shared" si="4"/>
        <v>350.1</v>
      </c>
      <c r="R16" s="143">
        <f t="shared" si="3"/>
        <v>0</v>
      </c>
    </row>
    <row r="17" spans="8:18" s="36" customFormat="1" ht="8.25">
      <c r="H17" s="37"/>
      <c r="M17" s="883"/>
      <c r="N17" s="59">
        <v>352</v>
      </c>
      <c r="O17" s="59">
        <v>16</v>
      </c>
      <c r="Q17" s="40"/>
      <c r="R17" s="40"/>
    </row>
    <row r="18" spans="1:20" ht="15">
      <c r="A18" s="35"/>
      <c r="D18" s="30" t="s">
        <v>44</v>
      </c>
      <c r="E18" s="168">
        <f>Klassen!C16</f>
        <v>0</v>
      </c>
      <c r="H18" s="30" t="s">
        <v>43</v>
      </c>
      <c r="I18" s="169">
        <f>Klassen!B16</f>
        <v>0</v>
      </c>
      <c r="K18" s="894">
        <f>IF(E18=0,,IF(E18&lt;I4,((E18-I4+1)*K5)-K6,0)+B3+(E18*B4))+R18</f>
        <v>0</v>
      </c>
      <c r="L18" s="895"/>
      <c r="M18" s="146">
        <f>IF(R18&gt;0,-R18,)</f>
        <v>0</v>
      </c>
      <c r="N18" s="557">
        <f>E18+(N20*0.3)-Sprengel!G38</f>
        <v>0</v>
      </c>
      <c r="R18" s="145">
        <f>ROUND(S18*B4,2)</f>
        <v>0</v>
      </c>
      <c r="S18" s="560">
        <f>SUM(S2:S16)</f>
        <v>0</v>
      </c>
      <c r="T18" s="560">
        <f>SUM(T2:T16)</f>
        <v>0</v>
      </c>
    </row>
    <row r="19" spans="1:17" ht="14.25">
      <c r="A19" s="30" t="s">
        <v>297</v>
      </c>
      <c r="B19" s="167">
        <f>Klassen!AM14</f>
        <v>0</v>
      </c>
      <c r="C19" s="31" t="s">
        <v>45</v>
      </c>
      <c r="F19" s="166">
        <f>Klassen!AF16</f>
        <v>0</v>
      </c>
      <c r="G19" s="31" t="str">
        <f>IF(F19=0," (= keine ao. Schüler)"," außerordentliche Schüler:")</f>
        <v> (= keine ao. Schüler)</v>
      </c>
      <c r="K19" s="894">
        <f>O19*C$6+Q19</f>
        <v>0</v>
      </c>
      <c r="L19" s="895"/>
      <c r="M19" s="712">
        <f>IF(K19=0,"",IF(AND(P19&gt;0,P19&lt;5,O19&gt;0)," ("&amp;TEXT(Q19,"0,0")&amp;" für ao./u  + max. "&amp;TEXT(O19*C$6,"0,0")&amp;")","  .. maximal!"))</f>
      </c>
      <c r="N19" s="558"/>
      <c r="O19" s="713">
        <f>Klassen!AG14</f>
        <v>0</v>
      </c>
      <c r="P19" s="713">
        <f>Klassen!AF14</f>
        <v>0</v>
      </c>
      <c r="Q19" s="713">
        <f>IF(P19=0,,IF(P19&lt;5,P19+2,IF(P19&gt;=5,P19*C$6)))</f>
        <v>0</v>
      </c>
    </row>
    <row r="20" spans="1:18" ht="14.25">
      <c r="A20" s="30" t="s">
        <v>4</v>
      </c>
      <c r="B20" s="556">
        <f>IF(N20&gt;0,N20&amp;" einen SPF",)</f>
        <v>0</v>
      </c>
      <c r="D20" s="28">
        <f>IF(N20&gt;0,"sowie ",)</f>
        <v>0</v>
      </c>
      <c r="E20" s="166">
        <f>Klassen!AE14</f>
        <v>0</v>
      </c>
      <c r="F20" s="31" t="s">
        <v>5</v>
      </c>
      <c r="K20" s="894">
        <f>E20*C$5</f>
        <v>0</v>
      </c>
      <c r="L20" s="895"/>
      <c r="N20" s="711">
        <f>Klassen!AH14</f>
        <v>0</v>
      </c>
      <c r="Q20" s="14"/>
      <c r="R20" s="14"/>
    </row>
    <row r="21" spans="1:18" ht="14.25">
      <c r="A21" s="97" t="s">
        <v>18</v>
      </c>
      <c r="D21" s="51" t="str">
        <f>IF(N20&gt;0,"laut Genehmigung für","laut Absprache mit ")</f>
        <v>laut Absprache mit </v>
      </c>
      <c r="E21" s="52" t="str">
        <f>N21</f>
        <v>… bzw. wegen . . . . . . .</v>
      </c>
      <c r="J21" s="24"/>
      <c r="K21" s="871"/>
      <c r="L21" s="872"/>
      <c r="N21" s="559" t="str">
        <f>IF(N20&gt;0," Sonderpäd. Förderbedarf","… bzw. wegen . . . . . . .")</f>
        <v>… bzw. wegen . . . . . . .</v>
      </c>
      <c r="Q21" s="14"/>
      <c r="R21" s="14"/>
    </row>
    <row r="22" spans="1:18" s="45" customFormat="1" ht="9" thickBot="1">
      <c r="A22" s="873">
        <f>Sprengel!Q46</f>
        <v>0</v>
      </c>
      <c r="B22" s="873"/>
      <c r="C22" s="873"/>
      <c r="I22" s="46"/>
      <c r="N22" s="792">
        <v>2</v>
      </c>
      <c r="Q22" s="53"/>
      <c r="R22" s="53"/>
    </row>
    <row r="23" spans="1:18" ht="19.5" thickBot="1" thickTop="1">
      <c r="A23" s="873"/>
      <c r="B23" s="873"/>
      <c r="C23" s="873"/>
      <c r="J23" s="575" t="s">
        <v>20</v>
      </c>
      <c r="K23" s="874">
        <f>ROUND(SUM(K18:K21),1)</f>
        <v>0</v>
      </c>
      <c r="L23" s="875"/>
      <c r="M23" s="793">
        <f>-ROUND((K23-K21)*N$22%,1)</f>
        <v>0</v>
      </c>
      <c r="N23" s="12">
        <f>Sprengel!R47</f>
        <v>0</v>
      </c>
      <c r="Q23" s="14"/>
      <c r="R23" s="14"/>
    </row>
    <row r="24" spans="1:18" ht="15.75" thickTop="1">
      <c r="A24" s="873"/>
      <c r="B24" s="873"/>
      <c r="C24" s="873"/>
      <c r="J24" s="576"/>
      <c r="K24" s="795"/>
      <c r="L24" s="794" t="s">
        <v>21</v>
      </c>
      <c r="M24" s="20"/>
      <c r="O24" s="796">
        <f>ROUND(SUM((K23-K21)*N$22%,-'Bed S1'!O21)/2,1)</f>
        <v>0</v>
      </c>
      <c r="Q24" s="14"/>
      <c r="R24" s="14"/>
    </row>
    <row r="25" spans="1:18" ht="15">
      <c r="A25" s="30" t="s">
        <v>6</v>
      </c>
      <c r="B25" s="168">
        <f>Klassen!AT16</f>
        <v>0</v>
      </c>
      <c r="C25" s="35" t="s">
        <v>7</v>
      </c>
      <c r="J25" s="31"/>
      <c r="K25" s="31"/>
      <c r="L25" s="31"/>
      <c r="M25" s="31"/>
      <c r="O25" s="789">
        <f>P25+IF(AND(ISNUMBER(SEARCH("Blud",E8)),B25&gt;J26),J26+1,IF((B25-J26)&gt;2,J26+2,B25))</f>
        <v>0</v>
      </c>
      <c r="P25" s="94">
        <f>GTS!AK26</f>
        <v>0</v>
      </c>
      <c r="Q25" s="14"/>
      <c r="R25" s="14"/>
    </row>
    <row r="26" spans="1:18" ht="15">
      <c r="A26" s="96"/>
      <c r="B26" s="5"/>
      <c r="C26" s="31"/>
      <c r="I26" s="93">
        <f>IF(K23&gt;0,"Berechnete fiktive Klassenzahl für die Stundenressourcen der Schule:",)</f>
        <v>0</v>
      </c>
      <c r="J26" s="140">
        <f>LOOKUP(E18,N1:N17,O1:O17)+IF(S18&gt;0,1+T18,)+O26</f>
        <v>0</v>
      </c>
      <c r="K26" s="141">
        <f>IF(B25&gt;J26,".. +"&amp;O25-J26&amp;" dazu für KV,Ltg",IF(B25&lt;J26,"( = oder mehr ..?! )",""))</f>
      </c>
      <c r="N26" s="790">
        <f>IF(ISNUMBER(SEARCH("Lauterach",E8)),LOOKUP(N18,N1:N17,O1:O17)+IF(S18&gt;0,1+T18,),)</f>
        <v>0</v>
      </c>
      <c r="O26" s="790">
        <f>IF(ISNUMBER(SEARCH("Lauterach",E8)),IF(E18&gt;51,4,IF(E18&gt;34,3,IF(E18&gt;11,2)))-N26,0)+IF(AND(ISNUMBER(SEARCH("Kleinwalsertal",E8)),(B25-N26)&gt;0),1,0)</f>
        <v>0</v>
      </c>
      <c r="P26" s="94">
        <f>GTS!AL26</f>
        <v>0</v>
      </c>
      <c r="Q26" s="14"/>
      <c r="R26" s="14"/>
    </row>
    <row r="27" spans="1:18" s="10" customFormat="1" ht="12.75">
      <c r="A27" s="1"/>
      <c r="H27" s="95">
        <f>IF(K23&gt;0,IF(O25&gt;7,IF(O25&lt;12,"Leiter freigestellt,  SV = "&amp;O27,"Leiter-LV:   freigestellt"),IF(C10&lt;&gt;0,"Leiter-LV:  zusätzliche Einrechnung von "&amp;O25*1.5,"Leiter-LV =  "&amp;O27)),)</f>
        <v>0</v>
      </c>
      <c r="I27" s="139">
        <f>IF(AND(O25&gt;=12,P26&gt;0),"  (bei LeitZul +"&amp;P26&amp;"Kl wegen GTS)",IF(P26&gt;0,"  (incl. GTS-Gruppen);  LeitZul +"&amp;P26,))</f>
        <v>0</v>
      </c>
      <c r="N27" s="791"/>
      <c r="O27" s="790">
        <f>IF(O25&lt;=7,20-2-((O25-P25)*1.5)-ROUNDDOWN(P27,0)*0.75,20-2-(O25*1.5))</f>
        <v>18</v>
      </c>
      <c r="P27" s="94">
        <f>GTS!AJ26</f>
        <v>0</v>
      </c>
      <c r="Q27" s="148">
        <v>0</v>
      </c>
      <c r="R27" s="149">
        <v>0</v>
      </c>
    </row>
    <row r="28" spans="1:18" s="1" customFormat="1" ht="18" hidden="1">
      <c r="A28" s="85" t="s">
        <v>8</v>
      </c>
      <c r="G28" s="6"/>
      <c r="H28" s="21"/>
      <c r="I28" s="876" t="s">
        <v>9</v>
      </c>
      <c r="J28" s="877"/>
      <c r="K28" s="877"/>
      <c r="Q28" s="148">
        <v>6</v>
      </c>
      <c r="R28" s="149">
        <v>2.5</v>
      </c>
    </row>
    <row r="29" spans="5:18" s="53" customFormat="1" ht="8.25" hidden="1">
      <c r="E29" s="80" t="s">
        <v>26</v>
      </c>
      <c r="H29" s="80"/>
      <c r="I29" s="877"/>
      <c r="J29" s="877"/>
      <c r="K29" s="877"/>
      <c r="Q29" s="148">
        <v>11</v>
      </c>
      <c r="R29" s="149">
        <v>3</v>
      </c>
    </row>
    <row r="30" spans="3:18" s="6" customFormat="1" ht="14.25" hidden="1">
      <c r="C30" s="87"/>
      <c r="D30" s="87"/>
      <c r="E30" s="87"/>
      <c r="F30" s="87"/>
      <c r="G30" s="87"/>
      <c r="I30" s="22" t="s">
        <v>10</v>
      </c>
      <c r="J30" s="33"/>
      <c r="K30" s="32"/>
      <c r="Q30" s="148">
        <v>40</v>
      </c>
      <c r="R30" s="149">
        <v>3.2</v>
      </c>
    </row>
    <row r="31" spans="2:18" s="45" customFormat="1" ht="12.75" hidden="1">
      <c r="B31" s="90" t="s">
        <v>40</v>
      </c>
      <c r="C31" s="88" t="s">
        <v>37</v>
      </c>
      <c r="D31" s="89">
        <f>ROUND(J30/3/3,0)</f>
        <v>0</v>
      </c>
      <c r="E31" s="88" t="s">
        <v>38</v>
      </c>
      <c r="F31" s="89">
        <f>D31</f>
        <v>0</v>
      </c>
      <c r="G31" s="88" t="s">
        <v>39</v>
      </c>
      <c r="H31" s="89">
        <f>D31</f>
        <v>0</v>
      </c>
      <c r="I31" s="91">
        <f>D31+F31+H31</f>
        <v>0</v>
      </c>
      <c r="J31" s="46"/>
      <c r="Q31" s="148">
        <v>48</v>
      </c>
      <c r="R31" s="149">
        <v>3.4</v>
      </c>
    </row>
    <row r="32" spans="9:18" s="6" customFormat="1" ht="14.25" hidden="1">
      <c r="I32" s="22" t="s">
        <v>32</v>
      </c>
      <c r="J32" s="33"/>
      <c r="K32" s="32"/>
      <c r="Q32" s="148">
        <v>56</v>
      </c>
      <c r="R32" s="149">
        <v>3.6</v>
      </c>
    </row>
    <row r="33" spans="9:18" s="45" customFormat="1" ht="6.75" hidden="1">
      <c r="I33" s="46"/>
      <c r="Q33" s="148">
        <v>64</v>
      </c>
      <c r="R33" s="149">
        <v>3.8</v>
      </c>
    </row>
    <row r="34" spans="9:18" s="24" customFormat="1" ht="14.25" hidden="1">
      <c r="I34" s="23" t="s">
        <v>33</v>
      </c>
      <c r="J34" s="33"/>
      <c r="K34" s="32"/>
      <c r="Q34" s="148">
        <v>72</v>
      </c>
      <c r="R34" s="149">
        <v>4</v>
      </c>
    </row>
    <row r="35" spans="9:18" s="38" customFormat="1" ht="6.75" hidden="1">
      <c r="I35" s="39"/>
      <c r="Q35" s="148">
        <v>80</v>
      </c>
      <c r="R35" s="149">
        <v>4.2</v>
      </c>
    </row>
    <row r="36" spans="9:18" s="24" customFormat="1" ht="14.25" hidden="1">
      <c r="I36" s="23" t="s">
        <v>11</v>
      </c>
      <c r="J36" s="33"/>
      <c r="K36" s="32"/>
      <c r="Q36" s="148">
        <v>87</v>
      </c>
      <c r="R36" s="149">
        <v>4.3</v>
      </c>
    </row>
    <row r="37" spans="9:18" s="47" customFormat="1" ht="6.75" hidden="1">
      <c r="I37" s="48"/>
      <c r="Q37" s="148">
        <v>95</v>
      </c>
      <c r="R37" s="149">
        <v>4.4</v>
      </c>
    </row>
    <row r="38" spans="9:18" s="24" customFormat="1" ht="14.25" hidden="1">
      <c r="I38" s="23" t="s">
        <v>12</v>
      </c>
      <c r="J38" s="33"/>
      <c r="K38" s="32"/>
      <c r="Q38" s="148">
        <v>104</v>
      </c>
      <c r="R38" s="149">
        <v>4.5</v>
      </c>
    </row>
    <row r="39" spans="9:18" s="49" customFormat="1" ht="6.75" hidden="1">
      <c r="I39" s="50"/>
      <c r="Q39" s="148">
        <v>114</v>
      </c>
      <c r="R39" s="149">
        <v>4.6</v>
      </c>
    </row>
    <row r="40" spans="9:18" s="24" customFormat="1" ht="14.25" hidden="1">
      <c r="I40" s="23" t="str">
        <f>IF(J40&gt;0,"Gegenstandsbezogene und (umgerechn.) Individuelle Lernzeiten: ","Schulische Tagesbetreuung: ")</f>
        <v>Schulische Tagesbetreuung: </v>
      </c>
      <c r="J40" s="127">
        <f>N40</f>
        <v>0</v>
      </c>
      <c r="K40" s="128"/>
      <c r="N40" s="126">
        <f>GTS!A27</f>
        <v>0</v>
      </c>
      <c r="Q40" s="148">
        <v>125</v>
      </c>
      <c r="R40" s="149">
        <v>4.7</v>
      </c>
    </row>
    <row r="41" spans="9:18" s="49" customFormat="1" ht="3" customHeight="1" hidden="1">
      <c r="I41" s="50"/>
      <c r="Q41" s="148">
        <v>137</v>
      </c>
      <c r="R41" s="149">
        <v>4.8</v>
      </c>
    </row>
    <row r="42" spans="9:18" s="24" customFormat="1" ht="14.25" hidden="1">
      <c r="I42" s="34" t="s">
        <v>13</v>
      </c>
      <c r="J42" s="33"/>
      <c r="K42" s="32"/>
      <c r="Q42" s="148">
        <v>150</v>
      </c>
      <c r="R42" s="149">
        <v>4.9</v>
      </c>
    </row>
    <row r="43" spans="9:18" s="49" customFormat="1" ht="6.75" hidden="1">
      <c r="I43" s="50"/>
      <c r="Q43" s="148">
        <v>164</v>
      </c>
      <c r="R43" s="149">
        <v>5</v>
      </c>
    </row>
    <row r="44" spans="9:18" s="24" customFormat="1" ht="14.25" hidden="1">
      <c r="I44" s="23" t="s">
        <v>14</v>
      </c>
      <c r="J44" s="33"/>
      <c r="K44" s="32"/>
      <c r="Q44" s="148">
        <v>179</v>
      </c>
      <c r="R44" s="149">
        <v>5.1</v>
      </c>
    </row>
    <row r="45" spans="17:18" s="49" customFormat="1" ht="7.5" hidden="1" thickBot="1">
      <c r="Q45" s="148">
        <v>195</v>
      </c>
      <c r="R45" s="149">
        <v>5.2</v>
      </c>
    </row>
    <row r="46" spans="1:18" ht="20.25" hidden="1" thickBot="1" thickTop="1">
      <c r="A46" s="42"/>
      <c r="I46" s="31"/>
      <c r="J46" s="43" t="s">
        <v>15</v>
      </c>
      <c r="K46" s="92">
        <f>K23-SUM(J30:J44)+J40</f>
        <v>0</v>
      </c>
      <c r="L46" s="44"/>
      <c r="Q46" s="148">
        <v>212</v>
      </c>
      <c r="R46" s="149">
        <v>5.3</v>
      </c>
    </row>
    <row r="47" spans="1:18" ht="15">
      <c r="A47" s="20"/>
      <c r="Q47" s="148">
        <v>230</v>
      </c>
      <c r="R47" s="149">
        <v>5.4</v>
      </c>
    </row>
    <row r="48" spans="1:19" ht="15" customHeight="1">
      <c r="A48" s="79" t="s">
        <v>28</v>
      </c>
      <c r="B48" s="74"/>
      <c r="C48" s="75"/>
      <c r="D48" s="76"/>
      <c r="E48" s="77"/>
      <c r="F48" s="77"/>
      <c r="G48" s="77"/>
      <c r="H48" s="78"/>
      <c r="I48" s="77"/>
      <c r="J48" s="77"/>
      <c r="K48" s="878">
        <f>IF(O59&gt;0,O59&amp;"  gesamt","")</f>
      </c>
      <c r="L48" s="878"/>
      <c r="M48" s="878"/>
      <c r="N48" s="1"/>
      <c r="O48" s="1"/>
      <c r="Q48" s="148">
        <v>249</v>
      </c>
      <c r="R48" s="149">
        <v>5.5</v>
      </c>
      <c r="S48" s="1"/>
    </row>
    <row r="49" spans="17:18" s="49" customFormat="1" ht="6.75">
      <c r="Q49" s="148">
        <v>269</v>
      </c>
      <c r="R49" s="149">
        <v>5.6</v>
      </c>
    </row>
    <row r="50" spans="1:18" s="64" customFormat="1" ht="15.75">
      <c r="A50" s="20" t="s">
        <v>42</v>
      </c>
      <c r="B50" s="20"/>
      <c r="C50" s="69"/>
      <c r="D50" s="60" t="s">
        <v>66</v>
      </c>
      <c r="K50" s="63"/>
      <c r="L50" s="63"/>
      <c r="M50" s="63"/>
      <c r="N50" s="63"/>
      <c r="P50" s="49"/>
      <c r="Q50" s="148">
        <v>290</v>
      </c>
      <c r="R50" s="149">
        <v>5.7</v>
      </c>
    </row>
    <row r="51" spans="1:18" s="60" customFormat="1" ht="15">
      <c r="A51" s="20"/>
      <c r="E51" s="67" t="str">
        <f>IF(C50&gt;0,"Das mögliche Ausmaß beträgt: "," ")</f>
        <v> </v>
      </c>
      <c r="F51" s="885" t="str">
        <f>IF(C50&gt;0,P51," ")</f>
        <v> </v>
      </c>
      <c r="G51" s="885"/>
      <c r="H51" s="68" t="str">
        <f>IF(C50&gt;0," für die umfassende Betreuung"," ")</f>
        <v> </v>
      </c>
      <c r="K51" s="62"/>
      <c r="L51" s="62"/>
      <c r="M51" s="62"/>
      <c r="N51" s="62"/>
      <c r="O51" s="71">
        <f>IF(OR(C10&gt;0,C50&lt;6),0,LOOKUP(C50,Q27:Q56,R27:R56))</f>
        <v>0</v>
      </c>
      <c r="P51" s="72" t="str">
        <f>IF(OR(C10&gt;0,C50&lt;6),"nichts möglich","maximal  "&amp;O51)</f>
        <v>nichts möglich</v>
      </c>
      <c r="Q51" s="148">
        <v>312</v>
      </c>
      <c r="R51" s="149">
        <v>5.8</v>
      </c>
    </row>
    <row r="52" spans="1:18" s="61" customFormat="1" ht="16.5">
      <c r="A52" s="20"/>
      <c r="D52" s="14"/>
      <c r="E52" s="14"/>
      <c r="F52" s="14"/>
      <c r="G52" s="14"/>
      <c r="H52" s="14"/>
      <c r="J52" s="54">
        <f>IF(O51&gt;0,"Die tatsächl. Betreuung berechtigt als LV-Einrechnung für EDV: ","")</f>
      </c>
      <c r="K52" s="880" t="str">
        <f>IF(O51&gt;0,O51," ")</f>
        <v> </v>
      </c>
      <c r="L52" s="880"/>
      <c r="M52" s="793">
        <f>IF(K52=" ",0,-ROUND(K52*N$22%,1))</f>
        <v>0</v>
      </c>
      <c r="N52" s="888">
        <f>SUM(M52:M53,M23)</f>
        <v>0</v>
      </c>
      <c r="P52" s="73"/>
      <c r="Q52" s="148">
        <v>335</v>
      </c>
      <c r="R52" s="149">
        <v>5.9</v>
      </c>
    </row>
    <row r="53" spans="14:18" s="66" customFormat="1" ht="8.25">
      <c r="N53" s="888"/>
      <c r="Q53" s="148">
        <v>359</v>
      </c>
      <c r="R53" s="149">
        <v>6</v>
      </c>
    </row>
    <row r="54" spans="10:18" s="40" customFormat="1" ht="16.5" hidden="1">
      <c r="J54" s="70" t="s">
        <v>27</v>
      </c>
      <c r="K54" s="879"/>
      <c r="L54" s="879"/>
      <c r="Q54" s="148">
        <v>384</v>
      </c>
      <c r="R54" s="149">
        <v>6.1</v>
      </c>
    </row>
    <row r="55" spans="17:18" s="47" customFormat="1" ht="5.25" customHeight="1" hidden="1">
      <c r="Q55" s="148">
        <v>410</v>
      </c>
      <c r="R55" s="149">
        <v>6.2</v>
      </c>
    </row>
    <row r="56" spans="10:18" s="40" customFormat="1" ht="16.5">
      <c r="J56" s="151">
        <f>IF(K56&lt;&gt;" ","Bei "&amp;O56&amp;" Klassen als Zuschlag für die 'Administrative Entlastung': ","")</f>
      </c>
      <c r="K56" s="886" t="str">
        <f>IF(OR(O56&lt;1,C10="X")," ",LOOKUP(O56,Q59:Q83,R59:R83))</f>
        <v> </v>
      </c>
      <c r="L56" s="886"/>
      <c r="M56" s="797" t="str">
        <f>IF(K56=" "," ","  = "&amp;P56&amp;" Verw.")</f>
        <v> </v>
      </c>
      <c r="O56" s="72">
        <f>J26</f>
        <v>0</v>
      </c>
      <c r="P56" s="222">
        <f>LOOKUP(O56,Q59:Q83,S59:S83)</f>
        <v>0</v>
      </c>
      <c r="Q56" s="148">
        <v>437</v>
      </c>
      <c r="R56" s="149">
        <v>6.3</v>
      </c>
    </row>
    <row r="57" spans="5:18" ht="16.5">
      <c r="E57" s="218">
        <f>IF(K56=" ",,"Davon durch eine Bürokraft der Gde ")</f>
        <v>0</v>
      </c>
      <c r="F57" s="221">
        <f>IF(K56=" ",," ")</f>
        <v>0</v>
      </c>
      <c r="G57" s="219">
        <f>IF(OR(K56=" ",F57=0),," VerwStd")</f>
        <v>0</v>
      </c>
      <c r="H57" s="220"/>
      <c r="I57" s="220"/>
      <c r="J57" s="151">
        <f>IF(AND(F57&gt;0,F57&lt;=P56),"deshalb... ",)</f>
        <v>0</v>
      </c>
      <c r="K57" s="887" t="str">
        <f>IF(J57&gt;0,-ROUNDUP(F57/80,1)," ")</f>
        <v> </v>
      </c>
      <c r="L57" s="887"/>
      <c r="M57" s="801">
        <v>0</v>
      </c>
      <c r="O57" s="223">
        <f>IF(K57&lt;0,K57*-80,)</f>
        <v>0</v>
      </c>
      <c r="P57" s="215"/>
      <c r="Q57" s="215"/>
      <c r="R57" s="216"/>
    </row>
    <row r="58" spans="13:18" s="47" customFormat="1" ht="5.25" customHeight="1">
      <c r="M58" s="798"/>
      <c r="Q58" s="150"/>
      <c r="R58" s="150"/>
    </row>
    <row r="59" spans="4:19" ht="16.5">
      <c r="D59" s="23" t="s">
        <v>25</v>
      </c>
      <c r="E59" s="56" t="s">
        <v>17</v>
      </c>
      <c r="K59" s="879"/>
      <c r="L59" s="879"/>
      <c r="N59" s="930">
        <f>SUM(M52:M59,M23)</f>
        <v>0</v>
      </c>
      <c r="O59" s="71">
        <f>SUM(K52:M59)</f>
        <v>0</v>
      </c>
      <c r="Q59" s="152">
        <v>0</v>
      </c>
      <c r="R59" s="153">
        <v>0</v>
      </c>
      <c r="S59" s="154">
        <v>0</v>
      </c>
    </row>
    <row r="60" spans="17:19" s="40" customFormat="1" ht="8.25">
      <c r="Q60" s="152">
        <v>1</v>
      </c>
      <c r="R60" s="153">
        <v>0.5</v>
      </c>
      <c r="S60" s="154">
        <v>40</v>
      </c>
    </row>
    <row r="61" spans="1:19" ht="27" customHeight="1">
      <c r="A61" s="884"/>
      <c r="B61" s="884"/>
      <c r="C61" s="884"/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P61" s="72" t="str">
        <f>IF(O59&gt;0,"von den "&amp;O59,"es")</f>
        <v>es</v>
      </c>
      <c r="Q61" s="152">
        <v>2</v>
      </c>
      <c r="R61" s="153">
        <v>0.7</v>
      </c>
      <c r="S61" s="154">
        <v>56</v>
      </c>
    </row>
    <row r="62" spans="1:19" ht="27" customHeight="1">
      <c r="A62" s="884"/>
      <c r="B62" s="884"/>
      <c r="C62" s="884"/>
      <c r="D62" s="884"/>
      <c r="E62" s="884"/>
      <c r="F62" s="884"/>
      <c r="G62" s="884"/>
      <c r="H62" s="884"/>
      <c r="I62" s="884"/>
      <c r="J62" s="884"/>
      <c r="K62" s="884"/>
      <c r="L62" s="884"/>
      <c r="M62" s="884"/>
      <c r="Q62" s="152">
        <v>3</v>
      </c>
      <c r="R62" s="153">
        <v>0.8999999999999999</v>
      </c>
      <c r="S62" s="154">
        <v>72</v>
      </c>
    </row>
    <row r="63" spans="1:19" s="16" customFormat="1" ht="27" customHeight="1">
      <c r="A63" s="884"/>
      <c r="B63" s="884"/>
      <c r="C63" s="884"/>
      <c r="D63" s="884"/>
      <c r="E63" s="884"/>
      <c r="F63" s="884"/>
      <c r="G63" s="884"/>
      <c r="H63" s="884"/>
      <c r="I63" s="884"/>
      <c r="J63" s="884"/>
      <c r="K63" s="884"/>
      <c r="L63" s="884"/>
      <c r="M63" s="884"/>
      <c r="N63" s="10"/>
      <c r="O63" s="10"/>
      <c r="P63" s="10"/>
      <c r="Q63" s="152">
        <v>4</v>
      </c>
      <c r="R63" s="153">
        <v>1.0999999999999999</v>
      </c>
      <c r="S63" s="154">
        <v>88</v>
      </c>
    </row>
    <row r="64" spans="1:19" s="47" customFormat="1" ht="27" customHeight="1">
      <c r="A64" s="884"/>
      <c r="B64" s="884"/>
      <c r="C64" s="884"/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Q64" s="152">
        <v>5</v>
      </c>
      <c r="R64" s="153">
        <v>1.4</v>
      </c>
      <c r="S64" s="154">
        <v>112</v>
      </c>
    </row>
    <row r="65" spans="1:19" ht="27" customHeight="1">
      <c r="A65" s="884"/>
      <c r="B65" s="884"/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1"/>
      <c r="O65" s="72">
        <v>40</v>
      </c>
      <c r="P65" s="7"/>
      <c r="Q65" s="152">
        <v>6</v>
      </c>
      <c r="R65" s="153">
        <v>1.7</v>
      </c>
      <c r="S65" s="154">
        <v>136</v>
      </c>
    </row>
    <row r="66" spans="1:19" ht="27">
      <c r="A66" s="217"/>
      <c r="Q66" s="152">
        <v>7</v>
      </c>
      <c r="R66" s="153">
        <v>2</v>
      </c>
      <c r="S66" s="154">
        <v>160</v>
      </c>
    </row>
    <row r="67" spans="1:19" ht="20.25">
      <c r="A67" s="25">
        <f ca="1">IF(K23&gt;0,TODAY(),"")</f>
      </c>
      <c r="B67" s="3"/>
      <c r="C67" s="3"/>
      <c r="D67" s="3"/>
      <c r="E67" s="8"/>
      <c r="F67" s="8"/>
      <c r="G67" s="8"/>
      <c r="H67" s="8"/>
      <c r="I67" s="8"/>
      <c r="J67" s="8"/>
      <c r="K67" s="8"/>
      <c r="L67" s="8"/>
      <c r="M67" s="8"/>
      <c r="Q67" s="152">
        <v>8</v>
      </c>
      <c r="R67" s="153">
        <v>1.2999999999999998</v>
      </c>
      <c r="S67" s="154">
        <v>104</v>
      </c>
    </row>
    <row r="68" spans="1:19" s="16" customFormat="1" ht="12">
      <c r="A68" s="11" t="s">
        <v>16</v>
      </c>
      <c r="B68" s="10"/>
      <c r="C68" s="10"/>
      <c r="D68" s="10"/>
      <c r="E68" s="9"/>
      <c r="F68" s="9"/>
      <c r="G68" s="9"/>
      <c r="H68" s="192" t="s">
        <v>179</v>
      </c>
      <c r="I68" s="9" t="s">
        <v>180</v>
      </c>
      <c r="J68" s="11"/>
      <c r="K68" s="9"/>
      <c r="L68" s="9"/>
      <c r="M68" s="9"/>
      <c r="Q68" s="152">
        <v>9</v>
      </c>
      <c r="R68" s="153">
        <v>1.7999999999999998</v>
      </c>
      <c r="S68" s="154">
        <v>144</v>
      </c>
    </row>
    <row r="69" spans="1:19" ht="18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52">
        <v>10</v>
      </c>
      <c r="R69" s="153">
        <v>2.3</v>
      </c>
      <c r="S69" s="154">
        <v>184</v>
      </c>
    </row>
    <row r="70" spans="17:19" ht="12.75">
      <c r="Q70" s="152">
        <v>11</v>
      </c>
      <c r="R70" s="153">
        <v>2.8</v>
      </c>
      <c r="S70" s="154">
        <v>224</v>
      </c>
    </row>
    <row r="71" spans="17:19" ht="12.75">
      <c r="Q71" s="152">
        <v>12</v>
      </c>
      <c r="R71" s="153">
        <v>3.3</v>
      </c>
      <c r="S71" s="154">
        <v>264</v>
      </c>
    </row>
    <row r="72" spans="17:19" ht="12.75">
      <c r="Q72" s="152">
        <v>13</v>
      </c>
      <c r="R72" s="153">
        <v>4.6</v>
      </c>
      <c r="S72" s="154">
        <v>368</v>
      </c>
    </row>
    <row r="73" spans="17:19" ht="12.75">
      <c r="Q73" s="152">
        <v>14</v>
      </c>
      <c r="R73" s="153">
        <v>5.8999999999999995</v>
      </c>
      <c r="S73" s="154">
        <v>472</v>
      </c>
    </row>
    <row r="74" spans="17:19" ht="12.75">
      <c r="Q74" s="152">
        <v>15</v>
      </c>
      <c r="R74" s="153">
        <v>7.2</v>
      </c>
      <c r="S74" s="154">
        <v>576</v>
      </c>
    </row>
    <row r="75" spans="17:19" ht="12.75">
      <c r="Q75" s="152">
        <v>16</v>
      </c>
      <c r="R75" s="153">
        <v>8.5</v>
      </c>
      <c r="S75" s="154">
        <v>680</v>
      </c>
    </row>
    <row r="76" spans="17:19" ht="12.75">
      <c r="Q76" s="152">
        <v>17</v>
      </c>
      <c r="R76" s="153">
        <v>9.8</v>
      </c>
      <c r="S76" s="154">
        <v>784</v>
      </c>
    </row>
    <row r="77" spans="17:19" ht="12.75">
      <c r="Q77" s="152">
        <v>18</v>
      </c>
      <c r="R77" s="153">
        <v>11.100000000000001</v>
      </c>
      <c r="S77" s="154">
        <v>888</v>
      </c>
    </row>
    <row r="78" spans="17:19" ht="12.75">
      <c r="Q78" s="152">
        <v>19</v>
      </c>
      <c r="R78" s="153">
        <v>12.399999999999999</v>
      </c>
      <c r="S78" s="154">
        <v>992</v>
      </c>
    </row>
    <row r="79" spans="17:19" ht="12.75">
      <c r="Q79" s="152">
        <v>20</v>
      </c>
      <c r="R79" s="153">
        <v>13.7</v>
      </c>
      <c r="S79" s="154">
        <v>1096</v>
      </c>
    </row>
    <row r="80" spans="17:19" ht="12.75">
      <c r="Q80" s="152">
        <v>21</v>
      </c>
      <c r="R80" s="153">
        <v>15</v>
      </c>
      <c r="S80" s="154">
        <v>1200</v>
      </c>
    </row>
    <row r="81" spans="17:19" ht="12.75">
      <c r="Q81" s="152">
        <v>22</v>
      </c>
      <c r="R81" s="153">
        <v>15.7</v>
      </c>
      <c r="S81" s="154">
        <v>1256</v>
      </c>
    </row>
    <row r="82" spans="17:19" ht="12.75">
      <c r="Q82" s="152">
        <v>23</v>
      </c>
      <c r="R82" s="153">
        <v>16.4</v>
      </c>
      <c r="S82" s="154">
        <v>1312</v>
      </c>
    </row>
    <row r="83" spans="17:19" ht="12.75">
      <c r="Q83" s="152">
        <v>24</v>
      </c>
      <c r="R83" s="153">
        <v>17.099999999999998</v>
      </c>
      <c r="S83" s="154">
        <v>1368</v>
      </c>
    </row>
    <row r="84" ht="12.75"/>
    <row r="85" ht="12.75"/>
    <row r="86" ht="12.75"/>
    <row r="87" ht="12.75"/>
    <row r="88" ht="12.75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 password="C260" sheet="1"/>
  <mergeCells count="22">
    <mergeCell ref="I14:J14"/>
    <mergeCell ref="G14:H14"/>
    <mergeCell ref="K18:L18"/>
    <mergeCell ref="E14:F14"/>
    <mergeCell ref="K19:L19"/>
    <mergeCell ref="K20:L20"/>
    <mergeCell ref="M9:M17"/>
    <mergeCell ref="A61:M65"/>
    <mergeCell ref="F51:G51"/>
    <mergeCell ref="K56:L56"/>
    <mergeCell ref="K59:L59"/>
    <mergeCell ref="K57:L57"/>
    <mergeCell ref="N52:N53"/>
    <mergeCell ref="C14:D14"/>
    <mergeCell ref="K14:L14"/>
    <mergeCell ref="K21:L21"/>
    <mergeCell ref="A22:C24"/>
    <mergeCell ref="K23:L23"/>
    <mergeCell ref="I28:K29"/>
    <mergeCell ref="K48:M48"/>
    <mergeCell ref="K54:L54"/>
    <mergeCell ref="K52:L52"/>
  </mergeCells>
  <conditionalFormatting sqref="F51:G51">
    <cfRule type="cellIs" priority="12" dxfId="0" operator="equal" stopIfTrue="1">
      <formula>" "</formula>
    </cfRule>
  </conditionalFormatting>
  <conditionalFormatting sqref="K6">
    <cfRule type="cellIs" priority="13" dxfId="14" operator="greaterThan" stopIfTrue="1">
      <formula>0</formula>
    </cfRule>
  </conditionalFormatting>
  <conditionalFormatting sqref="K59:L59 K54:L54">
    <cfRule type="cellIs" priority="14" dxfId="154" operator="greaterThan" stopIfTrue="1">
      <formula>0</formula>
    </cfRule>
  </conditionalFormatting>
  <conditionalFormatting sqref="K52:L52">
    <cfRule type="cellIs" priority="16" dxfId="155" operator="notEqual" stopIfTrue="1">
      <formula>" "</formula>
    </cfRule>
  </conditionalFormatting>
  <conditionalFormatting sqref="K14:L14">
    <cfRule type="cellIs" priority="17" dxfId="156" operator="greaterThan" stopIfTrue="1">
      <formula>0</formula>
    </cfRule>
  </conditionalFormatting>
  <conditionalFormatting sqref="J40:K40">
    <cfRule type="expression" priority="18" dxfId="10" stopIfTrue="1">
      <formula>$J$40&gt;$N$40</formula>
    </cfRule>
  </conditionalFormatting>
  <conditionalFormatting sqref="C10">
    <cfRule type="cellIs" priority="19" dxfId="157" operator="notEqual" stopIfTrue="1">
      <formula>0</formula>
    </cfRule>
  </conditionalFormatting>
  <conditionalFormatting sqref="K56:L56">
    <cfRule type="cellIs" priority="20" dxfId="158" operator="notEqual" stopIfTrue="1">
      <formula>" "</formula>
    </cfRule>
  </conditionalFormatting>
  <conditionalFormatting sqref="K57:L57">
    <cfRule type="expression" priority="11" dxfId="159" stopIfTrue="1">
      <formula>$K$57&lt;&gt;" "</formula>
    </cfRule>
  </conditionalFormatting>
  <conditionalFormatting sqref="F57">
    <cfRule type="cellIs" priority="10" dxfId="160" operator="notEqual" stopIfTrue="1">
      <formula>0</formula>
    </cfRule>
  </conditionalFormatting>
  <conditionalFormatting sqref="O57">
    <cfRule type="expression" priority="9" dxfId="161" stopIfTrue="1">
      <formula>$O$57&gt;$F$57</formula>
    </cfRule>
  </conditionalFormatting>
  <conditionalFormatting sqref="A22">
    <cfRule type="expression" priority="7" dxfId="162" stopIfTrue="1">
      <formula>$N$23=2</formula>
    </cfRule>
    <cfRule type="expression" priority="8" dxfId="163" stopIfTrue="1">
      <formula>$N$23=3</formula>
    </cfRule>
  </conditionalFormatting>
  <conditionalFormatting sqref="M23">
    <cfRule type="cellIs" priority="3" dxfId="0" operator="equal" stopIfTrue="1">
      <formula>0</formula>
    </cfRule>
  </conditionalFormatting>
  <conditionalFormatting sqref="M52">
    <cfRule type="cellIs" priority="2" dxfId="0" operator="equal" stopIfTrue="1">
      <formula>0</formula>
    </cfRule>
  </conditionalFormatting>
  <conditionalFormatting sqref="M57">
    <cfRule type="cellIs" priority="1" dxfId="0" operator="equal" stopIfTrue="1">
      <formula>0</formula>
    </cfRule>
  </conditionalFormatting>
  <dataValidations count="6">
    <dataValidation type="decimal" allowBlank="1" showInputMessage="1" showErrorMessage="1" error="soviel gibt es nicht !!" sqref="K52:L52">
      <formula1>0</formula1>
      <formula2>O51</formula2>
    </dataValidation>
    <dataValidation type="whole" allowBlank="1" showInputMessage="1" showErrorMessage="1" prompt="zu zählen sind PC u. Laptop im Unterricht, auch interaktive Tafeln;&#10;Nicht aber Server, PC für Verwaltung und Lehrer(-Vorbereitung) .." error="erst ab 6 Geräten gibt's was!" sqref="C50">
      <formula1>1</formula1>
      <formula2>999</formula2>
    </dataValidation>
    <dataValidation allowBlank="1" showInputMessage="1" showErrorMessage="1" prompt="Eingabe muss übereinstimmen &#10;mit Zeile 23 im Blatt &quot;Betreuung&quot;" sqref="J40"/>
    <dataValidation type="decimal" allowBlank="1" showInputMessage="1" showErrorMessage="1" error="bitte gültige Zahl eingeben!" sqref="K54:L54 K59:L59">
      <formula1>0</formula1>
      <formula2>222</formula2>
    </dataValidation>
    <dataValidation type="whole" allowBlank="1" showInputMessage="1" showErrorMessage="1" prompt="Hier als x 80 hochgerechnete Ganzzahl eingeben  = als Verwaltungsstunden fürs Ganzjahr" error="Bitte gültige Ganzzahl eingeben!" sqref="F57">
      <formula1>0</formula1>
      <formula2>P56</formula2>
    </dataValidation>
    <dataValidation type="decimal" allowBlank="1" showInputMessage="1" showErrorMessage="1" error="bitte gültige Zahl eingeben!" sqref="K21:L21">
      <formula1>-22</formula1>
      <formula2>222</formula2>
    </dataValidation>
  </dataValidations>
  <printOptions horizontalCentered="1" verticalCentered="1"/>
  <pageMargins left="0.4724409448818898" right="0.3937007874015748" top="0.5511811023622047" bottom="0.6299212598425197" header="0.35433070866141736" footer="0.4724409448818898"/>
  <pageSetup fitToHeight="1" fitToWidth="1" horizontalDpi="600" verticalDpi="600" orientation="portrait" paperSize="9" r:id="rId4"/>
  <headerFooter alignWithMargins="0">
    <oddFooter>&amp;C&amp;8&amp;F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>
    <tabColor indexed="42"/>
    <pageSetUpPr fitToPage="1"/>
  </sheetPr>
  <dimension ref="A1:S50"/>
  <sheetViews>
    <sheetView showGridLines="0" showZeros="0" zoomScale="67" zoomScaleNormal="67" zoomScalePageLayoutView="0" workbookViewId="0" topLeftCell="A2">
      <selection activeCell="A11" sqref="A11"/>
    </sheetView>
  </sheetViews>
  <sheetFormatPr defaultColWidth="11.57421875" defaultRowHeight="12.75" zeroHeight="1"/>
  <cols>
    <col min="1" max="1" width="3.7109375" style="293" customWidth="1"/>
    <col min="2" max="2" width="9.00390625" style="293" customWidth="1"/>
    <col min="3" max="3" width="14.00390625" style="293" customWidth="1"/>
    <col min="4" max="4" width="16.57421875" style="293" customWidth="1"/>
    <col min="5" max="5" width="8.140625" style="293" customWidth="1"/>
    <col min="6" max="6" width="7.7109375" style="293" customWidth="1"/>
    <col min="7" max="7" width="6.7109375" style="293" customWidth="1"/>
    <col min="8" max="8" width="1.7109375" style="293" customWidth="1"/>
    <col min="9" max="9" width="2.7109375" style="293" customWidth="1"/>
    <col min="10" max="10" width="6.7109375" style="293" customWidth="1"/>
    <col min="11" max="14" width="7.7109375" style="293" customWidth="1"/>
    <col min="15" max="15" width="8.00390625" style="293" customWidth="1"/>
    <col min="16" max="17" width="11.421875" style="295" customWidth="1"/>
    <col min="18" max="19" width="11.421875" style="294" customWidth="1"/>
    <col min="20" max="33" width="11.421875" style="293" customWidth="1"/>
    <col min="34" max="16384" width="11.57421875" style="293" customWidth="1"/>
  </cols>
  <sheetData>
    <row r="1" spans="1:19" s="400" customFormat="1" ht="11.25">
      <c r="A1" s="418"/>
      <c r="P1" s="295"/>
      <c r="Q1" s="295"/>
      <c r="R1" s="294"/>
      <c r="S1" s="294"/>
    </row>
    <row r="2" spans="1:19" ht="27.75">
      <c r="A2" s="417" t="s">
        <v>262</v>
      </c>
      <c r="B2" s="416"/>
      <c r="C2" s="416"/>
      <c r="D2" s="416"/>
      <c r="E2" s="416"/>
      <c r="F2" s="416"/>
      <c r="G2" s="416"/>
      <c r="H2" s="416"/>
      <c r="I2" s="1"/>
      <c r="J2" s="416"/>
      <c r="K2" s="1"/>
      <c r="L2" s="1"/>
      <c r="N2" s="415" t="s">
        <v>261</v>
      </c>
      <c r="O2" s="380"/>
      <c r="P2" s="379"/>
      <c r="Q2" s="379"/>
      <c r="R2" s="378"/>
      <c r="S2" s="378"/>
    </row>
    <row r="3" spans="1:19" s="411" customFormat="1" ht="10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O3" s="414"/>
      <c r="P3" s="413"/>
      <c r="Q3" s="413"/>
      <c r="R3" s="412"/>
      <c r="S3" s="412"/>
    </row>
    <row r="4" spans="1:19" ht="20.25">
      <c r="A4" s="1"/>
      <c r="B4" s="4"/>
      <c r="C4" s="4"/>
      <c r="D4" s="410" t="s">
        <v>260</v>
      </c>
      <c r="E4" s="554" t="str">
        <f>KontiN!E8</f>
        <v>PS  . . .</v>
      </c>
      <c r="O4" s="380"/>
      <c r="P4" s="379"/>
      <c r="Q4" s="379"/>
      <c r="R4" s="378"/>
      <c r="S4" s="378"/>
    </row>
    <row r="5" spans="1:19" s="371" customFormat="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O5" s="409"/>
      <c r="P5" s="408"/>
      <c r="Q5" s="408"/>
      <c r="R5" s="407"/>
      <c r="S5" s="407"/>
    </row>
    <row r="6" spans="1:19" ht="20.25">
      <c r="A6" s="3"/>
      <c r="B6" s="1"/>
      <c r="C6" s="1"/>
      <c r="D6" s="406" t="s">
        <v>259</v>
      </c>
      <c r="E6" s="405">
        <f>KontiN!E18</f>
        <v>0</v>
      </c>
      <c r="F6" s="1"/>
      <c r="G6" s="1"/>
      <c r="H6" s="1"/>
      <c r="I6" s="403" t="s">
        <v>4</v>
      </c>
      <c r="J6" s="402">
        <f>KontiN!E20</f>
        <v>0</v>
      </c>
      <c r="K6" s="96" t="s">
        <v>258</v>
      </c>
      <c r="O6" s="380"/>
      <c r="P6" s="379"/>
      <c r="Q6" s="379"/>
      <c r="R6" s="378"/>
      <c r="S6" s="378"/>
    </row>
    <row r="7" spans="1:19" ht="20.25">
      <c r="A7" s="3"/>
      <c r="B7" s="1"/>
      <c r="C7" s="1"/>
      <c r="D7" s="1"/>
      <c r="E7" s="1"/>
      <c r="F7" s="1"/>
      <c r="G7" s="1"/>
      <c r="H7" s="404"/>
      <c r="I7" s="403" t="s">
        <v>257</v>
      </c>
      <c r="J7" s="402">
        <f>KontiN!F19</f>
        <v>0</v>
      </c>
      <c r="K7" s="96" t="s">
        <v>256</v>
      </c>
      <c r="O7" s="380"/>
      <c r="P7" s="379"/>
      <c r="Q7" s="379"/>
      <c r="R7" s="378"/>
      <c r="S7" s="378"/>
    </row>
    <row r="8" spans="1:19" s="400" customFormat="1" ht="4.5" customHeight="1">
      <c r="A8" s="86"/>
      <c r="B8" s="86"/>
      <c r="C8" s="86"/>
      <c r="D8" s="86"/>
      <c r="E8" s="86"/>
      <c r="F8" s="86"/>
      <c r="G8" s="86"/>
      <c r="H8" s="86"/>
      <c r="O8" s="401"/>
      <c r="P8" s="295"/>
      <c r="Q8" s="295"/>
      <c r="R8" s="294"/>
      <c r="S8" s="294"/>
    </row>
    <row r="9" spans="1:19" ht="20.25">
      <c r="A9" s="399"/>
      <c r="B9" s="5"/>
      <c r="C9" s="5"/>
      <c r="D9" s="398"/>
      <c r="E9" s="397" t="s">
        <v>255</v>
      </c>
      <c r="F9" s="896">
        <f>KontiN!K23+KontiN!M23</f>
        <v>0</v>
      </c>
      <c r="G9" s="897"/>
      <c r="H9" s="96" t="s">
        <v>254</v>
      </c>
      <c r="I9" s="5"/>
      <c r="J9" s="5"/>
      <c r="K9" s="5"/>
      <c r="L9" s="5"/>
      <c r="O9" s="386"/>
      <c r="P9" s="379"/>
      <c r="Q9" s="379"/>
      <c r="R9" s="378"/>
      <c r="S9" s="378"/>
    </row>
    <row r="10" spans="7:19" ht="14.25">
      <c r="G10" s="386"/>
      <c r="H10" s="386"/>
      <c r="I10" s="386"/>
      <c r="J10" s="385"/>
      <c r="O10" s="380"/>
      <c r="P10" s="379"/>
      <c r="Q10" s="379"/>
      <c r="R10" s="378"/>
      <c r="S10" s="378"/>
    </row>
    <row r="11" spans="2:6" s="311" customFormat="1" ht="20.25">
      <c r="B11" s="396"/>
      <c r="F11" s="395" t="s">
        <v>253</v>
      </c>
    </row>
    <row r="12" spans="1:14" s="391" customFormat="1" ht="20.25">
      <c r="A12" s="376"/>
      <c r="B12" s="303"/>
      <c r="D12" s="394" t="s">
        <v>252</v>
      </c>
      <c r="F12" s="390" t="s">
        <v>251</v>
      </c>
      <c r="G12" s="393"/>
      <c r="K12" s="392"/>
      <c r="L12" s="392"/>
      <c r="M12" s="392"/>
      <c r="N12" s="392"/>
    </row>
    <row r="13" s="313" customFormat="1" ht="4.5" customHeight="1">
      <c r="O13" s="314"/>
    </row>
    <row r="14" spans="1:13" s="311" customFormat="1" ht="20.25">
      <c r="A14" s="376"/>
      <c r="E14" s="390" t="s">
        <v>250</v>
      </c>
      <c r="F14" s="389"/>
      <c r="G14" s="392"/>
      <c r="H14" s="392"/>
      <c r="I14" s="391"/>
      <c r="J14" s="1"/>
      <c r="K14" s="1"/>
      <c r="L14" s="390" t="s">
        <v>249</v>
      </c>
      <c r="M14" s="389"/>
    </row>
    <row r="15" spans="7:19" ht="7.5" customHeight="1">
      <c r="G15" s="386"/>
      <c r="H15" s="386"/>
      <c r="I15" s="386"/>
      <c r="J15" s="385"/>
      <c r="O15" s="380"/>
      <c r="P15" s="379"/>
      <c r="Q15" s="379"/>
      <c r="R15" s="378"/>
      <c r="S15" s="378"/>
    </row>
    <row r="16" spans="1:19" ht="33">
      <c r="A16" s="388"/>
      <c r="G16" s="386"/>
      <c r="H16" s="387" t="s">
        <v>248</v>
      </c>
      <c r="I16" s="386"/>
      <c r="J16" s="385"/>
      <c r="K16" s="324" t="s">
        <v>247</v>
      </c>
      <c r="O16" s="380"/>
      <c r="P16" s="379"/>
      <c r="Q16" s="379"/>
      <c r="R16" s="378"/>
      <c r="S16" s="378"/>
    </row>
    <row r="17" spans="1:19" ht="20.25">
      <c r="A17" s="376"/>
      <c r="G17" s="1"/>
      <c r="H17" s="372" t="s">
        <v>246</v>
      </c>
      <c r="I17" s="898">
        <f>SUM(KontiN!K52,KontiN!M52)</f>
        <v>0</v>
      </c>
      <c r="J17" s="899"/>
      <c r="K17" s="371" t="s">
        <v>244</v>
      </c>
      <c r="N17" s="384" t="str">
        <f>IF(I17&lt;&gt;" ",KontiN!C51&amp;" Geräte",)</f>
        <v> Geräte</v>
      </c>
      <c r="O17" s="380"/>
      <c r="P17" s="379"/>
      <c r="Q17" s="379"/>
      <c r="R17" s="378"/>
      <c r="S17" s="378"/>
    </row>
    <row r="18" s="377" customFormat="1" ht="4.5" customHeight="1" hidden="1"/>
    <row r="19" spans="1:11" s="374" customFormat="1" ht="20.25" customHeight="1" hidden="1">
      <c r="A19" s="376"/>
      <c r="B19" s="293"/>
      <c r="C19" s="293"/>
      <c r="D19" s="293"/>
      <c r="E19" s="293"/>
      <c r="F19" s="293"/>
      <c r="G19" s="1"/>
      <c r="H19" s="372" t="s">
        <v>27</v>
      </c>
      <c r="I19" s="912">
        <f>KontiN!K54</f>
        <v>0</v>
      </c>
      <c r="J19" s="913"/>
      <c r="K19" s="371" t="s">
        <v>244</v>
      </c>
    </row>
    <row r="20" s="377" customFormat="1" ht="4.5" customHeight="1"/>
    <row r="21" spans="1:19" ht="20.25">
      <c r="A21" s="376"/>
      <c r="B21" s="383" t="s">
        <v>356</v>
      </c>
      <c r="C21" s="374"/>
      <c r="D21" s="374"/>
      <c r="E21" s="382"/>
      <c r="F21" s="374"/>
      <c r="H21" s="381" t="str">
        <f>IF(I21&gt;0,"für bis zu  "&amp;GTS!C6+Klassen!AK18&amp;" Schüler in Lernzeiten … ","Lernzeiten: ")</f>
        <v>Lernzeiten: </v>
      </c>
      <c r="I21" s="918">
        <f>ROUNDUP(GTS!D39*(100-KontiN!N22)/100,1)</f>
        <v>0</v>
      </c>
      <c r="J21" s="919"/>
      <c r="K21" s="371" t="s">
        <v>244</v>
      </c>
      <c r="O21" s="800">
        <f>ROUNDUP(GTS!D39*(100-KontiN!N22)/100,1)-GTS!D39</f>
        <v>0</v>
      </c>
      <c r="P21" s="379"/>
      <c r="Q21" s="379"/>
      <c r="R21" s="378"/>
      <c r="S21" s="378"/>
    </row>
    <row r="22" s="377" customFormat="1" ht="4.5" customHeight="1"/>
    <row r="23" spans="1:11" ht="20.25" hidden="1">
      <c r="A23" s="376"/>
      <c r="B23" s="1"/>
      <c r="C23" s="375" t="s">
        <v>245</v>
      </c>
      <c r="D23" s="374"/>
      <c r="E23" s="374"/>
      <c r="F23" s="303"/>
      <c r="G23" s="373">
        <f>KontiN!E58</f>
        <v>0</v>
      </c>
      <c r="H23" s="372"/>
      <c r="I23" s="912">
        <f>KontiN!K58</f>
        <v>0</v>
      </c>
      <c r="J23" s="913"/>
      <c r="K23" s="371" t="s">
        <v>244</v>
      </c>
    </row>
    <row r="24" spans="5:15" s="311" customFormat="1" ht="18">
      <c r="E24" s="370"/>
      <c r="O24" s="309"/>
    </row>
    <row r="25" spans="1:18" s="360" customFormat="1" ht="33">
      <c r="A25" s="369"/>
      <c r="B25" s="368"/>
      <c r="C25" s="368"/>
      <c r="D25" s="367"/>
      <c r="E25" s="366" t="s">
        <v>243</v>
      </c>
      <c r="F25" s="365" t="str">
        <f>" die zum 1.9."&amp;LEFT(KontiN!F16,4)&amp;" voraussichtl. bei uns unterrichten"</f>
        <v> die zum 1.9.2020 voraussichtl. bei uns unterrichten</v>
      </c>
      <c r="G25" s="364"/>
      <c r="H25" s="364"/>
      <c r="I25" s="364"/>
      <c r="J25" s="364"/>
      <c r="K25" s="364"/>
      <c r="L25" s="364"/>
      <c r="M25" s="364"/>
      <c r="N25" s="363"/>
      <c r="O25" s="362"/>
      <c r="P25" s="362"/>
      <c r="Q25" s="361"/>
      <c r="R25" s="361"/>
    </row>
    <row r="26" spans="1:19" ht="73.5" customHeight="1">
      <c r="A26" s="359"/>
      <c r="B26" s="914" t="s">
        <v>242</v>
      </c>
      <c r="C26" s="914"/>
      <c r="D26" s="915"/>
      <c r="E26" s="358" t="s">
        <v>241</v>
      </c>
      <c r="F26" s="357" t="s">
        <v>240</v>
      </c>
      <c r="G26" s="356" t="s">
        <v>239</v>
      </c>
      <c r="H26" s="342"/>
      <c r="I26" s="341"/>
      <c r="J26" s="355" t="s">
        <v>238</v>
      </c>
      <c r="K26" s="920" t="s">
        <v>237</v>
      </c>
      <c r="L26" s="921"/>
      <c r="M26" s="921"/>
      <c r="N26" s="922"/>
      <c r="P26" s="293"/>
      <c r="Q26" s="293"/>
      <c r="R26" s="293"/>
      <c r="S26" s="293"/>
    </row>
    <row r="27" spans="1:15" s="346" customFormat="1" ht="3.75" customHeight="1" thickBot="1">
      <c r="A27" s="354"/>
      <c r="B27" s="349"/>
      <c r="C27" s="349"/>
      <c r="D27" s="348"/>
      <c r="E27" s="353"/>
      <c r="F27" s="351"/>
      <c r="G27" s="352"/>
      <c r="H27" s="342"/>
      <c r="I27" s="341"/>
      <c r="J27" s="351"/>
      <c r="K27" s="350"/>
      <c r="L27" s="349"/>
      <c r="M27" s="349"/>
      <c r="N27" s="348"/>
      <c r="O27" s="347"/>
    </row>
    <row r="28" spans="1:19" ht="21.75" customHeight="1" thickTop="1">
      <c r="A28" s="906"/>
      <c r="B28" s="907"/>
      <c r="C28" s="907"/>
      <c r="D28" s="908"/>
      <c r="E28" s="345"/>
      <c r="F28" s="344"/>
      <c r="G28" s="343"/>
      <c r="H28" s="342"/>
      <c r="I28" s="341"/>
      <c r="J28" s="340"/>
      <c r="K28" s="909"/>
      <c r="L28" s="910"/>
      <c r="M28" s="910"/>
      <c r="N28" s="911"/>
      <c r="O28" s="337"/>
      <c r="P28" s="293"/>
      <c r="Q28" s="293"/>
      <c r="R28" s="293"/>
      <c r="S28" s="293"/>
    </row>
    <row r="29" spans="1:19" ht="21.75" customHeight="1">
      <c r="A29" s="900"/>
      <c r="B29" s="901"/>
      <c r="C29" s="901"/>
      <c r="D29" s="902"/>
      <c r="E29" s="345"/>
      <c r="F29" s="344"/>
      <c r="G29" s="343"/>
      <c r="H29" s="342"/>
      <c r="I29" s="341"/>
      <c r="J29" s="340"/>
      <c r="K29" s="903"/>
      <c r="L29" s="904"/>
      <c r="M29" s="904"/>
      <c r="N29" s="905"/>
      <c r="O29" s="337"/>
      <c r="P29" s="293"/>
      <c r="Q29" s="293"/>
      <c r="R29" s="293"/>
      <c r="S29" s="293"/>
    </row>
    <row r="30" spans="1:19" ht="21.75" customHeight="1">
      <c r="A30" s="900"/>
      <c r="B30" s="901"/>
      <c r="C30" s="901"/>
      <c r="D30" s="902"/>
      <c r="E30" s="345"/>
      <c r="F30" s="344"/>
      <c r="G30" s="343"/>
      <c r="H30" s="342"/>
      <c r="I30" s="341"/>
      <c r="J30" s="340"/>
      <c r="K30" s="903"/>
      <c r="L30" s="904"/>
      <c r="M30" s="904"/>
      <c r="N30" s="905"/>
      <c r="O30" s="337"/>
      <c r="P30" s="293"/>
      <c r="Q30" s="293"/>
      <c r="R30" s="293"/>
      <c r="S30" s="293"/>
    </row>
    <row r="31" spans="1:19" ht="21.75" customHeight="1">
      <c r="A31" s="900"/>
      <c r="B31" s="901"/>
      <c r="C31" s="901"/>
      <c r="D31" s="902"/>
      <c r="E31" s="345"/>
      <c r="F31" s="344"/>
      <c r="G31" s="343"/>
      <c r="H31" s="342"/>
      <c r="I31" s="341"/>
      <c r="J31" s="340"/>
      <c r="K31" s="903"/>
      <c r="L31" s="904"/>
      <c r="M31" s="904"/>
      <c r="N31" s="905"/>
      <c r="O31" s="337"/>
      <c r="P31" s="293"/>
      <c r="Q31" s="293"/>
      <c r="R31" s="293"/>
      <c r="S31" s="293"/>
    </row>
    <row r="32" spans="1:19" ht="21.75" customHeight="1">
      <c r="A32" s="926"/>
      <c r="B32" s="926"/>
      <c r="C32" s="926"/>
      <c r="D32" s="926"/>
      <c r="E32" s="339"/>
      <c r="F32" s="339"/>
      <c r="G32" s="339"/>
      <c r="H32" s="306"/>
      <c r="I32" s="306"/>
      <c r="J32" s="338"/>
      <c r="K32" s="927"/>
      <c r="L32" s="927"/>
      <c r="M32" s="927"/>
      <c r="N32" s="927"/>
      <c r="O32" s="337"/>
      <c r="P32" s="293"/>
      <c r="Q32" s="293"/>
      <c r="R32" s="293"/>
      <c r="S32" s="293"/>
    </row>
    <row r="33" spans="2:19" ht="9" customHeight="1"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03"/>
      <c r="P33" s="335"/>
      <c r="Q33" s="335"/>
      <c r="R33" s="334"/>
      <c r="S33" s="334"/>
    </row>
    <row r="34" spans="1:14" s="311" customFormat="1" ht="18">
      <c r="A34" s="333" t="s">
        <v>236</v>
      </c>
      <c r="K34" s="332" t="s">
        <v>235</v>
      </c>
      <c r="N34" s="331"/>
    </row>
    <row r="35" spans="2:19" s="326" customFormat="1" ht="8.25">
      <c r="B35" s="330"/>
      <c r="C35" s="330"/>
      <c r="H35" s="330"/>
      <c r="L35" s="329"/>
      <c r="M35" s="329"/>
      <c r="N35" s="329"/>
      <c r="P35" s="328"/>
      <c r="Q35" s="328"/>
      <c r="R35" s="327"/>
      <c r="S35" s="327"/>
    </row>
    <row r="36" spans="1:19" s="315" customFormat="1" ht="18.75">
      <c r="A36" s="315" t="s">
        <v>234</v>
      </c>
      <c r="B36" s="325"/>
      <c r="C36" s="325"/>
      <c r="D36" s="916"/>
      <c r="E36" s="917"/>
      <c r="F36" s="917"/>
      <c r="G36" s="917"/>
      <c r="H36" s="917"/>
      <c r="J36" s="324"/>
      <c r="K36" s="323" t="s">
        <v>233</v>
      </c>
      <c r="L36" s="322" t="s">
        <v>232</v>
      </c>
      <c r="M36" s="322" t="s">
        <v>231</v>
      </c>
      <c r="N36" s="322" t="s">
        <v>230</v>
      </c>
      <c r="P36" s="317"/>
      <c r="Q36" s="317"/>
      <c r="R36" s="316"/>
      <c r="S36" s="316"/>
    </row>
    <row r="37" spans="1:19" s="315" customFormat="1" ht="18">
      <c r="A37" s="321"/>
      <c r="B37" s="318"/>
      <c r="C37" s="318"/>
      <c r="D37" s="917"/>
      <c r="E37" s="917"/>
      <c r="F37" s="917"/>
      <c r="G37" s="917"/>
      <c r="H37" s="917"/>
      <c r="K37" s="320" t="s">
        <v>229</v>
      </c>
      <c r="L37" s="319"/>
      <c r="M37" s="319"/>
      <c r="N37" s="319"/>
      <c r="P37" s="317"/>
      <c r="Q37" s="317"/>
      <c r="R37" s="316"/>
      <c r="S37" s="316"/>
    </row>
    <row r="38" spans="1:19" s="315" customFormat="1" ht="14.25">
      <c r="A38" s="318"/>
      <c r="B38" s="318"/>
      <c r="C38" s="318"/>
      <c r="D38" s="917"/>
      <c r="E38" s="917"/>
      <c r="F38" s="917"/>
      <c r="G38" s="917"/>
      <c r="H38" s="917"/>
      <c r="I38" s="318"/>
      <c r="J38" s="318"/>
      <c r="K38" s="318"/>
      <c r="L38" s="318"/>
      <c r="M38" s="318"/>
      <c r="N38" s="318"/>
      <c r="P38" s="317"/>
      <c r="Q38" s="317"/>
      <c r="R38" s="316"/>
      <c r="S38" s="316"/>
    </row>
    <row r="39" spans="1:19" s="315" customFormat="1" ht="14.25">
      <c r="A39" s="315" t="s">
        <v>228</v>
      </c>
      <c r="B39" s="318"/>
      <c r="C39" s="318"/>
      <c r="D39" s="916"/>
      <c r="E39" s="917"/>
      <c r="F39" s="917"/>
      <c r="G39" s="917"/>
      <c r="H39" s="917"/>
      <c r="I39" s="917"/>
      <c r="J39" s="917"/>
      <c r="K39" s="917"/>
      <c r="L39" s="917"/>
      <c r="P39" s="317"/>
      <c r="Q39" s="317"/>
      <c r="R39" s="316"/>
      <c r="S39" s="316"/>
    </row>
    <row r="40" spans="2:19" s="315" customFormat="1" ht="14.25">
      <c r="B40" s="318"/>
      <c r="C40" s="318"/>
      <c r="D40" s="917"/>
      <c r="E40" s="917"/>
      <c r="F40" s="917"/>
      <c r="G40" s="917"/>
      <c r="H40" s="917"/>
      <c r="I40" s="917"/>
      <c r="J40" s="917"/>
      <c r="K40" s="917"/>
      <c r="L40" s="917"/>
      <c r="P40" s="317"/>
      <c r="Q40" s="317"/>
      <c r="R40" s="316"/>
      <c r="S40" s="316"/>
    </row>
    <row r="41" spans="1:19" s="315" customFormat="1" ht="14.25">
      <c r="A41" s="315" t="s">
        <v>227</v>
      </c>
      <c r="B41" s="318"/>
      <c r="C41" s="318"/>
      <c r="D41" s="916"/>
      <c r="E41" s="917"/>
      <c r="F41" s="917"/>
      <c r="G41" s="917"/>
      <c r="H41" s="917"/>
      <c r="I41" s="917"/>
      <c r="J41" s="917"/>
      <c r="K41" s="917"/>
      <c r="L41" s="917"/>
      <c r="P41" s="317"/>
      <c r="Q41" s="317"/>
      <c r="R41" s="316"/>
      <c r="S41" s="316"/>
    </row>
    <row r="42" spans="4:15" s="313" customFormat="1" ht="8.25">
      <c r="D42" s="917"/>
      <c r="E42" s="917"/>
      <c r="F42" s="917"/>
      <c r="G42" s="917"/>
      <c r="H42" s="917"/>
      <c r="I42" s="917"/>
      <c r="J42" s="917"/>
      <c r="K42" s="917"/>
      <c r="L42" s="917"/>
      <c r="O42" s="314"/>
    </row>
    <row r="43" spans="1:14" s="311" customFormat="1" ht="18">
      <c r="A43" s="312" t="s">
        <v>226</v>
      </c>
      <c r="D43" s="309"/>
      <c r="E43" s="924"/>
      <c r="F43" s="925"/>
      <c r="G43" s="925"/>
      <c r="H43" s="925"/>
      <c r="I43" s="925"/>
      <c r="J43" s="925"/>
      <c r="K43" s="925"/>
      <c r="L43" s="925"/>
      <c r="M43" s="925"/>
      <c r="N43" s="925"/>
    </row>
    <row r="44" spans="1:15" s="307" customFormat="1" ht="18">
      <c r="A44" s="310"/>
      <c r="D44" s="309" t="s">
        <v>225</v>
      </c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308"/>
    </row>
    <row r="45" spans="5:14" s="307" customFormat="1" ht="11.25" customHeight="1">
      <c r="E45" s="925"/>
      <c r="F45" s="925"/>
      <c r="G45" s="925"/>
      <c r="H45" s="925"/>
      <c r="I45" s="925"/>
      <c r="J45" s="925"/>
      <c r="K45" s="925"/>
      <c r="L45" s="925"/>
      <c r="M45" s="925"/>
      <c r="N45" s="925"/>
    </row>
    <row r="46" spans="1:14" s="306" customFormat="1" ht="90" customHeight="1">
      <c r="A46" s="923"/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</row>
    <row r="47" spans="1:14" s="568" customFormat="1" ht="20.25">
      <c r="A47" s="923"/>
      <c r="B47" s="923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</row>
    <row r="48" spans="1:19" ht="14.25">
      <c r="A48" s="923"/>
      <c r="B48" s="923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P48" s="379"/>
      <c r="Q48" s="379"/>
      <c r="R48" s="378"/>
      <c r="S48" s="378"/>
    </row>
    <row r="49" spans="1:19" s="563" customFormat="1" ht="18">
      <c r="A49" s="562"/>
      <c r="B49" s="562"/>
      <c r="C49" s="562"/>
      <c r="D49" s="562"/>
      <c r="L49" s="564"/>
      <c r="M49" s="305">
        <f ca="1">IF(F9&gt;0,TODAY(),)</f>
        <v>0</v>
      </c>
      <c r="N49" s="565"/>
      <c r="O49" s="564"/>
      <c r="P49" s="566"/>
      <c r="Q49" s="566"/>
      <c r="R49" s="567"/>
      <c r="S49" s="567"/>
    </row>
    <row r="50" spans="1:19" s="296" customFormat="1" ht="12">
      <c r="A50" s="298"/>
      <c r="B50" s="298"/>
      <c r="C50" s="300" t="s">
        <v>224</v>
      </c>
      <c r="D50" s="299" t="s">
        <v>223</v>
      </c>
      <c r="E50" s="298"/>
      <c r="L50" s="297"/>
      <c r="M50" s="298" t="s">
        <v>16</v>
      </c>
      <c r="N50" s="298"/>
      <c r="O50" s="297"/>
      <c r="P50" s="295"/>
      <c r="Q50" s="295"/>
      <c r="R50" s="294"/>
      <c r="S50" s="294"/>
    </row>
    <row r="51" ht="14.25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</sheetData>
  <sheetProtection password="C560" sheet="1" objects="1" scenarios="1"/>
  <mergeCells count="22">
    <mergeCell ref="A30:D30"/>
    <mergeCell ref="K30:N30"/>
    <mergeCell ref="D36:H38"/>
    <mergeCell ref="D39:L40"/>
    <mergeCell ref="I21:J21"/>
    <mergeCell ref="K26:N26"/>
    <mergeCell ref="A46:N48"/>
    <mergeCell ref="I23:J23"/>
    <mergeCell ref="D41:L42"/>
    <mergeCell ref="E43:N45"/>
    <mergeCell ref="A32:D32"/>
    <mergeCell ref="K32:N32"/>
    <mergeCell ref="F9:G9"/>
    <mergeCell ref="I17:J17"/>
    <mergeCell ref="A31:D31"/>
    <mergeCell ref="K31:N31"/>
    <mergeCell ref="A29:D29"/>
    <mergeCell ref="K29:N29"/>
    <mergeCell ref="A28:D28"/>
    <mergeCell ref="K28:N28"/>
    <mergeCell ref="I19:J19"/>
    <mergeCell ref="B26:D26"/>
  </mergeCells>
  <dataValidations count="2">
    <dataValidation type="decimal" allowBlank="1" showInputMessage="1" showErrorMessage="1" error="bitte gültige Zahl eingeben!" sqref="M14 G12 F14">
      <formula1>0</formula1>
      <formula2>99</formula2>
    </dataValidation>
    <dataValidation type="decimal" allowBlank="1" showInputMessage="1" showErrorMessage="1" error="bitte Zahl eingeben!" sqref="J28:J32 E28:G32">
      <formula1>0</formula1>
      <formula2>33</formula2>
    </dataValidation>
  </dataValidations>
  <printOptions/>
  <pageMargins left="0.5905511811023623" right="0.47" top="0.3937007874015748" bottom="0.33" header="0.31496062992125984" footer="0.45"/>
  <pageSetup fitToHeight="1" fitToWidth="1" horizontalDpi="600" verticalDpi="600" orientation="portrait" paperSize="9" scale="87" r:id="rId4"/>
  <headerFooter alignWithMargins="0">
    <oddFooter>&amp;C&amp;5                                                             &amp;A von:  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indexed="43"/>
    <pageSetUpPr fitToPage="1"/>
  </sheetPr>
  <dimension ref="A1:Q45"/>
  <sheetViews>
    <sheetView showGridLines="0" showZeros="0" zoomScale="67" zoomScaleNormal="67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57421875" defaultRowHeight="12.75" zeroHeight="1"/>
  <cols>
    <col min="1" max="1" width="37.57421875" style="293" customWidth="1"/>
    <col min="2" max="2" width="1.8515625" style="293" customWidth="1"/>
    <col min="3" max="3" width="6.7109375" style="293" customWidth="1"/>
    <col min="4" max="4" width="6.57421875" style="293" customWidth="1"/>
    <col min="5" max="5" width="8.421875" style="293" customWidth="1"/>
    <col min="6" max="7" width="4.7109375" style="293" customWidth="1"/>
    <col min="8" max="8" width="1.7109375" style="324" customWidth="1"/>
    <col min="9" max="9" width="5.8515625" style="293" customWidth="1"/>
    <col min="10" max="11" width="5.421875" style="293" customWidth="1"/>
    <col min="12" max="12" width="1.57421875" style="293" customWidth="1"/>
    <col min="13" max="13" width="8.00390625" style="293" customWidth="1"/>
    <col min="14" max="14" width="10.00390625" style="293" customWidth="1"/>
    <col min="15" max="15" width="11.00390625" style="293" customWidth="1"/>
    <col min="16" max="16" width="2.00390625" style="295" customWidth="1"/>
    <col min="17" max="243" width="11.421875" style="293" customWidth="1"/>
    <col min="244" max="16384" width="11.57421875" style="293" customWidth="1"/>
  </cols>
  <sheetData>
    <row r="1" spans="1:16" s="411" customFormat="1" ht="30">
      <c r="A1" s="492" t="str">
        <f>'Bed S1'!E4</f>
        <v>PS  . . .</v>
      </c>
      <c r="B1" s="491"/>
      <c r="C1" s="293"/>
      <c r="D1" s="293"/>
      <c r="E1" s="490"/>
      <c r="F1" s="490"/>
      <c r="G1" s="490"/>
      <c r="H1" s="489"/>
      <c r="I1" s="488"/>
      <c r="J1" s="488"/>
      <c r="K1" s="488"/>
      <c r="O1" s="487" t="s">
        <v>276</v>
      </c>
      <c r="P1" s="413"/>
    </row>
    <row r="2" spans="1:16" s="482" customFormat="1" ht="20.25">
      <c r="A2" s="486"/>
      <c r="B2" s="485"/>
      <c r="C2" s="425">
        <f>33-COUNTBLANK(C6:C38)</f>
        <v>1</v>
      </c>
      <c r="D2" s="425">
        <f>33-COUNTBLANK(D6:D38)</f>
        <v>0</v>
      </c>
      <c r="E2" s="484"/>
      <c r="F2" s="425">
        <f>33-COUNTBLANK(F6:F38)</f>
        <v>0</v>
      </c>
      <c r="G2" s="425">
        <f>33-COUNTBLANK(G6:G38)</f>
        <v>0</v>
      </c>
      <c r="H2" s="315"/>
      <c r="P2" s="483"/>
    </row>
    <row r="3" spans="1:16" ht="25.5">
      <c r="A3" s="481" t="str">
        <f>"Voraussichtlich zum 1.9."&amp;MID(KontiN!F16,3,2)&amp;":"</f>
        <v>Voraussichtlich zum 1.9.20:</v>
      </c>
      <c r="B3" s="480"/>
      <c r="C3" s="479" t="s">
        <v>275</v>
      </c>
      <c r="D3" s="478"/>
      <c r="E3" s="477"/>
      <c r="F3" s="476"/>
      <c r="G3" s="928" t="s">
        <v>274</v>
      </c>
      <c r="H3" s="468"/>
      <c r="I3" s="475" t="s">
        <v>273</v>
      </c>
      <c r="J3" s="475"/>
      <c r="K3" s="474"/>
      <c r="L3" s="341"/>
      <c r="M3" s="475" t="s">
        <v>272</v>
      </c>
      <c r="N3" s="474"/>
      <c r="O3" s="474"/>
      <c r="P3" s="347"/>
    </row>
    <row r="4" spans="1:16" ht="89.25" customHeight="1">
      <c r="A4" s="473" t="s">
        <v>271</v>
      </c>
      <c r="B4" s="472"/>
      <c r="C4" s="471" t="s">
        <v>270</v>
      </c>
      <c r="D4" s="471" t="s">
        <v>269</v>
      </c>
      <c r="E4" s="470" t="s">
        <v>268</v>
      </c>
      <c r="F4" s="469" t="s">
        <v>267</v>
      </c>
      <c r="G4" s="929"/>
      <c r="H4" s="468"/>
      <c r="I4" s="467" t="s">
        <v>241</v>
      </c>
      <c r="J4" s="466" t="s">
        <v>240</v>
      </c>
      <c r="K4" s="356" t="s">
        <v>239</v>
      </c>
      <c r="L4" s="341"/>
      <c r="M4" s="465" t="s">
        <v>266</v>
      </c>
      <c r="N4" s="464" t="s">
        <v>265</v>
      </c>
      <c r="O4" s="463" t="s">
        <v>264</v>
      </c>
      <c r="P4" s="293"/>
    </row>
    <row r="5" spans="1:16" s="346" customFormat="1" ht="3.75" customHeight="1" thickBot="1">
      <c r="A5" s="462"/>
      <c r="B5" s="461"/>
      <c r="C5" s="458"/>
      <c r="D5" s="458"/>
      <c r="E5" s="348"/>
      <c r="F5" s="351"/>
      <c r="G5" s="348"/>
      <c r="H5" s="460"/>
      <c r="I5" s="353"/>
      <c r="J5" s="349"/>
      <c r="K5" s="352"/>
      <c r="L5" s="459"/>
      <c r="M5" s="348"/>
      <c r="N5" s="458"/>
      <c r="O5" s="348"/>
      <c r="P5" s="347"/>
    </row>
    <row r="6" spans="1:16" ht="23.25" customHeight="1" thickTop="1">
      <c r="A6" s="457"/>
      <c r="B6" s="456">
        <v>1</v>
      </c>
      <c r="C6" s="455">
        <f>KontiN!H27</f>
        <v>0</v>
      </c>
      <c r="D6" s="454"/>
      <c r="E6" s="453"/>
      <c r="F6" s="453"/>
      <c r="G6" s="452"/>
      <c r="H6" s="434"/>
      <c r="I6" s="444"/>
      <c r="J6" s="443"/>
      <c r="K6" s="442"/>
      <c r="L6" s="451"/>
      <c r="M6" s="450"/>
      <c r="N6" s="441"/>
      <c r="O6" s="440"/>
      <c r="P6" s="427"/>
    </row>
    <row r="7" spans="1:16" ht="23.25" customHeight="1">
      <c r="A7" s="448"/>
      <c r="B7" s="447">
        <f aca="true" t="shared" si="0" ref="B7:B38">B6+1</f>
        <v>2</v>
      </c>
      <c r="C7" s="446"/>
      <c r="D7" s="446"/>
      <c r="E7" s="440"/>
      <c r="F7" s="445"/>
      <c r="G7" s="440"/>
      <c r="H7" s="434">
        <f aca="true" t="shared" si="1" ref="H7:H35">IF(E7&gt;0,SUM(I7:O7),)</f>
        <v>0</v>
      </c>
      <c r="I7" s="444"/>
      <c r="J7" s="443"/>
      <c r="K7" s="442"/>
      <c r="L7" s="431"/>
      <c r="M7" s="440"/>
      <c r="N7" s="441"/>
      <c r="O7" s="440"/>
      <c r="P7" s="427"/>
    </row>
    <row r="8" spans="1:16" ht="23.25" customHeight="1">
      <c r="A8" s="448"/>
      <c r="B8" s="447">
        <f t="shared" si="0"/>
        <v>3</v>
      </c>
      <c r="C8" s="446"/>
      <c r="D8" s="446"/>
      <c r="E8" s="440"/>
      <c r="F8" s="445"/>
      <c r="G8" s="440"/>
      <c r="H8" s="434">
        <f t="shared" si="1"/>
        <v>0</v>
      </c>
      <c r="I8" s="444"/>
      <c r="J8" s="443"/>
      <c r="K8" s="442"/>
      <c r="L8" s="431"/>
      <c r="M8" s="440"/>
      <c r="N8" s="441"/>
      <c r="O8" s="440"/>
      <c r="P8" s="427"/>
    </row>
    <row r="9" spans="1:16" ht="23.25" customHeight="1">
      <c r="A9" s="448"/>
      <c r="B9" s="447">
        <f t="shared" si="0"/>
        <v>4</v>
      </c>
      <c r="C9" s="446"/>
      <c r="D9" s="446"/>
      <c r="E9" s="440"/>
      <c r="F9" s="445"/>
      <c r="G9" s="440"/>
      <c r="H9" s="434">
        <f t="shared" si="1"/>
        <v>0</v>
      </c>
      <c r="I9" s="444"/>
      <c r="J9" s="443"/>
      <c r="K9" s="442"/>
      <c r="L9" s="431"/>
      <c r="M9" s="440"/>
      <c r="N9" s="441"/>
      <c r="O9" s="440"/>
      <c r="P9" s="427"/>
    </row>
    <row r="10" spans="1:16" ht="23.25" customHeight="1">
      <c r="A10" s="449"/>
      <c r="B10" s="438">
        <f t="shared" si="0"/>
        <v>5</v>
      </c>
      <c r="C10" s="437"/>
      <c r="D10" s="437"/>
      <c r="E10" s="435"/>
      <c r="F10" s="436"/>
      <c r="G10" s="435"/>
      <c r="H10" s="434">
        <f t="shared" si="1"/>
        <v>0</v>
      </c>
      <c r="I10" s="430"/>
      <c r="J10" s="433"/>
      <c r="K10" s="432"/>
      <c r="L10" s="431"/>
      <c r="M10" s="430"/>
      <c r="N10" s="429"/>
      <c r="O10" s="428"/>
      <c r="P10" s="427"/>
    </row>
    <row r="11" spans="1:16" ht="23.25" customHeight="1">
      <c r="A11" s="448"/>
      <c r="B11" s="447">
        <f t="shared" si="0"/>
        <v>6</v>
      </c>
      <c r="C11" s="446"/>
      <c r="D11" s="446"/>
      <c r="E11" s="440"/>
      <c r="F11" s="445"/>
      <c r="G11" s="440"/>
      <c r="H11" s="434">
        <f t="shared" si="1"/>
        <v>0</v>
      </c>
      <c r="I11" s="444"/>
      <c r="J11" s="443"/>
      <c r="K11" s="442"/>
      <c r="L11" s="431"/>
      <c r="M11" s="440"/>
      <c r="N11" s="441"/>
      <c r="O11" s="440"/>
      <c r="P11" s="427"/>
    </row>
    <row r="12" spans="1:16" ht="23.25" customHeight="1">
      <c r="A12" s="448"/>
      <c r="B12" s="447">
        <f t="shared" si="0"/>
        <v>7</v>
      </c>
      <c r="C12" s="446"/>
      <c r="D12" s="446"/>
      <c r="E12" s="440"/>
      <c r="F12" s="445"/>
      <c r="G12" s="440"/>
      <c r="H12" s="434">
        <f t="shared" si="1"/>
        <v>0</v>
      </c>
      <c r="I12" s="444"/>
      <c r="J12" s="443"/>
      <c r="K12" s="442"/>
      <c r="L12" s="431"/>
      <c r="M12" s="440"/>
      <c r="N12" s="441"/>
      <c r="O12" s="440"/>
      <c r="P12" s="427"/>
    </row>
    <row r="13" spans="1:16" ht="23.25" customHeight="1">
      <c r="A13" s="449"/>
      <c r="B13" s="438">
        <f t="shared" si="0"/>
        <v>8</v>
      </c>
      <c r="C13" s="437"/>
      <c r="D13" s="437"/>
      <c r="E13" s="435"/>
      <c r="F13" s="436"/>
      <c r="G13" s="435"/>
      <c r="H13" s="434">
        <f t="shared" si="1"/>
        <v>0</v>
      </c>
      <c r="I13" s="430"/>
      <c r="J13" s="433"/>
      <c r="K13" s="432"/>
      <c r="L13" s="431"/>
      <c r="M13" s="430"/>
      <c r="N13" s="429"/>
      <c r="O13" s="428"/>
      <c r="P13" s="427"/>
    </row>
    <row r="14" spans="1:16" ht="23.25" customHeight="1">
      <c r="A14" s="448"/>
      <c r="B14" s="447">
        <f t="shared" si="0"/>
        <v>9</v>
      </c>
      <c r="C14" s="446"/>
      <c r="D14" s="446"/>
      <c r="E14" s="440"/>
      <c r="F14" s="445"/>
      <c r="G14" s="440"/>
      <c r="H14" s="434">
        <f t="shared" si="1"/>
        <v>0</v>
      </c>
      <c r="I14" s="444"/>
      <c r="J14" s="443"/>
      <c r="K14" s="442"/>
      <c r="L14" s="431"/>
      <c r="M14" s="440"/>
      <c r="N14" s="441"/>
      <c r="O14" s="440"/>
      <c r="P14" s="427"/>
    </row>
    <row r="15" spans="1:16" ht="23.25" customHeight="1">
      <c r="A15" s="448"/>
      <c r="B15" s="447">
        <f t="shared" si="0"/>
        <v>10</v>
      </c>
      <c r="C15" s="446"/>
      <c r="D15" s="446"/>
      <c r="E15" s="440"/>
      <c r="F15" s="445"/>
      <c r="G15" s="440"/>
      <c r="H15" s="434">
        <f t="shared" si="1"/>
        <v>0</v>
      </c>
      <c r="I15" s="444"/>
      <c r="J15" s="443"/>
      <c r="K15" s="442"/>
      <c r="L15" s="431"/>
      <c r="M15" s="440"/>
      <c r="N15" s="441"/>
      <c r="O15" s="440"/>
      <c r="P15" s="427"/>
    </row>
    <row r="16" spans="1:16" ht="23.25" customHeight="1">
      <c r="A16" s="448"/>
      <c r="B16" s="447">
        <f t="shared" si="0"/>
        <v>11</v>
      </c>
      <c r="C16" s="446"/>
      <c r="D16" s="446"/>
      <c r="E16" s="440"/>
      <c r="F16" s="445"/>
      <c r="G16" s="440"/>
      <c r="H16" s="434">
        <f t="shared" si="1"/>
        <v>0</v>
      </c>
      <c r="I16" s="444"/>
      <c r="J16" s="443"/>
      <c r="K16" s="442"/>
      <c r="L16" s="431"/>
      <c r="M16" s="440"/>
      <c r="N16" s="441"/>
      <c r="O16" s="440"/>
      <c r="P16" s="427"/>
    </row>
    <row r="17" spans="1:16" ht="23.25" customHeight="1">
      <c r="A17" s="448"/>
      <c r="B17" s="447">
        <f t="shared" si="0"/>
        <v>12</v>
      </c>
      <c r="C17" s="446"/>
      <c r="D17" s="446"/>
      <c r="E17" s="440"/>
      <c r="F17" s="445"/>
      <c r="G17" s="440"/>
      <c r="H17" s="434">
        <f t="shared" si="1"/>
        <v>0</v>
      </c>
      <c r="I17" s="444"/>
      <c r="J17" s="443"/>
      <c r="K17" s="442"/>
      <c r="L17" s="431"/>
      <c r="M17" s="440"/>
      <c r="N17" s="441"/>
      <c r="O17" s="440"/>
      <c r="P17" s="427"/>
    </row>
    <row r="18" spans="1:16" ht="23.25" customHeight="1">
      <c r="A18" s="449"/>
      <c r="B18" s="438">
        <f t="shared" si="0"/>
        <v>13</v>
      </c>
      <c r="C18" s="437"/>
      <c r="D18" s="437"/>
      <c r="E18" s="435"/>
      <c r="F18" s="436"/>
      <c r="G18" s="435"/>
      <c r="H18" s="434">
        <f t="shared" si="1"/>
        <v>0</v>
      </c>
      <c r="I18" s="430"/>
      <c r="J18" s="433"/>
      <c r="K18" s="432"/>
      <c r="L18" s="431"/>
      <c r="M18" s="430"/>
      <c r="N18" s="429"/>
      <c r="O18" s="428"/>
      <c r="P18" s="427"/>
    </row>
    <row r="19" spans="1:16" ht="23.25" customHeight="1">
      <c r="A19" s="448"/>
      <c r="B19" s="447">
        <f t="shared" si="0"/>
        <v>14</v>
      </c>
      <c r="C19" s="446"/>
      <c r="D19" s="446"/>
      <c r="E19" s="440"/>
      <c r="F19" s="445"/>
      <c r="G19" s="440"/>
      <c r="H19" s="434">
        <f t="shared" si="1"/>
        <v>0</v>
      </c>
      <c r="I19" s="444"/>
      <c r="J19" s="443"/>
      <c r="K19" s="442"/>
      <c r="L19" s="431"/>
      <c r="M19" s="440"/>
      <c r="N19" s="441"/>
      <c r="O19" s="440"/>
      <c r="P19" s="427"/>
    </row>
    <row r="20" spans="1:16" ht="23.25" customHeight="1">
      <c r="A20" s="448"/>
      <c r="B20" s="447">
        <f t="shared" si="0"/>
        <v>15</v>
      </c>
      <c r="C20" s="446"/>
      <c r="D20" s="446"/>
      <c r="E20" s="440"/>
      <c r="F20" s="445"/>
      <c r="G20" s="440"/>
      <c r="H20" s="434">
        <f t="shared" si="1"/>
        <v>0</v>
      </c>
      <c r="I20" s="444"/>
      <c r="J20" s="443"/>
      <c r="K20" s="442"/>
      <c r="L20" s="431"/>
      <c r="M20" s="440"/>
      <c r="N20" s="441"/>
      <c r="O20" s="440"/>
      <c r="P20" s="427"/>
    </row>
    <row r="21" spans="1:16" ht="23.25" customHeight="1">
      <c r="A21" s="449"/>
      <c r="B21" s="438">
        <f t="shared" si="0"/>
        <v>16</v>
      </c>
      <c r="C21" s="437"/>
      <c r="D21" s="437"/>
      <c r="E21" s="435"/>
      <c r="F21" s="436"/>
      <c r="G21" s="435"/>
      <c r="H21" s="434">
        <f t="shared" si="1"/>
        <v>0</v>
      </c>
      <c r="I21" s="430"/>
      <c r="J21" s="433"/>
      <c r="K21" s="432"/>
      <c r="L21" s="431"/>
      <c r="M21" s="430"/>
      <c r="N21" s="429"/>
      <c r="O21" s="428"/>
      <c r="P21" s="427"/>
    </row>
    <row r="22" spans="1:16" ht="21.75" customHeight="1">
      <c r="A22" s="448"/>
      <c r="B22" s="447">
        <f t="shared" si="0"/>
        <v>17</v>
      </c>
      <c r="C22" s="446"/>
      <c r="D22" s="446"/>
      <c r="E22" s="440"/>
      <c r="F22" s="445"/>
      <c r="G22" s="440"/>
      <c r="H22" s="434">
        <f t="shared" si="1"/>
        <v>0</v>
      </c>
      <c r="I22" s="444"/>
      <c r="J22" s="443"/>
      <c r="K22" s="442"/>
      <c r="L22" s="431"/>
      <c r="M22" s="440"/>
      <c r="N22" s="441"/>
      <c r="O22" s="440"/>
      <c r="P22" s="427"/>
    </row>
    <row r="23" spans="1:16" ht="21.75" customHeight="1">
      <c r="A23" s="448"/>
      <c r="B23" s="447">
        <f t="shared" si="0"/>
        <v>18</v>
      </c>
      <c r="C23" s="446"/>
      <c r="D23" s="446"/>
      <c r="E23" s="440"/>
      <c r="F23" s="445"/>
      <c r="G23" s="440"/>
      <c r="H23" s="434">
        <f t="shared" si="1"/>
        <v>0</v>
      </c>
      <c r="I23" s="444"/>
      <c r="J23" s="443"/>
      <c r="K23" s="442"/>
      <c r="L23" s="431"/>
      <c r="M23" s="440"/>
      <c r="N23" s="441"/>
      <c r="O23" s="440"/>
      <c r="P23" s="427"/>
    </row>
    <row r="24" spans="1:16" ht="21.75" customHeight="1">
      <c r="A24" s="448"/>
      <c r="B24" s="447">
        <f t="shared" si="0"/>
        <v>19</v>
      </c>
      <c r="C24" s="446"/>
      <c r="D24" s="446"/>
      <c r="E24" s="440"/>
      <c r="F24" s="445"/>
      <c r="G24" s="440"/>
      <c r="H24" s="434">
        <f t="shared" si="1"/>
        <v>0</v>
      </c>
      <c r="I24" s="444"/>
      <c r="J24" s="443"/>
      <c r="K24" s="442"/>
      <c r="L24" s="431"/>
      <c r="M24" s="440"/>
      <c r="N24" s="441"/>
      <c r="O24" s="440"/>
      <c r="P24" s="427"/>
    </row>
    <row r="25" spans="1:16" ht="21.75" customHeight="1">
      <c r="A25" s="448"/>
      <c r="B25" s="447">
        <f t="shared" si="0"/>
        <v>20</v>
      </c>
      <c r="C25" s="446"/>
      <c r="D25" s="446"/>
      <c r="E25" s="440"/>
      <c r="F25" s="445"/>
      <c r="G25" s="440"/>
      <c r="H25" s="434">
        <f t="shared" si="1"/>
        <v>0</v>
      </c>
      <c r="I25" s="444"/>
      <c r="J25" s="443"/>
      <c r="K25" s="442"/>
      <c r="L25" s="431"/>
      <c r="M25" s="440"/>
      <c r="N25" s="441"/>
      <c r="O25" s="440"/>
      <c r="P25" s="427"/>
    </row>
    <row r="26" spans="1:16" ht="21.75" customHeight="1">
      <c r="A26" s="449"/>
      <c r="B26" s="438">
        <f t="shared" si="0"/>
        <v>21</v>
      </c>
      <c r="C26" s="437"/>
      <c r="D26" s="437"/>
      <c r="E26" s="435"/>
      <c r="F26" s="436"/>
      <c r="G26" s="435"/>
      <c r="H26" s="434">
        <f t="shared" si="1"/>
        <v>0</v>
      </c>
      <c r="I26" s="430"/>
      <c r="J26" s="433"/>
      <c r="K26" s="432"/>
      <c r="L26" s="431"/>
      <c r="M26" s="430"/>
      <c r="N26" s="429"/>
      <c r="O26" s="428"/>
      <c r="P26" s="427"/>
    </row>
    <row r="27" spans="1:16" ht="21.75" customHeight="1">
      <c r="A27" s="448"/>
      <c r="B27" s="447">
        <f t="shared" si="0"/>
        <v>22</v>
      </c>
      <c r="C27" s="446"/>
      <c r="D27" s="446"/>
      <c r="E27" s="440"/>
      <c r="F27" s="445"/>
      <c r="G27" s="440"/>
      <c r="H27" s="434">
        <f t="shared" si="1"/>
        <v>0</v>
      </c>
      <c r="I27" s="444"/>
      <c r="J27" s="443"/>
      <c r="K27" s="442"/>
      <c r="L27" s="431"/>
      <c r="M27" s="440"/>
      <c r="N27" s="441"/>
      <c r="O27" s="440"/>
      <c r="P27" s="427"/>
    </row>
    <row r="28" spans="1:16" ht="21.75" customHeight="1">
      <c r="A28" s="448"/>
      <c r="B28" s="447">
        <f t="shared" si="0"/>
        <v>23</v>
      </c>
      <c r="C28" s="446"/>
      <c r="D28" s="446"/>
      <c r="E28" s="440"/>
      <c r="F28" s="445"/>
      <c r="G28" s="440"/>
      <c r="H28" s="434">
        <f t="shared" si="1"/>
        <v>0</v>
      </c>
      <c r="I28" s="444"/>
      <c r="J28" s="443"/>
      <c r="K28" s="442"/>
      <c r="L28" s="431"/>
      <c r="M28" s="440"/>
      <c r="N28" s="441"/>
      <c r="O28" s="440"/>
      <c r="P28" s="427"/>
    </row>
    <row r="29" spans="1:16" ht="21.75" customHeight="1">
      <c r="A29" s="449"/>
      <c r="B29" s="438">
        <f t="shared" si="0"/>
        <v>24</v>
      </c>
      <c r="C29" s="437"/>
      <c r="D29" s="437"/>
      <c r="E29" s="435"/>
      <c r="F29" s="436"/>
      <c r="G29" s="435"/>
      <c r="H29" s="434">
        <f t="shared" si="1"/>
        <v>0</v>
      </c>
      <c r="I29" s="430"/>
      <c r="J29" s="433"/>
      <c r="K29" s="432"/>
      <c r="L29" s="431"/>
      <c r="M29" s="430"/>
      <c r="N29" s="429"/>
      <c r="O29" s="428"/>
      <c r="P29" s="427"/>
    </row>
    <row r="30" spans="1:16" ht="21.75" customHeight="1">
      <c r="A30" s="448"/>
      <c r="B30" s="447">
        <f t="shared" si="0"/>
        <v>25</v>
      </c>
      <c r="C30" s="446"/>
      <c r="D30" s="446"/>
      <c r="E30" s="440"/>
      <c r="F30" s="445"/>
      <c r="G30" s="440"/>
      <c r="H30" s="434">
        <f t="shared" si="1"/>
        <v>0</v>
      </c>
      <c r="I30" s="444"/>
      <c r="J30" s="443"/>
      <c r="K30" s="442"/>
      <c r="L30" s="431"/>
      <c r="M30" s="440"/>
      <c r="N30" s="441"/>
      <c r="O30" s="440"/>
      <c r="P30" s="427"/>
    </row>
    <row r="31" spans="1:16" ht="21.75" customHeight="1">
      <c r="A31" s="448"/>
      <c r="B31" s="447">
        <f t="shared" si="0"/>
        <v>26</v>
      </c>
      <c r="C31" s="446"/>
      <c r="D31" s="446"/>
      <c r="E31" s="440"/>
      <c r="F31" s="445"/>
      <c r="G31" s="440"/>
      <c r="H31" s="434">
        <f t="shared" si="1"/>
        <v>0</v>
      </c>
      <c r="I31" s="444"/>
      <c r="J31" s="443"/>
      <c r="K31" s="442"/>
      <c r="L31" s="431"/>
      <c r="M31" s="440"/>
      <c r="N31" s="441"/>
      <c r="O31" s="440"/>
      <c r="P31" s="427"/>
    </row>
    <row r="32" spans="1:16" ht="21.75" customHeight="1">
      <c r="A32" s="448"/>
      <c r="B32" s="447">
        <f t="shared" si="0"/>
        <v>27</v>
      </c>
      <c r="C32" s="446"/>
      <c r="D32" s="446"/>
      <c r="E32" s="440"/>
      <c r="F32" s="445"/>
      <c r="G32" s="440"/>
      <c r="H32" s="434">
        <f t="shared" si="1"/>
        <v>0</v>
      </c>
      <c r="I32" s="444"/>
      <c r="J32" s="443"/>
      <c r="K32" s="442"/>
      <c r="L32" s="431"/>
      <c r="M32" s="440"/>
      <c r="N32" s="441"/>
      <c r="O32" s="440"/>
      <c r="P32" s="427"/>
    </row>
    <row r="33" spans="1:16" ht="21.75" customHeight="1">
      <c r="A33" s="448"/>
      <c r="B33" s="447">
        <f t="shared" si="0"/>
        <v>28</v>
      </c>
      <c r="C33" s="446"/>
      <c r="D33" s="446"/>
      <c r="E33" s="440"/>
      <c r="F33" s="445"/>
      <c r="G33" s="440"/>
      <c r="H33" s="434">
        <f t="shared" si="1"/>
        <v>0</v>
      </c>
      <c r="I33" s="444"/>
      <c r="J33" s="443"/>
      <c r="K33" s="442"/>
      <c r="L33" s="431"/>
      <c r="M33" s="440"/>
      <c r="N33" s="441"/>
      <c r="O33" s="440"/>
      <c r="P33" s="427"/>
    </row>
    <row r="34" spans="1:16" ht="21.75" customHeight="1">
      <c r="A34" s="449"/>
      <c r="B34" s="438">
        <f t="shared" si="0"/>
        <v>29</v>
      </c>
      <c r="C34" s="437"/>
      <c r="D34" s="437"/>
      <c r="E34" s="435"/>
      <c r="F34" s="436"/>
      <c r="G34" s="435"/>
      <c r="H34" s="434">
        <f t="shared" si="1"/>
        <v>0</v>
      </c>
      <c r="I34" s="430"/>
      <c r="J34" s="433"/>
      <c r="K34" s="432"/>
      <c r="L34" s="431"/>
      <c r="M34" s="430"/>
      <c r="N34" s="429"/>
      <c r="O34" s="428"/>
      <c r="P34" s="427"/>
    </row>
    <row r="35" spans="1:16" ht="21.75" customHeight="1">
      <c r="A35" s="448"/>
      <c r="B35" s="447">
        <f t="shared" si="0"/>
        <v>30</v>
      </c>
      <c r="C35" s="446"/>
      <c r="D35" s="446"/>
      <c r="E35" s="440"/>
      <c r="F35" s="445"/>
      <c r="G35" s="440"/>
      <c r="H35" s="434">
        <f t="shared" si="1"/>
        <v>0</v>
      </c>
      <c r="I35" s="444"/>
      <c r="J35" s="443"/>
      <c r="K35" s="442"/>
      <c r="L35" s="431"/>
      <c r="M35" s="440"/>
      <c r="N35" s="441"/>
      <c r="O35" s="440"/>
      <c r="P35" s="427"/>
    </row>
    <row r="36" spans="1:16" ht="21.75" customHeight="1">
      <c r="A36" s="448"/>
      <c r="B36" s="447">
        <f t="shared" si="0"/>
        <v>31</v>
      </c>
      <c r="C36" s="446"/>
      <c r="D36" s="446"/>
      <c r="E36" s="440"/>
      <c r="F36" s="445"/>
      <c r="G36" s="440"/>
      <c r="H36" s="434"/>
      <c r="I36" s="444"/>
      <c r="J36" s="443"/>
      <c r="K36" s="442"/>
      <c r="L36" s="431"/>
      <c r="M36" s="440"/>
      <c r="N36" s="441"/>
      <c r="O36" s="440"/>
      <c r="P36" s="427"/>
    </row>
    <row r="37" spans="1:16" ht="21.75" customHeight="1">
      <c r="A37" s="448"/>
      <c r="B37" s="447">
        <f t="shared" si="0"/>
        <v>32</v>
      </c>
      <c r="C37" s="446"/>
      <c r="D37" s="446"/>
      <c r="E37" s="440"/>
      <c r="F37" s="445"/>
      <c r="G37" s="440"/>
      <c r="H37" s="434">
        <f>IF(E37&gt;0,SUM(I37:O37),)</f>
        <v>0</v>
      </c>
      <c r="I37" s="444"/>
      <c r="J37" s="443"/>
      <c r="K37" s="442"/>
      <c r="L37" s="431"/>
      <c r="M37" s="440"/>
      <c r="N37" s="441"/>
      <c r="O37" s="440"/>
      <c r="P37" s="427"/>
    </row>
    <row r="38" spans="1:16" ht="21.75" customHeight="1">
      <c r="A38" s="439"/>
      <c r="B38" s="438">
        <f t="shared" si="0"/>
        <v>33</v>
      </c>
      <c r="C38" s="437"/>
      <c r="D38" s="437"/>
      <c r="E38" s="435"/>
      <c r="F38" s="436"/>
      <c r="G38" s="435"/>
      <c r="H38" s="434">
        <f>IF(E38&gt;0,SUM(I38:O38),)</f>
        <v>0</v>
      </c>
      <c r="I38" s="430"/>
      <c r="J38" s="433"/>
      <c r="K38" s="432"/>
      <c r="L38" s="431"/>
      <c r="M38" s="430"/>
      <c r="N38" s="429"/>
      <c r="O38" s="428"/>
      <c r="P38" s="427"/>
    </row>
    <row r="39" spans="1:17" ht="23.25">
      <c r="A39" s="411"/>
      <c r="E39" s="426">
        <f>SUM(E6:E38)</f>
        <v>0</v>
      </c>
      <c r="F39" s="426"/>
      <c r="G39" s="426"/>
      <c r="I39" s="425">
        <f>SUM(I6:I38)</f>
        <v>0</v>
      </c>
      <c r="J39" s="425">
        <f>SUM(J6:J38)</f>
        <v>0</v>
      </c>
      <c r="K39" s="425">
        <f>SUM(K6:K38)</f>
        <v>0</v>
      </c>
      <c r="M39" s="425">
        <f>SUM(M6:M38)</f>
        <v>0</v>
      </c>
      <c r="N39" s="425">
        <f>SUM(N6:N38)</f>
        <v>0</v>
      </c>
      <c r="O39" s="425">
        <f>SUM(O6:O38)</f>
        <v>0</v>
      </c>
      <c r="P39" s="379"/>
      <c r="Q39" s="400">
        <f>SUM(I39:O39)</f>
        <v>0</v>
      </c>
    </row>
    <row r="40" spans="1:16" s="301" customFormat="1" ht="18">
      <c r="A40" s="424"/>
      <c r="B40" s="304"/>
      <c r="C40" s="304"/>
      <c r="H40" s="423"/>
      <c r="N40" s="422">
        <f ca="1">IF(Q39&gt;0,TODAY(),)</f>
        <v>0</v>
      </c>
      <c r="O40" s="304"/>
      <c r="P40" s="302"/>
    </row>
    <row r="41" spans="1:16" s="296" customFormat="1" ht="12">
      <c r="A41" s="298" t="s">
        <v>263</v>
      </c>
      <c r="B41" s="298"/>
      <c r="C41" s="298"/>
      <c r="H41" s="421"/>
      <c r="N41" s="298" t="s">
        <v>16</v>
      </c>
      <c r="O41" s="298"/>
      <c r="P41" s="420"/>
    </row>
    <row r="42" ht="14.25"/>
    <row r="43" ht="14.25" hidden="1"/>
    <row r="44" ht="14.25" hidden="1"/>
    <row r="45" ht="14.25" hidden="1">
      <c r="O45" s="419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</sheetData>
  <sheetProtection sheet="1" objects="1" scenarios="1" formatRows="0"/>
  <mergeCells count="1">
    <mergeCell ref="G3:G4"/>
  </mergeCells>
  <dataValidations count="2">
    <dataValidation allowBlank="1" showInputMessage="1" showErrorMessage="1" prompt="bitte auch die Lehrpersonen OHNE aktive Dienstleistung anführen!" sqref="A7:A9"/>
    <dataValidation type="decimal" allowBlank="1" showInputMessage="1" showErrorMessage="1" error="bitte entspr. Zahl eingeben!" sqref="E7:E38">
      <formula1>0</formula1>
      <formula2>24</formula2>
    </dataValidation>
  </dataValidations>
  <printOptions horizontalCentered="1"/>
  <pageMargins left="0.4724409448818898" right="0.3937007874015748" top="0.4724409448818898" bottom="0.4724409448818898" header="0.31496062992125984" footer="0.35433070866141736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BilDiV, pr3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PtS:  EröffBericht + BeschäNachweis</dc:title>
  <dc:subject/>
  <dc:creator>Flatz Johannes</dc:creator>
  <cp:keywords/>
  <dc:description/>
  <cp:lastModifiedBy>Flatz Johannes</cp:lastModifiedBy>
  <cp:lastPrinted>2019-05-02T06:23:21Z</cp:lastPrinted>
  <dcterms:created xsi:type="dcterms:W3CDTF">1999-09-23T09:11:22Z</dcterms:created>
  <dcterms:modified xsi:type="dcterms:W3CDTF">2020-05-06T21:01:53Z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