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6090" windowWidth="28830" windowHeight="6135" tabRatio="125" activeTab="0"/>
  </bookViews>
  <sheets>
    <sheet name="Einleitung" sheetId="1" r:id="rId1"/>
    <sheet name="Bemerkung" sheetId="2" r:id="rId2"/>
    <sheet name="Klassen" sheetId="3" r:id="rId3"/>
    <sheet name="Seit_5" sheetId="4" state="hidden" r:id="rId4"/>
    <sheet name="Seit_11" sheetId="5" state="hidden" r:id="rId5"/>
    <sheet name="Seit_10" sheetId="6" state="hidden" r:id="rId6"/>
    <sheet name="GTS" sheetId="7" r:id="rId7"/>
    <sheet name="Bed_2" sheetId="8" r:id="rId8"/>
    <sheet name="Bed_3" sheetId="9" r:id="rId9"/>
  </sheets>
  <definedNames>
    <definedName name="_xlnm.Print_Area" localSheetId="7">'Bed_2'!$A$1:$Q$41</definedName>
    <definedName name="_xlnm.Print_Area" localSheetId="8">'Bed_3'!$A$1:$N$41</definedName>
    <definedName name="_xlnm.Print_Area" localSheetId="1">'Bemerkung'!$A:$H</definedName>
    <definedName name="_xlnm.Print_Area" localSheetId="0">'Einleitung'!$A$1:$C$18</definedName>
    <definedName name="_xlnm.Print_Area" localSheetId="6">'GTS'!$A$1:$AB$44</definedName>
    <definedName name="_xlnm.Print_Area" localSheetId="2">'Klassen'!$A:$AQ</definedName>
    <definedName name="_xlnm.Print_Area" localSheetId="5">'Seit_10'!$A$1:$T$83</definedName>
    <definedName name="_xlnm.Print_Area" localSheetId="4">'Seit_11'!$A$1:$T$83</definedName>
    <definedName name="_xlnm.Print_Area" localSheetId="3">'Seit_5'!$A$1:$T$83</definedName>
    <definedName name="_xlnm.Print_Titles" localSheetId="5">'Seit_10'!$1:$3</definedName>
    <definedName name="_xlnm.Print_Titles" localSheetId="4">'Seit_11'!$1:$3</definedName>
    <definedName name="_xlnm.Print_Titles" localSheetId="3">'Seit_5'!$1:$3</definedName>
    <definedName name="Makro1">#REF!</definedName>
    <definedName name="Makro2">#REF!</definedName>
    <definedName name="Makro4">#REF!</definedName>
    <definedName name="CRITERIA" localSheetId="2">'Klassen'!$BP$14:$BR$15</definedName>
    <definedName name="EXTRACT" localSheetId="2">'Klassen'!$BP$21:$BR$21</definedName>
  </definedNames>
  <calcPr fullCalcOnLoad="1"/>
</workbook>
</file>

<file path=xl/comments3.xml><?xml version="1.0" encoding="utf-8"?>
<comments xmlns="http://schemas.openxmlformats.org/spreadsheetml/2006/main">
  <authors>
    <author>Flatz Johannes</author>
  </authors>
  <commentList>
    <comment ref="D6" authorId="0">
      <text>
        <r>
          <rPr>
            <sz val="10"/>
            <rFont val="Tahoma"/>
            <family val="2"/>
          </rPr>
          <t xml:space="preserve">Eigene Deutschförderklassen sind am Standort einzurichten 
</t>
        </r>
        <r>
          <rPr>
            <u val="single"/>
            <sz val="10"/>
            <rFont val="Tahoma"/>
            <family val="2"/>
          </rPr>
          <t>ab acht ao. Schülern</t>
        </r>
        <r>
          <rPr>
            <sz val="10"/>
            <rFont val="Tahoma"/>
            <family val="2"/>
          </rPr>
          <t xml:space="preserve"> mit ungenügenden Sprachkenntnissen</t>
        </r>
      </text>
    </comment>
  </commentList>
</comments>
</file>

<file path=xl/comments4.xml><?xml version="1.0" encoding="utf-8"?>
<comments xmlns="http://schemas.openxmlformats.org/spreadsheetml/2006/main">
  <authors>
    <author>Flatz Johannes</author>
    <author>Abt. PrsI - Informatik</author>
  </authors>
  <commentList>
    <comment ref="T75" authorId="0">
      <text>
        <r>
          <rPr>
            <sz val="8"/>
            <color indexed="16"/>
            <rFont val="Tahoma"/>
            <family val="2"/>
          </rPr>
          <t>bei Zutreffen bitte zusätzlich
das Blatt 'GTS' ausfüllen</t>
        </r>
      </text>
    </comment>
    <comment ref="S52" authorId="1">
      <text>
        <r>
          <rPr>
            <b/>
            <sz val="8"/>
            <color indexed="17"/>
            <rFont val="Tahoma"/>
            <family val="2"/>
          </rPr>
          <t xml:space="preserve"> auswählen &gt;&gt;
  falls genehmigt  </t>
        </r>
      </text>
    </comment>
  </commentList>
</comments>
</file>

<file path=xl/comments5.xml><?xml version="1.0" encoding="utf-8"?>
<comments xmlns="http://schemas.openxmlformats.org/spreadsheetml/2006/main">
  <authors>
    <author>Flatz Johannes</author>
    <author>Abt. PrsI - Informatik</author>
  </authors>
  <commentList>
    <comment ref="T75" authorId="0">
      <text>
        <r>
          <rPr>
            <sz val="8"/>
            <color indexed="16"/>
            <rFont val="Tahoma"/>
            <family val="2"/>
          </rPr>
          <t>bei Zutreffen bitte zusätzlich
das Blatt 'GTS' ausfüllen</t>
        </r>
      </text>
    </comment>
    <comment ref="S52" authorId="1">
      <text>
        <r>
          <rPr>
            <b/>
            <sz val="8"/>
            <color indexed="17"/>
            <rFont val="Tahoma"/>
            <family val="2"/>
          </rPr>
          <t xml:space="preserve"> auswählen &gt;&gt;
  falls genehmigt  </t>
        </r>
      </text>
    </comment>
  </commentList>
</comments>
</file>

<file path=xl/comments6.xml><?xml version="1.0" encoding="utf-8"?>
<comments xmlns="http://schemas.openxmlformats.org/spreadsheetml/2006/main">
  <authors>
    <author>Flatz Johannes</author>
    <author>Abt. PrsI - Informatik</author>
  </authors>
  <commentList>
    <comment ref="T75" authorId="0">
      <text>
        <r>
          <rPr>
            <sz val="8"/>
            <color indexed="16"/>
            <rFont val="Tahoma"/>
            <family val="2"/>
          </rPr>
          <t>bei Zutreffen bitte zusätzlich
das Blatt 'GTS' ausfüllen</t>
        </r>
      </text>
    </comment>
    <comment ref="S52" authorId="1">
      <text>
        <r>
          <rPr>
            <b/>
            <sz val="8"/>
            <color indexed="17"/>
            <rFont val="Tahoma"/>
            <family val="2"/>
          </rPr>
          <t xml:space="preserve"> auswählen &gt;&gt;
  falls genehmigt  </t>
        </r>
      </text>
    </comment>
  </commentList>
</comments>
</file>

<file path=xl/comments7.xml><?xml version="1.0" encoding="utf-8"?>
<comments xmlns="http://schemas.openxmlformats.org/spreadsheetml/2006/main">
  <authors>
    <author>Flatz Johannes</author>
    <author>Flatz</author>
  </authors>
  <commentList>
    <comment ref="R6" authorId="0">
      <text>
        <r>
          <rPr>
            <sz val="9"/>
            <rFont val="Tahoma"/>
            <family val="2"/>
          </rPr>
          <t>Diese Abstufungen stehen im Zusammenhang mit den 
schulautonomen Gestaltungsmöglichkeiten der Schülerbetreuung</t>
        </r>
      </text>
    </comment>
    <comment ref="A38" authorId="1">
      <text>
        <r>
          <rPr>
            <sz val="9"/>
            <rFont val="Segoe UI"/>
            <family val="2"/>
          </rPr>
          <t>Hier werden Stunden angezeigt, nachdem 
sie zuvor ab Zeile 32 eingetragen wurden.
Zu beachten:  Genehmigung bei BilDi 
muss eingeholt sein/werden!</t>
        </r>
      </text>
    </comment>
  </commentList>
</comments>
</file>

<file path=xl/sharedStrings.xml><?xml version="1.0" encoding="utf-8"?>
<sst xmlns="http://schemas.openxmlformats.org/spreadsheetml/2006/main" count="718" uniqueCount="385">
  <si>
    <t>Zusätzliche Kommentare sind bei Bedarf möglich:</t>
  </si>
  <si>
    <t xml:space="preserve"> für das Schuljahr</t>
  </si>
  <si>
    <t>Schülerzahlen</t>
  </si>
  <si>
    <t>Knaben</t>
  </si>
  <si>
    <t>Mädchen</t>
  </si>
  <si>
    <t>gesamt</t>
  </si>
  <si>
    <t>Datum</t>
  </si>
  <si>
    <t>Klasse</t>
  </si>
  <si>
    <t>Sonderschule</t>
  </si>
  <si>
    <t>verwendete Stundentafel</t>
  </si>
  <si>
    <t>WeTex</t>
  </si>
  <si>
    <t>EH/ Hw</t>
  </si>
  <si>
    <t>laut Stundentafel</t>
  </si>
  <si>
    <t xml:space="preserve"> + Teilung /
 - Kürzung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</si>
  <si>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</si>
  <si>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</si>
  <si>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</si>
  <si>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</si>
  <si>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</si>
  <si>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</si>
  <si>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</si>
  <si>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</si>
  <si>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</si>
  <si>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Stundentafel:</t>
  </si>
  <si>
    <t>Stufe</t>
  </si>
  <si>
    <t>WX</t>
  </si>
  <si>
    <t>HW</t>
  </si>
  <si>
    <t>So</t>
  </si>
  <si>
    <r>
      <t>Religion</t>
    </r>
    <r>
      <rPr>
        <sz val="8"/>
        <rFont val="Arial"/>
        <family val="2"/>
      </rPr>
      <t xml:space="preserve">
(röm. kath.)</t>
    </r>
  </si>
  <si>
    <t>Unsere Schule beantragt für ...</t>
  </si>
  <si>
    <t xml:space="preserve"> Wochenstunden  für</t>
  </si>
  <si>
    <t xml:space="preserve">       MdL-Obergrenze wird in keinem Fall überschritten.</t>
  </si>
  <si>
    <t xml:space="preserve">       verpflichtung eingesetzt werden.  </t>
  </si>
  <si>
    <t xml:space="preserve">       Lösungsvorschlag:</t>
  </si>
  <si>
    <t xml:space="preserve">. . . . . . . . . . </t>
  </si>
  <si>
    <t>klassenführend</t>
  </si>
  <si>
    <t>für offene Stunden in</t>
  </si>
  <si>
    <t>voll</t>
  </si>
  <si>
    <t>Werken Textil</t>
  </si>
  <si>
    <t>Unterschrift  (Dir.)</t>
  </si>
  <si>
    <t>ASO-Bedarf,   Seite 3</t>
  </si>
  <si>
    <r>
      <t xml:space="preserve">      </t>
    </r>
    <r>
      <rPr>
        <u val="single"/>
        <sz val="16"/>
        <rFont val="Arial"/>
        <family val="2"/>
      </rPr>
      <t>Keine personelle Änderung</t>
    </r>
    <r>
      <rPr>
        <sz val="16"/>
        <rFont val="Arial"/>
        <family val="2"/>
      </rPr>
      <t xml:space="preserve"> notwendig:</t>
    </r>
  </si>
  <si>
    <r>
      <t xml:space="preserve">      </t>
    </r>
    <r>
      <rPr>
        <u val="single"/>
        <sz val="16"/>
        <rFont val="Arial"/>
        <family val="2"/>
      </rPr>
      <t>Überbesetzung:</t>
    </r>
  </si>
  <si>
    <r>
      <t>Bedarf</t>
    </r>
    <r>
      <rPr>
        <sz val="18"/>
        <rFont val="Arial"/>
        <family val="2"/>
      </rPr>
      <t xml:space="preserve"> an zusätz-lichen Lehrpersonen</t>
    </r>
  </si>
  <si>
    <r>
      <t>Stütz- bzw.</t>
    </r>
    <r>
      <rPr>
        <b/>
        <sz val="10"/>
        <rFont val="Arial"/>
        <family val="2"/>
      </rPr>
      <t xml:space="preserve"> Begleitlehrer</t>
    </r>
  </si>
  <si>
    <t xml:space="preserve"> Wochenstunden</t>
  </si>
  <si>
    <t xml:space="preserve">Zahl der IT-Arbeitsplätze: </t>
  </si>
  <si>
    <t xml:space="preserve">außerordentliche Schüler: </t>
  </si>
  <si>
    <t xml:space="preserve">Zusatzstunden für Berufsvorber.Klasse: </t>
  </si>
  <si>
    <t xml:space="preserve">Zusatzstunden Stütz- und Begleitlehrer in S-Klassen: </t>
  </si>
  <si>
    <t xml:space="preserve"> Schüler</t>
  </si>
  <si>
    <t>neu</t>
  </si>
  <si>
    <t>nein</t>
  </si>
  <si>
    <t>weiter</t>
  </si>
  <si>
    <t>zB:</t>
  </si>
  <si>
    <r>
      <t>.....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[ wieviel  +  was ]</t>
    </r>
  </si>
  <si>
    <r>
      <t>teilweise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 xml:space="preserve">und zwar mit
</t>
    </r>
    <r>
      <rPr>
        <sz val="11"/>
        <rFont val="Arial"/>
        <family val="2"/>
      </rPr>
      <t>...... Stden</t>
    </r>
  </si>
  <si>
    <r>
      <t xml:space="preserve">Religion
</t>
    </r>
    <r>
      <rPr>
        <sz val="9"/>
        <rFont val="Arial"/>
        <family val="2"/>
      </rPr>
      <t>(röm.kath.)</t>
    </r>
  </si>
  <si>
    <t>ASO-Bedarf,   Seite 2</t>
  </si>
  <si>
    <t>IT-Betreuung</t>
  </si>
  <si>
    <t xml:space="preserve">Einschätzung der Schule: </t>
  </si>
  <si>
    <t xml:space="preserve">       Lehrpersonen können wie oben und laut Auflistung von Seite 2 eingesetzt werden; </t>
  </si>
  <si>
    <t xml:space="preserve">       nicht alle auf der Seite 2 eingetragenen Lehrpersonen können im Rahmen ihrer Lehr-</t>
  </si>
  <si>
    <r>
      <t>vorgesehenes Beschäftigung</t>
    </r>
    <r>
      <rPr>
        <sz val="9"/>
        <rFont val="Arial"/>
        <family val="2"/>
      </rPr>
      <t>sausmaß</t>
    </r>
  </si>
  <si>
    <r>
      <t>Versetzung</t>
    </r>
    <r>
      <rPr>
        <sz val="10"/>
        <rFont val="Arial"/>
        <family val="2"/>
      </rPr>
      <t xml:space="preserve"> beantragt</t>
    </r>
  </si>
  <si>
    <r>
      <t xml:space="preserve">Leiter und Lehrer </t>
    </r>
    <r>
      <rPr>
        <sz val="18"/>
        <rFont val="Arial"/>
        <family val="2"/>
      </rPr>
      <t xml:space="preserve">
</t>
    </r>
    <r>
      <rPr>
        <sz val="18"/>
        <color indexed="16"/>
        <rFont val="Arial"/>
        <family val="2"/>
      </rPr>
      <t xml:space="preserve">der eigenen Schule 
</t>
    </r>
    <r>
      <rPr>
        <sz val="10"/>
        <color indexed="16"/>
        <rFont val="Arial"/>
        <family val="2"/>
      </rPr>
      <t>[= Stammschule]</t>
    </r>
    <r>
      <rPr>
        <sz val="10"/>
        <rFont val="Arial"/>
        <family val="2"/>
      </rPr>
      <t xml:space="preserve">
… in alphabetischer Reihenfolge</t>
    </r>
  </si>
  <si>
    <r>
      <t xml:space="preserve">vollbeschäftigt 
</t>
    </r>
    <r>
      <rPr>
        <b/>
        <sz val="10"/>
        <rFont val="Arial"/>
        <family val="2"/>
      </rPr>
      <t>mit MdL</t>
    </r>
  </si>
  <si>
    <r>
      <t xml:space="preserve">vollbeschäftigt </t>
    </r>
    <r>
      <rPr>
        <b/>
        <sz val="10"/>
        <rFont val="Arial"/>
        <family val="2"/>
      </rPr>
      <t>ohne MdL</t>
    </r>
  </si>
  <si>
    <r>
      <t xml:space="preserve">teilbeschäftigt </t>
    </r>
    <r>
      <rPr>
        <sz val="11"/>
        <rFont val="Arial"/>
        <family val="2"/>
      </rPr>
      <t xml:space="preserve">mit ........ </t>
    </r>
    <r>
      <rPr>
        <sz val="9"/>
        <rFont val="Arial"/>
        <family val="2"/>
      </rPr>
      <t xml:space="preserve"> Wochenstunden</t>
    </r>
  </si>
  <si>
    <r>
      <t>NICHT</t>
    </r>
    <r>
      <rPr>
        <sz val="10"/>
        <rFont val="Arial"/>
        <family val="2"/>
      </rPr>
      <t xml:space="preserve"> im Dienst</t>
    </r>
  </si>
  <si>
    <r>
      <t xml:space="preserve">Lehrer mit </t>
    </r>
    <r>
      <rPr>
        <i/>
        <u val="single"/>
        <sz val="16"/>
        <rFont val="Arial"/>
        <family val="2"/>
      </rPr>
      <t>anderer Stammschule</t>
    </r>
    <r>
      <rPr>
        <i/>
        <sz val="16"/>
        <rFont val="Arial"/>
        <family val="2"/>
      </rPr>
      <t>,</t>
    </r>
  </si>
  <si>
    <r>
      <t xml:space="preserve">Name </t>
    </r>
    <r>
      <rPr>
        <sz val="12"/>
        <rFont val="Arial"/>
        <family val="2"/>
      </rPr>
      <t xml:space="preserve"> (+ Stammschule)
</t>
    </r>
  </si>
  <si>
    <r>
      <t>We</t>
    </r>
    <r>
      <rPr>
        <sz val="10"/>
        <rFont val="Arial"/>
        <family val="2"/>
      </rPr>
      <t xml:space="preserve">rken </t>
    </r>
    <r>
      <rPr>
        <b/>
        <sz val="10"/>
        <rFont val="Arial"/>
        <family val="2"/>
      </rPr>
      <t xml:space="preserve">
Textil</t>
    </r>
  </si>
  <si>
    <r>
      <t>WoStd</t>
    </r>
    <r>
      <rPr>
        <sz val="10"/>
        <rFont val="Arial"/>
        <family val="2"/>
      </rPr>
      <t>en</t>
    </r>
  </si>
  <si>
    <r>
      <t>Fach</t>
    </r>
    <r>
      <rPr>
        <sz val="8"/>
        <rFont val="Arial"/>
        <family val="2"/>
      </rPr>
      <t xml:space="preserve">
(bzw.  Beschreibung)</t>
    </r>
  </si>
  <si>
    <t>zusätzliche Stunden</t>
  </si>
  <si>
    <r>
      <t>EH</t>
    </r>
    <r>
      <rPr>
        <sz val="10"/>
        <rFont val="Arial"/>
        <family val="2"/>
      </rPr>
      <t xml:space="preserve">  (Hw)</t>
    </r>
  </si>
  <si>
    <r>
      <t xml:space="preserve">EH </t>
    </r>
    <r>
      <rPr>
        <sz val="10"/>
        <rFont val="Arial"/>
        <family val="2"/>
      </rPr>
      <t xml:space="preserve"> (Hw)</t>
    </r>
  </si>
  <si>
    <r>
      <t>We</t>
    </r>
    <r>
      <rPr>
        <sz val="10"/>
        <rFont val="Arial"/>
        <family val="2"/>
      </rPr>
      <t xml:space="preserve">rken </t>
    </r>
    <r>
      <rPr>
        <b/>
        <sz val="10"/>
        <rFont val="Arial"/>
        <family val="2"/>
      </rPr>
      <t>Textil</t>
    </r>
  </si>
  <si>
    <r>
      <t>Religion</t>
    </r>
    <r>
      <rPr>
        <sz val="10"/>
        <rFont val="Arial"/>
        <family val="2"/>
      </rPr>
      <t xml:space="preserve">
(röm.kath.)</t>
    </r>
  </si>
  <si>
    <t xml:space="preserve"> ( = Gesamtanzahl)</t>
  </si>
  <si>
    <t>an dieser Schule</t>
  </si>
  <si>
    <r>
      <t>klassenführend</t>
    </r>
  </si>
  <si>
    <r>
      <t xml:space="preserve">als  </t>
    </r>
    <r>
      <rPr>
        <sz val="10"/>
        <rFont val="Arial"/>
        <family val="2"/>
      </rPr>
      <t xml:space="preserve">Stütz- bzw. </t>
    </r>
    <r>
      <rPr>
        <b/>
        <sz val="10"/>
        <rFont val="Arial"/>
        <family val="2"/>
      </rPr>
      <t>Begleitlehrer</t>
    </r>
  </si>
  <si>
    <t>BV</t>
  </si>
  <si>
    <t>zus?</t>
  </si>
  <si>
    <t xml:space="preserve">Diese Datei soll jedenfalls lokal abgespeichert sein </t>
  </si>
  <si>
    <t>( ==&gt; mit der F12-Taste auf ein Arbeitsverzeichnis des eigenen PC )</t>
  </si>
  <si>
    <t xml:space="preserve">… laut SchOG   an der  </t>
  </si>
  <si>
    <t>067</t>
  </si>
  <si>
    <t xml:space="preserve">Wochentag:  </t>
  </si>
  <si>
    <t>Montag</t>
  </si>
  <si>
    <t>Dienstag</t>
  </si>
  <si>
    <t>Mittwoch</t>
  </si>
  <si>
    <t>Donnerstag</t>
  </si>
  <si>
    <t>Freitag</t>
  </si>
  <si>
    <t>Uhrzeit:</t>
  </si>
  <si>
    <t>Schülerzahl</t>
  </si>
  <si>
    <t>in</t>
  </si>
  <si>
    <t>WoStunden</t>
  </si>
  <si>
    <t>von</t>
  </si>
  <si>
    <t>bis</t>
  </si>
  <si>
    <t>GL</t>
  </si>
  <si>
    <t>IL</t>
  </si>
  <si>
    <t>Schüler in Gruppen:</t>
  </si>
  <si>
    <t>Anmerkung:</t>
  </si>
  <si>
    <t>Klassen für "Spezielle Bereiche":</t>
  </si>
  <si>
    <t>Spr</t>
  </si>
  <si>
    <t>Üg</t>
  </si>
  <si>
    <t xml:space="preserve">Schulstufe </t>
  </si>
  <si>
    <t>0.</t>
  </si>
  <si>
    <t>1.</t>
  </si>
  <si>
    <t>5.</t>
  </si>
  <si>
    <t xml:space="preserve">Stufe </t>
  </si>
  <si>
    <t>9.</t>
  </si>
  <si>
    <t xml:space="preserve">Schülerzahl </t>
  </si>
  <si>
    <t>KH</t>
  </si>
  <si>
    <t>2.</t>
  </si>
  <si>
    <t>3.</t>
  </si>
  <si>
    <t>4.</t>
  </si>
  <si>
    <t>6.</t>
  </si>
  <si>
    <t>7.</t>
  </si>
  <si>
    <t>8.</t>
  </si>
  <si>
    <t>Weitere Klassen:  Einteilung und 'Schülerbild'</t>
  </si>
  <si>
    <t>Maximale Klassenzahl:</t>
  </si>
  <si>
    <t>Schüler auf den einzelnen Schulstufen</t>
  </si>
  <si>
    <t>ASO-Kinder</t>
  </si>
  <si>
    <t xml:space="preserve">mit erhö.FöB </t>
  </si>
  <si>
    <t>in Summe</t>
  </si>
  <si>
    <t>Direktion</t>
  </si>
  <si>
    <t>insgesamt:</t>
  </si>
  <si>
    <t>Stunden fix =</t>
  </si>
  <si>
    <t>? ?</t>
  </si>
  <si>
    <r>
      <t>Sprach</t>
    </r>
    <r>
      <rPr>
        <sz val="11"/>
        <rFont val="Arial"/>
        <family val="2"/>
      </rPr>
      <t>klasse</t>
    </r>
  </si>
  <si>
    <r>
      <t>Berufsvorbereitung</t>
    </r>
    <r>
      <rPr>
        <sz val="11"/>
        <rFont val="Arial"/>
        <family val="2"/>
      </rPr>
      <t>sklasse</t>
    </r>
  </si>
  <si>
    <r>
      <t>Krankenhaus</t>
    </r>
    <r>
      <rPr>
        <sz val="11"/>
        <rFont val="Arial"/>
        <family val="2"/>
      </rPr>
      <t>-Klasse</t>
    </r>
  </si>
  <si>
    <t>Für die Einteilung und den Stellenplan werden unbedingt Daten benötigt!</t>
  </si>
  <si>
    <t xml:space="preserve">die Lehrer anderer Schulen nur im letzten Blatt "Bed_3" anzuführen, </t>
  </si>
  <si>
    <t xml:space="preserve">alle anderen (= eigenen) Lehrpersonen im Blatt "Bed_2" </t>
  </si>
  <si>
    <t xml:space="preserve">… und zwar auch dann, wenn sie im/ab Herbst nicht aktiv in Dienstverwendung stehen. </t>
  </si>
  <si>
    <r>
      <t>Bemerkungen</t>
    </r>
    <r>
      <rPr>
        <sz val="18"/>
        <color indexed="12"/>
        <rFont val="Arial"/>
        <family val="2"/>
      </rPr>
      <t xml:space="preserve">  zur Bedarfserhebung</t>
    </r>
  </si>
  <si>
    <t>Die Schüler für "Spezielle Bereiche" sind zuerst (ab Zeile 4) einzugeben.</t>
  </si>
  <si>
    <t>Ab Zeile 20 sind die vorgesehenen Klassen mit den Schülern einzutragen;</t>
  </si>
  <si>
    <t>Die weiteren Schüler und Klassen (für die 'generellen Bereiche') folgen darunter:</t>
  </si>
  <si>
    <t>zur Anzahl der Knaben und Mädchen,  sowie zum Anteil an Nichtdeutsche...</t>
  </si>
  <si>
    <t>Unten beim Klassenbild sind ab der Zeile 60 dann die weiteren Angaben zu machen</t>
  </si>
  <si>
    <t xml:space="preserve">... bevor die Angaben zu den Wochenstunden pro Klasse folgen. </t>
  </si>
  <si>
    <r>
      <t xml:space="preserve">Bedarfserhebung für </t>
    </r>
    <r>
      <rPr>
        <u val="single"/>
        <sz val="24"/>
        <rFont val="Arial"/>
        <family val="2"/>
      </rPr>
      <t>ASO</t>
    </r>
  </si>
  <si>
    <t>WoStundenzahl in Pflichtgegenständen</t>
  </si>
  <si>
    <t>Klassenbild  + Wochenstunden</t>
  </si>
  <si>
    <r>
      <t xml:space="preserve">von </t>
    </r>
    <r>
      <rPr>
        <b/>
        <i/>
        <u val="single"/>
        <sz val="14"/>
        <rFont val="Arial"/>
        <family val="2"/>
      </rPr>
      <t>6 bis 10</t>
    </r>
    <r>
      <rPr>
        <b/>
        <i/>
        <sz val="14"/>
        <rFont val="Arial"/>
        <family val="2"/>
      </rPr>
      <t xml:space="preserve"> Klassen</t>
    </r>
  </si>
  <si>
    <r>
      <t>bis zu 5 Klassen</t>
    </r>
    <r>
      <rPr>
        <i/>
        <sz val="11"/>
        <rFont val="Arial"/>
        <family val="2"/>
      </rPr>
      <t xml:space="preserve">  (gesamt)</t>
    </r>
  </si>
  <si>
    <r>
      <t>ab 11</t>
    </r>
    <r>
      <rPr>
        <b/>
        <i/>
        <sz val="14"/>
        <rFont val="Arial"/>
        <family val="2"/>
      </rPr>
      <t xml:space="preserve"> Klassen</t>
    </r>
  </si>
  <si>
    <t xml:space="preserve">Mit der Tabulator-Taste können die zum Bearbeiten vorgesehenen Zellen in der </t>
  </si>
  <si>
    <t>Reihenfolge erreicht werden ..</t>
  </si>
  <si>
    <t>Förderbedarf anzugeben!</t>
  </si>
  <si>
    <t xml:space="preserve">es sind dabei Schüler pro einzelner Schulstufe differenziert nach ASO und erhöhtem </t>
  </si>
  <si>
    <t xml:space="preserve">(dabei sind aber nicht mehr pro Schulstufe die Eingaben gesondert nach Knaben </t>
  </si>
  <si>
    <t xml:space="preserve"> und Mädchen vorzunehmen, sondern)</t>
  </si>
  <si>
    <t xml:space="preserve">Sprachheilpädagogik: </t>
  </si>
  <si>
    <t>Sprachheilpädagogik</t>
  </si>
  <si>
    <r>
      <t>Sprachheil</t>
    </r>
    <r>
      <rPr>
        <sz val="10"/>
        <rFont val="Arial"/>
        <family val="2"/>
      </rPr>
      <t>pädagogik</t>
    </r>
  </si>
  <si>
    <r>
      <t xml:space="preserve">Der </t>
    </r>
    <r>
      <rPr>
        <b/>
        <u val="single"/>
        <sz val="11"/>
        <rFont val="Arial"/>
        <family val="2"/>
      </rPr>
      <t>Aufbau der Seit_1</t>
    </r>
  </si>
  <si>
    <t>... ist angepasst an die neue Ermittlung der Klassenzahl.</t>
  </si>
  <si>
    <t>anrech. Kl</t>
  </si>
  <si>
    <t>Verwaltu</t>
  </si>
  <si>
    <t>Admini</t>
  </si>
  <si>
    <r>
      <t>NEU</t>
    </r>
    <r>
      <rPr>
        <sz val="11"/>
        <rFont val="Arial"/>
        <family val="2"/>
      </rPr>
      <t xml:space="preserve">  in dieser Mappe ist …</t>
    </r>
  </si>
  <si>
    <t>… siehe Zeile 53</t>
  </si>
  <si>
    <t>dass ab 5 Klassen "Administrative Entlastungsstunden" zuerkannt werden</t>
  </si>
  <si>
    <t>… falls für die Schule nicht ohnehin eine Sonderregelung besteht.</t>
  </si>
  <si>
    <t>siehe dazu:</t>
  </si>
  <si>
    <t>Klassenaufstellung</t>
  </si>
  <si>
    <t>im  9. Schuljahr</t>
  </si>
  <si>
    <t xml:space="preserve">im Schwerpunkt </t>
  </si>
  <si>
    <t xml:space="preserve"> NMS</t>
  </si>
  <si>
    <t xml:space="preserve"> Sport</t>
  </si>
  <si>
    <t>Musik</t>
  </si>
  <si>
    <t>Summen</t>
  </si>
  <si>
    <t xml:space="preserve"> Stufe_0</t>
  </si>
  <si>
    <t xml:space="preserve"> Stufe_1</t>
  </si>
  <si>
    <t xml:space="preserve"> Stufe_2</t>
  </si>
  <si>
    <t xml:space="preserve"> Stufe_3</t>
  </si>
  <si>
    <t xml:space="preserve"> Stufe_4</t>
  </si>
  <si>
    <t xml:space="preserve"> Stufe_5</t>
  </si>
  <si>
    <t xml:space="preserve"> Stufe_6</t>
  </si>
  <si>
    <t xml:space="preserve"> Stufe_7</t>
  </si>
  <si>
    <t xml:space="preserve"> Stufe_8</t>
  </si>
  <si>
    <t xml:space="preserve"> Stufe_9</t>
  </si>
  <si>
    <t xml:space="preserve"> Stufe_10</t>
  </si>
  <si>
    <t xml:space="preserve">mit    </t>
  </si>
  <si>
    <t>in …</t>
  </si>
  <si>
    <t>höchste</t>
  </si>
  <si>
    <t>SPF …in der Stufe</t>
  </si>
  <si>
    <t>S-</t>
  </si>
  <si>
    <t>m</t>
  </si>
  <si>
    <t>w</t>
  </si>
  <si>
    <t>zus.</t>
  </si>
  <si>
    <t>GAK</t>
  </si>
  <si>
    <t>mit SPF</t>
  </si>
  <si>
    <t>erhö.FöB</t>
  </si>
  <si>
    <t>Stufen</t>
  </si>
  <si>
    <t>Kl</t>
  </si>
  <si>
    <t>sm</t>
  </si>
  <si>
    <t>sw</t>
  </si>
  <si>
    <t>ges</t>
  </si>
  <si>
    <t>stuf</t>
  </si>
  <si>
    <t>beso</t>
  </si>
  <si>
    <t>Kl1</t>
  </si>
  <si>
    <t>Kl2</t>
  </si>
  <si>
    <t>m0</t>
  </si>
  <si>
    <t>w0</t>
  </si>
  <si>
    <t>m1</t>
  </si>
  <si>
    <t>w1</t>
  </si>
  <si>
    <t>m2</t>
  </si>
  <si>
    <t>w2</t>
  </si>
  <si>
    <t>m3</t>
  </si>
  <si>
    <t>w3</t>
  </si>
  <si>
    <t>m4</t>
  </si>
  <si>
    <t>w4</t>
  </si>
  <si>
    <t>m5</t>
  </si>
  <si>
    <t>w5</t>
  </si>
  <si>
    <t>m6</t>
  </si>
  <si>
    <t>w6</t>
  </si>
  <si>
    <t>m7</t>
  </si>
  <si>
    <t>w7</t>
  </si>
  <si>
    <t>m8</t>
  </si>
  <si>
    <t>w8</t>
  </si>
  <si>
    <t>m9</t>
  </si>
  <si>
    <t>w9</t>
  </si>
  <si>
    <t>m10</t>
  </si>
  <si>
    <t>w10</t>
  </si>
  <si>
    <t>y1</t>
  </si>
  <si>
    <t>ao</t>
  </si>
  <si>
    <t>SPF</t>
  </si>
  <si>
    <t>erhö</t>
  </si>
  <si>
    <t>spre</t>
  </si>
  <si>
    <t>ps9</t>
  </si>
  <si>
    <t>Bez</t>
  </si>
  <si>
    <t>NMS</t>
  </si>
  <si>
    <t>Spor</t>
  </si>
  <si>
    <t>Musi</t>
  </si>
  <si>
    <t>SchulDaten</t>
  </si>
  <si>
    <t>Kl+SPF</t>
  </si>
  <si>
    <t>S-Kl</t>
  </si>
  <si>
    <t>B+7</t>
  </si>
  <si>
    <t>L+8</t>
  </si>
  <si>
    <t>DfGAK</t>
  </si>
  <si>
    <t>DInt</t>
  </si>
  <si>
    <t>MigZu</t>
  </si>
  <si>
    <t>STB-Wo</t>
  </si>
  <si>
    <t>STB-Schü</t>
  </si>
  <si>
    <t>STB-Gru</t>
  </si>
  <si>
    <t>Tel.Nr.</t>
  </si>
  <si>
    <t>davon mit 
erhöhtem FöB</t>
  </si>
  <si>
    <t xml:space="preserve">Modell 'Schulbibliothek':  </t>
  </si>
  <si>
    <t xml:space="preserve">... und zwar: </t>
  </si>
  <si>
    <t xml:space="preserve">sowie  für 'Mobile Lehrer': </t>
  </si>
  <si>
    <t xml:space="preserve"> Wochenstden</t>
  </si>
  <si>
    <t>9 in S1,  14 in ...</t>
  </si>
  <si>
    <t>UNVERÄNDERT  sind in dieser Mappe …</t>
  </si>
  <si>
    <t>EöB</t>
  </si>
  <si>
    <t>Reserv</t>
  </si>
  <si>
    <t>LeitFrei</t>
  </si>
  <si>
    <t>LeitLV</t>
  </si>
  <si>
    <t>GegL</t>
  </si>
  <si>
    <t>IndL</t>
  </si>
  <si>
    <t>Bedarf</t>
  </si>
  <si>
    <t>SPFÖstunden</t>
  </si>
  <si>
    <t>Sprachtherapie</t>
  </si>
  <si>
    <t>Zus Stütz</t>
  </si>
  <si>
    <t>Zus BV-Klasse</t>
  </si>
  <si>
    <t>Bibl Antrag</t>
  </si>
  <si>
    <t>Einrechnung</t>
  </si>
  <si>
    <t>Neue Mittelschul</t>
  </si>
  <si>
    <t>Religion</t>
  </si>
  <si>
    <t>WTEX</t>
  </si>
  <si>
    <t>EH</t>
  </si>
  <si>
    <t>DFG</t>
  </si>
  <si>
    <t>DINTENSIV</t>
  </si>
  <si>
    <t>Leiter freigestellt</t>
  </si>
  <si>
    <t>GLZ &gt;&gt;LeiterLV</t>
  </si>
  <si>
    <t>GTS-Std</t>
  </si>
  <si>
    <t>GTS-Schü</t>
  </si>
  <si>
    <t>GTS-Grup</t>
  </si>
  <si>
    <t>Adm</t>
  </si>
  <si>
    <t xml:space="preserve"> nd.Mutt</t>
  </si>
  <si>
    <r>
      <t xml:space="preserve">sonstige Pflicht-
gegenstände  . . . </t>
    </r>
    <r>
      <rPr>
        <sz val="9"/>
        <color indexed="23"/>
        <rFont val="Arial"/>
        <family val="2"/>
      </rPr>
      <t xml:space="preserve">
 .. samt 1 FörderU.</t>
    </r>
  </si>
  <si>
    <t>KD</t>
  </si>
  <si>
    <t>KP</t>
  </si>
  <si>
    <t>NSpr</t>
  </si>
  <si>
    <t>NNw</t>
  </si>
  <si>
    <t>NSo</t>
  </si>
  <si>
    <t>NSK</t>
  </si>
  <si>
    <t>NAHS</t>
  </si>
  <si>
    <r>
      <t xml:space="preserve">(außer bei Mail-Einreichung:)   </t>
    </r>
    <r>
      <rPr>
        <sz val="6"/>
        <rFont val="Arial"/>
        <family val="2"/>
      </rPr>
      <t>Unterschrift  [Dir.]</t>
    </r>
  </si>
  <si>
    <t>Stunden können (dort ab Zeile 14) nur dann geltend gemacht werden, …</t>
  </si>
  <si>
    <r>
      <t xml:space="preserve">bis mindestens 16.00 Uhr durchgehend </t>
    </r>
    <r>
      <rPr>
        <i/>
        <sz val="11"/>
        <rFont val="Arial"/>
        <family val="2"/>
      </rPr>
      <t xml:space="preserve">betreut oder unterrichtet werden! </t>
    </r>
  </si>
  <si>
    <r>
      <t xml:space="preserve">wenn am jeweiligen Wochentag </t>
    </r>
    <r>
      <rPr>
        <b/>
        <i/>
        <sz val="11"/>
        <rFont val="Arial"/>
        <family val="2"/>
      </rPr>
      <t xml:space="preserve">ein Mittagsangebot verfügbar </t>
    </r>
    <r>
      <rPr>
        <i/>
        <sz val="11"/>
        <rFont val="Arial"/>
        <family val="2"/>
      </rPr>
      <t xml:space="preserve">ist,  und </t>
    </r>
  </si>
  <si>
    <t>die für den jeweiligen Kalendertag angeführten SchülerInnen am Nachmittag</t>
  </si>
  <si>
    <r>
      <t xml:space="preserve">an </t>
    </r>
    <r>
      <rPr>
        <b/>
        <sz val="10"/>
        <rFont val="Arial"/>
        <family val="2"/>
      </rPr>
      <t>anderen
Schulen</t>
    </r>
    <r>
      <rPr>
        <sz val="10"/>
        <rFont val="Arial"/>
        <family val="2"/>
      </rPr>
      <t>,</t>
    </r>
    <r>
      <rPr>
        <sz val="9"/>
        <rFont val="Arial"/>
        <family val="2"/>
      </rPr>
      <t xml:space="preserve">
</t>
    </r>
    <r>
      <rPr>
        <b/>
        <sz val="10"/>
        <rFont val="Arial"/>
        <family val="2"/>
      </rPr>
      <t>an PH</t>
    </r>
    <r>
      <rPr>
        <sz val="9"/>
        <rFont val="Arial"/>
        <family val="2"/>
      </rPr>
      <t xml:space="preserve">
oder</t>
    </r>
    <r>
      <rPr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
Sonstige</t>
    </r>
  </si>
  <si>
    <t>TS+SEB</t>
  </si>
  <si>
    <t>Gru1</t>
  </si>
  <si>
    <t>unvÜ</t>
  </si>
  <si>
    <t>extra</t>
  </si>
  <si>
    <t>Ersw</t>
  </si>
  <si>
    <t>STve</t>
  </si>
  <si>
    <t>STzuw</t>
  </si>
  <si>
    <t>KontGes</t>
  </si>
  <si>
    <t>IT-Plä</t>
  </si>
  <si>
    <t>IT-Std</t>
  </si>
  <si>
    <t>Admi</t>
  </si>
  <si>
    <t>Gde</t>
  </si>
  <si>
    <t>EinRest</t>
  </si>
  <si>
    <t>Rel</t>
  </si>
  <si>
    <t>VerwStd</t>
  </si>
  <si>
    <t>S-Klassen</t>
  </si>
  <si>
    <t>WeX</t>
  </si>
  <si>
    <t>Ein Textfeld kann von unten (samt Hinweis-Pfeil) in den druckbaren 
Bereich hereingezogen und entsprechend bearbeitet werden !!</t>
  </si>
  <si>
    <r>
      <t>Zu beginnen ist mit der</t>
    </r>
    <r>
      <rPr>
        <b/>
        <sz val="16"/>
        <color indexed="12"/>
        <rFont val="Arial"/>
        <family val="2"/>
      </rPr>
      <t xml:space="preserve"> Eingabe der Klassen und Schülerzahlen
im Blatt 'Klassen' </t>
    </r>
    <r>
      <rPr>
        <sz val="16"/>
        <color indexed="12"/>
        <rFont val="Arial"/>
        <family val="2"/>
      </rPr>
      <t xml:space="preserve"> (…wobei die Klassenbezeichnung unbedingt 
mit der BilDok übereinstimmen muss!)</t>
    </r>
  </si>
  <si>
    <r>
      <t>die für die Schulsituation</t>
    </r>
    <r>
      <rPr>
        <b/>
        <sz val="16"/>
        <color indexed="28"/>
        <rFont val="Arial"/>
        <family val="2"/>
      </rPr>
      <t xml:space="preserve"> passenden Blätter herrichten: </t>
    </r>
  </si>
  <si>
    <r>
      <t>... und anschließend unten durch</t>
    </r>
    <r>
      <rPr>
        <b/>
        <sz val="16"/>
        <color indexed="28"/>
        <rFont val="Arial"/>
        <family val="2"/>
      </rPr>
      <t xml:space="preserve"> Anklicken der Schaltfläche</t>
    </r>
  </si>
  <si>
    <t>ASO  . . .</t>
  </si>
  <si>
    <t xml:space="preserve">Dann den Schulnamen eingeben: </t>
  </si>
  <si>
    <t>und für die Bearbeitung von dort aus geöffnet werden.</t>
  </si>
  <si>
    <t>13neu</t>
  </si>
  <si>
    <t>Bemerkungen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</si>
  <si>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xx</t>
  </si>
  <si>
    <t>bis mindestens 16:00 Uhr  an betreuten Nachmittagen.</t>
  </si>
  <si>
    <t xml:space="preserve">… mit einer verpflichtend durchgehenden Anwesenheit der angemeldeten Schüler </t>
  </si>
  <si>
    <t>STveKL</t>
  </si>
  <si>
    <t>ZusDFK</t>
  </si>
  <si>
    <t>verschrä Kl</t>
  </si>
  <si>
    <t>ZusStd in DFK</t>
  </si>
  <si>
    <t>2.J ao.</t>
  </si>
  <si>
    <t>ao2</t>
  </si>
  <si>
    <t>aoZweitjahr</t>
  </si>
  <si>
    <t>DFörderKlasse(n)</t>
  </si>
  <si>
    <t>..</t>
  </si>
  <si>
    <t>Von den Schülern u. Schülerinnen in der Klasse haben</t>
  </si>
  <si>
    <t xml:space="preserve">GLZ </t>
  </si>
  <si>
    <t>ILZ &gt;&gt;*2</t>
  </si>
  <si>
    <t xml:space="preserve">Details dazu siehe: </t>
  </si>
  <si>
    <t xml:space="preserve">Für allfällige Rückfragen stehen die Sachbearbeiter der BilDiV gerne zur Verfügung. </t>
  </si>
  <si>
    <t>ao./u</t>
  </si>
  <si>
    <t>ao./m</t>
  </si>
  <si>
    <t>Maßgeblicher Stichtag ist der 2. Montag des Unterrichtsjahres</t>
  </si>
  <si>
    <r>
      <t xml:space="preserve">In Getrennter Abfolge </t>
    </r>
    <r>
      <rPr>
        <u val="single"/>
        <sz val="12"/>
        <rFont val="Arial"/>
        <family val="2"/>
      </rPr>
      <t>teilnehmende Schüler</t>
    </r>
    <r>
      <rPr>
        <sz val="12"/>
        <rFont val="Arial"/>
        <family val="2"/>
      </rPr>
      <t xml:space="preserve">: </t>
    </r>
    <r>
      <rPr>
        <sz val="2"/>
        <rFont val="Arial"/>
        <family val="2"/>
      </rPr>
      <t>'</t>
    </r>
  </si>
  <si>
    <t xml:space="preserve">..und </t>
  </si>
  <si>
    <t>TBSUM</t>
  </si>
  <si>
    <t>GTSV</t>
  </si>
  <si>
    <t>J</t>
  </si>
  <si>
    <t xml:space="preserve">.. sind in der </t>
  </si>
  <si>
    <t>STmaxGru</t>
  </si>
  <si>
    <t>STveSue</t>
  </si>
  <si>
    <t>maxiGrup</t>
  </si>
  <si>
    <t>verschräSchü</t>
  </si>
  <si>
    <t xml:space="preserve">…in der Klasse haben/sind …  </t>
  </si>
  <si>
    <t>sprengelfremd</t>
  </si>
  <si>
    <r>
      <rPr>
        <sz val="12"/>
        <rFont val="Arial"/>
        <family val="2"/>
      </rPr>
      <t xml:space="preserve">Einteilung der </t>
    </r>
    <r>
      <rPr>
        <b/>
        <sz val="12"/>
        <rFont val="Arial"/>
        <family val="2"/>
      </rPr>
      <t>'</t>
    </r>
    <r>
      <rPr>
        <b/>
        <u val="single"/>
        <sz val="12"/>
        <rFont val="Arial"/>
        <family val="2"/>
      </rPr>
      <t>Lernzeiten' in getrennter Form</t>
    </r>
    <r>
      <rPr>
        <b/>
        <sz val="12"/>
        <rFont val="Arial"/>
        <family val="2"/>
      </rPr>
      <t>:</t>
    </r>
  </si>
  <si>
    <t xml:space="preserve">Lernzeiten u. Freizeit: </t>
  </si>
  <si>
    <t>LZ</t>
  </si>
  <si>
    <t>FrZ</t>
  </si>
  <si>
    <t>STFreiz</t>
  </si>
  <si>
    <t>verschräStd</t>
  </si>
  <si>
    <t>FreizeitStd</t>
  </si>
  <si>
    <t xml:space="preserve">GTS </t>
  </si>
  <si>
    <t>in Ganztägig. Schulform</t>
  </si>
  <si>
    <t>Ganztägige Schulform</t>
  </si>
  <si>
    <t>http://www2.vobs.at/ftp-pub/allgemein/formulare/GTS.PDF</t>
  </si>
  <si>
    <t>GTS in verschränkten Klassen:</t>
  </si>
  <si>
    <t>Ganztägige Schulform:</t>
  </si>
  <si>
    <t>Die im Herbst (voraussichtlich) teilnehmenden SchülerInnen sind im Blatt "Klassen"</t>
  </si>
  <si>
    <t>im Blatt "GTS" bei getrennter Abfolge in Gruppen einzuteilen ..</t>
  </si>
  <si>
    <t xml:space="preserve"> 'Ganztägige Schulform': </t>
  </si>
  <si>
    <t>N</t>
  </si>
  <si>
    <t>wenn einzelne Klasse umgestellt werden soll:  #Schutz aufheben 
       #Strg+G =gehe zB zu "AL24"  #dort Formel überschreiben mit "J" oder "N"  .</t>
  </si>
  <si>
    <t>BilDiV, pr3  04/20</t>
  </si>
  <si>
    <t>2020/2021</t>
  </si>
  <si>
    <t>AbsG</t>
  </si>
  <si>
    <t>AntZ</t>
  </si>
  <si>
    <t>Abschlag ges.</t>
  </si>
  <si>
    <t>Anteil zurück</t>
  </si>
  <si>
    <r>
      <t>jeweils</t>
    </r>
    <r>
      <rPr>
        <b/>
        <sz val="11"/>
        <color indexed="60"/>
        <rFont val="Arial"/>
        <family val="2"/>
      </rPr>
      <t xml:space="preserve"> rechts außen in der Spalte AJ </t>
    </r>
    <r>
      <rPr>
        <sz val="11"/>
        <rFont val="Arial"/>
        <family val="2"/>
      </rPr>
      <t xml:space="preserve">pro Klasse einzutragen und weiters </t>
    </r>
  </si>
  <si>
    <t>Privat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</si>
</sst>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d/mm/yy"/>
    <numFmt numFmtId="182" formatCode="General\ "/>
    <numFmt numFmtId="183" formatCode="0.0\ "/>
    <numFmt numFmtId="184" formatCode="General\ \ "/>
    <numFmt numFmtId="185" formatCode="ddd\ d/m/yy"/>
    <numFmt numFmtId="186" formatCode="\+General;\-General"/>
    <numFmt numFmtId="187" formatCode="\+\ General"/>
  </numFmts>
  <fonts count="211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10"/>
      <name val="Helv"/>
      <family val="0"/>
    </font>
    <font>
      <sz val="14"/>
      <color indexed="12"/>
      <name val="Arial"/>
      <family val="2"/>
    </font>
    <font>
      <sz val="14"/>
      <name val="Arial"/>
      <family val="2"/>
    </font>
    <font>
      <sz val="16"/>
      <color indexed="12"/>
      <name val="Arial"/>
      <family val="2"/>
    </font>
    <font>
      <sz val="16"/>
      <name val="Arial"/>
      <family val="2"/>
    </font>
    <font>
      <sz val="11"/>
      <color indexed="12"/>
      <name val="Arial"/>
      <family val="2"/>
    </font>
    <font>
      <b/>
      <sz val="16"/>
      <color indexed="28"/>
      <name val="Arial"/>
      <family val="2"/>
    </font>
    <font>
      <sz val="16"/>
      <color indexed="53"/>
      <name val="Arial"/>
      <family val="2"/>
    </font>
    <font>
      <b/>
      <sz val="16"/>
      <color indexed="53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sz val="28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3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4"/>
      <name val="Arial"/>
      <family val="2"/>
    </font>
    <font>
      <sz val="18"/>
      <name val="Arial"/>
      <family val="2"/>
    </font>
    <font>
      <sz val="2"/>
      <name val="Arial"/>
      <family val="2"/>
    </font>
    <font>
      <sz val="24"/>
      <name val="Arial"/>
      <family val="2"/>
    </font>
    <font>
      <sz val="7"/>
      <name val="Arial"/>
      <family val="2"/>
    </font>
    <font>
      <b/>
      <i/>
      <u val="single"/>
      <sz val="14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16"/>
      <name val="Arial"/>
      <family val="2"/>
    </font>
    <font>
      <b/>
      <i/>
      <sz val="24"/>
      <name val="Arial"/>
      <family val="2"/>
    </font>
    <font>
      <sz val="24"/>
      <color indexed="12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i/>
      <sz val="18"/>
      <name val="Arial"/>
      <family val="2"/>
    </font>
    <font>
      <sz val="18"/>
      <color indexed="12"/>
      <name val="Arial"/>
      <family val="2"/>
    </font>
    <font>
      <sz val="18"/>
      <color indexed="10"/>
      <name val="Arial"/>
      <family val="2"/>
    </font>
    <font>
      <u val="single"/>
      <sz val="18"/>
      <name val="Arial"/>
      <family val="2"/>
    </font>
    <font>
      <b/>
      <sz val="10"/>
      <name val="Arial"/>
      <family val="2"/>
    </font>
    <font>
      <sz val="2"/>
      <color indexed="12"/>
      <name val="Arial"/>
      <family val="2"/>
    </font>
    <font>
      <sz val="2"/>
      <color indexed="10"/>
      <name val="Arial"/>
      <family val="2"/>
    </font>
    <font>
      <sz val="11"/>
      <color indexed="10"/>
      <name val="Arial"/>
      <family val="2"/>
    </font>
    <font>
      <i/>
      <u val="single"/>
      <sz val="16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sz val="12"/>
      <color indexed="12"/>
      <name val="Arial"/>
      <family val="2"/>
    </font>
    <font>
      <sz val="10"/>
      <color indexed="16"/>
      <name val="Arial"/>
      <family val="2"/>
    </font>
    <font>
      <sz val="11"/>
      <color indexed="16"/>
      <name val="Arial"/>
      <family val="2"/>
    </font>
    <font>
      <b/>
      <sz val="12"/>
      <color indexed="17"/>
      <name val="Arial"/>
      <family val="2"/>
    </font>
    <font>
      <sz val="9"/>
      <color indexed="12"/>
      <name val="Arial"/>
      <family val="2"/>
    </font>
    <font>
      <b/>
      <sz val="8"/>
      <color indexed="17"/>
      <name val="Tahoma"/>
      <family val="2"/>
    </font>
    <font>
      <sz val="13"/>
      <color indexed="12"/>
      <name val="Arial"/>
      <family val="2"/>
    </font>
    <font>
      <sz val="6"/>
      <color indexed="41"/>
      <name val="Arial"/>
      <family val="2"/>
    </font>
    <font>
      <sz val="22"/>
      <name val="Arial"/>
      <family val="2"/>
    </font>
    <font>
      <u val="single"/>
      <sz val="11"/>
      <color indexed="36"/>
      <name val="Arial"/>
      <family val="2"/>
    </font>
    <font>
      <u val="single"/>
      <sz val="11"/>
      <color indexed="12"/>
      <name val="Arial"/>
      <family val="2"/>
    </font>
    <font>
      <sz val="18"/>
      <color indexed="16"/>
      <name val="Arial"/>
      <family val="2"/>
    </font>
    <font>
      <sz val="14"/>
      <color indexed="8"/>
      <name val="Arial"/>
      <family val="2"/>
    </font>
    <font>
      <i/>
      <sz val="26"/>
      <name val="Arial"/>
      <family val="2"/>
    </font>
    <font>
      <i/>
      <sz val="13"/>
      <name val="Arial"/>
      <family val="2"/>
    </font>
    <font>
      <i/>
      <sz val="11"/>
      <color indexed="10"/>
      <name val="Arial"/>
      <family val="2"/>
    </font>
    <font>
      <b/>
      <sz val="8"/>
      <name val="Arial"/>
      <family val="2"/>
    </font>
    <font>
      <sz val="11"/>
      <color indexed="21"/>
      <name val="Arial"/>
      <family val="2"/>
    </font>
    <font>
      <b/>
      <sz val="12"/>
      <color indexed="21"/>
      <name val="Arial"/>
      <family val="2"/>
    </font>
    <font>
      <sz val="8"/>
      <color indexed="21"/>
      <name val="Arial"/>
      <family val="2"/>
    </font>
    <font>
      <sz val="10"/>
      <color indexed="23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i/>
      <sz val="8"/>
      <color indexed="60"/>
      <name val="Arial"/>
      <family val="2"/>
    </font>
    <font>
      <sz val="8"/>
      <color indexed="44"/>
      <name val="Arial"/>
      <family val="2"/>
    </font>
    <font>
      <sz val="8"/>
      <color indexed="16"/>
      <name val="Arial"/>
      <family val="2"/>
    </font>
    <font>
      <sz val="8"/>
      <color indexed="17"/>
      <name val="Arial"/>
      <family val="2"/>
    </font>
    <font>
      <sz val="11"/>
      <color indexed="17"/>
      <name val="Arial"/>
      <family val="2"/>
    </font>
    <font>
      <sz val="9"/>
      <color indexed="17"/>
      <name val="Arial"/>
      <family val="2"/>
    </font>
    <font>
      <sz val="9"/>
      <color indexed="16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24"/>
      <name val="Arial"/>
      <family val="2"/>
    </font>
    <font>
      <u val="single"/>
      <sz val="11"/>
      <name val="Arial"/>
      <family val="2"/>
    </font>
    <font>
      <sz val="8"/>
      <color indexed="55"/>
      <name val="Arial"/>
      <family val="2"/>
    </font>
    <font>
      <sz val="5"/>
      <color indexed="55"/>
      <name val="Arial"/>
      <family val="2"/>
    </font>
    <font>
      <b/>
      <u val="single"/>
      <sz val="12"/>
      <name val="Arial"/>
      <family val="2"/>
    </font>
    <font>
      <sz val="9"/>
      <color indexed="55"/>
      <name val="Arial"/>
      <family val="2"/>
    </font>
    <font>
      <sz val="6"/>
      <color indexed="55"/>
      <name val="Arial"/>
      <family val="2"/>
    </font>
    <font>
      <i/>
      <sz val="8"/>
      <name val="Arial"/>
      <family val="2"/>
    </font>
    <font>
      <u val="single"/>
      <sz val="18"/>
      <color indexed="12"/>
      <name val="Arial"/>
      <family val="2"/>
    </font>
    <font>
      <sz val="26"/>
      <name val="Arial"/>
      <family val="2"/>
    </font>
    <font>
      <b/>
      <u val="single"/>
      <sz val="11"/>
      <name val="Arial"/>
      <family val="2"/>
    </font>
    <font>
      <sz val="9"/>
      <name val="Arial Narrow"/>
      <family val="2"/>
    </font>
    <font>
      <b/>
      <sz val="11"/>
      <color indexed="16"/>
      <name val="Arial"/>
      <family val="2"/>
    </font>
    <font>
      <sz val="8"/>
      <color indexed="16"/>
      <name val="Tahoma"/>
      <family val="2"/>
    </font>
    <font>
      <b/>
      <sz val="12"/>
      <color indexed="12"/>
      <name val="Arial"/>
      <family val="2"/>
    </font>
    <font>
      <i/>
      <u val="single"/>
      <sz val="10"/>
      <name val="Arial"/>
      <family val="2"/>
    </font>
    <font>
      <sz val="6"/>
      <color indexed="22"/>
      <name val="Arial"/>
      <family val="2"/>
    </font>
    <font>
      <sz val="12"/>
      <color indexed="17"/>
      <name val="Arial"/>
      <family val="2"/>
    </font>
    <font>
      <sz val="11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sz val="7"/>
      <color indexed="9"/>
      <name val="Arial"/>
      <family val="2"/>
    </font>
    <font>
      <sz val="11"/>
      <color indexed="60"/>
      <name val="Arial"/>
      <family val="2"/>
    </font>
    <font>
      <sz val="11"/>
      <color indexed="48"/>
      <name val="Arial"/>
      <family val="2"/>
    </font>
    <font>
      <sz val="8"/>
      <color indexed="48"/>
      <name val="Arial"/>
      <family val="2"/>
    </font>
    <font>
      <sz val="6"/>
      <color indexed="62"/>
      <name val="Arial"/>
      <family val="2"/>
    </font>
    <font>
      <sz val="5"/>
      <color indexed="62"/>
      <name val="Arial"/>
      <family val="2"/>
    </font>
    <font>
      <sz val="10"/>
      <color indexed="18"/>
      <name val="Arial"/>
      <family val="2"/>
    </font>
    <font>
      <sz val="4"/>
      <color indexed="57"/>
      <name val="Arial"/>
      <family val="2"/>
    </font>
    <font>
      <sz val="10"/>
      <color indexed="12"/>
      <name val="Arial"/>
      <family val="2"/>
    </font>
    <font>
      <sz val="7"/>
      <color indexed="17"/>
      <name val="Arial"/>
      <family val="2"/>
    </font>
    <font>
      <sz val="9"/>
      <color indexed="57"/>
      <name val="Arial"/>
      <family val="2"/>
    </font>
    <font>
      <sz val="11"/>
      <color indexed="62"/>
      <name val="Arial"/>
      <family val="2"/>
    </font>
    <font>
      <sz val="9"/>
      <color indexed="62"/>
      <name val="Arial"/>
      <family val="2"/>
    </font>
    <font>
      <sz val="9"/>
      <color indexed="23"/>
      <name val="Arial"/>
      <family val="2"/>
    </font>
    <font>
      <b/>
      <sz val="11"/>
      <color indexed="57"/>
      <name val="Arial"/>
      <family val="2"/>
    </font>
    <font>
      <i/>
      <sz val="6"/>
      <name val="Arial"/>
      <family val="2"/>
    </font>
    <font>
      <sz val="14"/>
      <color indexed="60"/>
      <name val="Arial"/>
      <family val="2"/>
    </font>
    <font>
      <b/>
      <i/>
      <sz val="16"/>
      <color indexed="60"/>
      <name val="Arial"/>
      <family val="2"/>
    </font>
    <font>
      <sz val="36"/>
      <color indexed="60"/>
      <name val="Arial"/>
      <family val="2"/>
    </font>
    <font>
      <b/>
      <sz val="16"/>
      <color indexed="12"/>
      <name val="Arial"/>
      <family val="2"/>
    </font>
    <font>
      <sz val="16"/>
      <color indexed="28"/>
      <name val="Arial"/>
      <family val="2"/>
    </font>
    <font>
      <b/>
      <sz val="20"/>
      <name val="Arial"/>
      <family val="2"/>
    </font>
    <font>
      <b/>
      <sz val="14"/>
      <color indexed="59"/>
      <name val="Arial"/>
      <family val="2"/>
    </font>
    <font>
      <sz val="10"/>
      <color indexed="59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u val="single"/>
      <sz val="8"/>
      <name val="Arial"/>
      <family val="2"/>
    </font>
    <font>
      <u val="single"/>
      <sz val="10"/>
      <name val="Tahoma"/>
      <family val="2"/>
    </font>
    <font>
      <sz val="9"/>
      <name val="Tahoma"/>
      <family val="2"/>
    </font>
    <font>
      <i/>
      <sz val="11"/>
      <color indexed="62"/>
      <name val="Arial"/>
      <family val="2"/>
    </font>
    <font>
      <sz val="9"/>
      <name val="Segoe UI"/>
      <family val="2"/>
    </font>
    <font>
      <strike/>
      <sz val="9"/>
      <color indexed="17"/>
      <name val="Arial"/>
      <family val="2"/>
    </font>
    <font>
      <b/>
      <sz val="11"/>
      <color indexed="60"/>
      <name val="Arial"/>
      <family val="2"/>
    </font>
    <font>
      <b/>
      <sz val="11"/>
      <color indexed="3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sz val="11"/>
      <color indexed="9"/>
      <name val="Arial"/>
      <family val="2"/>
    </font>
    <font>
      <b/>
      <sz val="16"/>
      <color indexed="30"/>
      <name val="Arial"/>
      <family val="2"/>
    </font>
    <font>
      <u val="single"/>
      <sz val="11"/>
      <color indexed="62"/>
      <name val="Arial"/>
      <family val="2"/>
    </font>
    <font>
      <sz val="8"/>
      <color indexed="43"/>
      <name val="Arial"/>
      <family val="2"/>
    </font>
    <font>
      <sz val="3"/>
      <color indexed="9"/>
      <name val="Arial"/>
      <family val="2"/>
    </font>
    <font>
      <sz val="10"/>
      <color indexed="62"/>
      <name val="Arial"/>
      <family val="2"/>
    </font>
    <font>
      <sz val="8"/>
      <color indexed="42"/>
      <name val="Arial"/>
      <family val="2"/>
    </font>
    <font>
      <sz val="18"/>
      <color indexed="42"/>
      <name val="Arial"/>
      <family val="2"/>
    </font>
    <font>
      <sz val="8"/>
      <color indexed="9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30"/>
      <name val="Arial"/>
      <family val="2"/>
    </font>
    <font>
      <b/>
      <sz val="12"/>
      <color indexed="8"/>
      <name val="Helv"/>
      <family val="0"/>
    </font>
    <font>
      <sz val="9"/>
      <color indexed="1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16"/>
      <name val="Arial"/>
      <family val="2"/>
    </font>
    <font>
      <b/>
      <sz val="14"/>
      <color indexed="12"/>
      <name val="Arial"/>
      <family val="2"/>
    </font>
    <font>
      <b/>
      <sz val="14"/>
      <color indexed="23"/>
      <name val="Arial"/>
      <family val="2"/>
    </font>
    <font>
      <b/>
      <sz val="13"/>
      <color indexed="12"/>
      <name val="Arial"/>
      <family val="2"/>
    </font>
    <font>
      <sz val="4"/>
      <color indexed="8"/>
      <name val="Arial"/>
      <family val="2"/>
    </font>
    <font>
      <sz val="13"/>
      <color indexed="8"/>
      <name val="Arial"/>
      <family val="2"/>
    </font>
    <font>
      <u val="single"/>
      <sz val="13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6"/>
      <name val="Arial"/>
      <family val="2"/>
    </font>
    <font>
      <b/>
      <u val="single"/>
      <sz val="18"/>
      <color indexed="8"/>
      <name val="Calibri"/>
      <family val="2"/>
    </font>
    <font>
      <sz val="28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7030A0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sz val="6"/>
      <color theme="0" tint="-0.1499900072813034"/>
      <name val="Arial"/>
      <family val="2"/>
    </font>
    <font>
      <sz val="11"/>
      <color theme="0"/>
      <name val="Arial"/>
      <family val="2"/>
    </font>
    <font>
      <b/>
      <sz val="16"/>
      <color rgb="FF0070C0"/>
      <name val="Arial"/>
      <family val="2"/>
    </font>
    <font>
      <u val="single"/>
      <sz val="11"/>
      <color rgb="FF333399"/>
      <name val="Arial"/>
      <family val="2"/>
    </font>
    <font>
      <sz val="8"/>
      <color theme="2" tint="-0.24997000396251678"/>
      <name val="Arial"/>
      <family val="2"/>
    </font>
    <font>
      <sz val="3"/>
      <color theme="0"/>
      <name val="Arial"/>
      <family val="2"/>
    </font>
    <font>
      <sz val="10"/>
      <color rgb="FF333399"/>
      <name val="Arial"/>
      <family val="2"/>
    </font>
    <font>
      <sz val="8"/>
      <color theme="6" tint="0.7999799847602844"/>
      <name val="Arial"/>
      <family val="2"/>
    </font>
    <font>
      <sz val="18"/>
      <color theme="6" tint="0.7999799847602844"/>
      <name val="Arial"/>
      <family val="2"/>
    </font>
    <font>
      <sz val="8"/>
      <color theme="0"/>
      <name val="Arial"/>
      <family val="2"/>
    </font>
    <font>
      <i/>
      <sz val="9"/>
      <color rgb="FF333399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rgb="FF0070C0"/>
      <name val="Arial"/>
      <family val="2"/>
    </font>
    <font>
      <sz val="8"/>
      <color theme="0" tint="-0.349979996681213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8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7FFFF"/>
        <bgColor indexed="64"/>
      </patternFill>
    </fill>
    <fill>
      <gradientFill degree="90">
        <stop position="0">
          <color theme="0"/>
        </stop>
        <stop position="1">
          <color rgb="FFFFFFCC"/>
        </stop>
      </gradient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</fills>
  <borders count="1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 style="double"/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 style="dotted"/>
      <bottom style="dashed"/>
    </border>
    <border>
      <left style="dotted"/>
      <right style="thin"/>
      <top style="dotted"/>
      <bottom style="dash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dashed"/>
      <right style="dashed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hair"/>
      <top style="double"/>
      <bottom style="dotted"/>
    </border>
    <border>
      <left>
        <color indexed="63"/>
      </left>
      <right style="dashed"/>
      <top style="double"/>
      <bottom style="dotted"/>
    </border>
    <border>
      <left>
        <color indexed="63"/>
      </left>
      <right style="hair"/>
      <top style="hair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hair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dotted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60"/>
      </right>
      <top style="thin"/>
      <bottom>
        <color indexed="63"/>
      </bottom>
    </border>
    <border>
      <left style="hair"/>
      <right style="thin">
        <color indexed="60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60"/>
      </left>
      <right>
        <color indexed="63"/>
      </right>
      <top style="thin"/>
      <bottom style="thin"/>
    </border>
    <border>
      <left>
        <color indexed="63"/>
      </left>
      <right style="medium">
        <color indexed="60"/>
      </right>
      <top style="thin"/>
      <bottom style="thin"/>
    </border>
    <border>
      <left style="hair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uble"/>
      <bottom style="dotted"/>
    </border>
    <border>
      <left style="hair"/>
      <right style="hair"/>
      <top style="dashed"/>
      <bottom style="hair"/>
    </border>
    <border>
      <left>
        <color indexed="63"/>
      </left>
      <right style="thin"/>
      <top style="dashed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ck"/>
      <top style="thin"/>
      <bottom style="thick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>
        <color indexed="63"/>
      </left>
      <right style="dashed"/>
      <top/>
      <bottom style="hair"/>
    </border>
    <border>
      <left style="hair"/>
      <right style="dashed"/>
      <top style="dashed"/>
      <bottom style="hair"/>
    </border>
    <border>
      <left style="dashed"/>
      <right style="dashed"/>
      <top style="dashed"/>
      <bottom style="hair"/>
    </border>
    <border>
      <left style="dashed"/>
      <right style="hair"/>
      <top style="dashed"/>
      <bottom style="hair"/>
    </border>
    <border>
      <left style="hair"/>
      <right style="dashed"/>
      <top>
        <color indexed="63"/>
      </top>
      <bottom style="dashed"/>
    </border>
    <border>
      <left style="dashed"/>
      <right style="dashed"/>
      <top/>
      <bottom style="dashed"/>
    </border>
    <border>
      <left style="slantDashDot"/>
      <right style="slantDashDot"/>
      <top style="slantDashDot"/>
      <bottom style="slantDashDot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hair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ashed"/>
    </border>
    <border>
      <left style="hair"/>
      <right>
        <color indexed="63"/>
      </right>
      <top style="dotted"/>
      <bottom style="dashed"/>
    </border>
    <border>
      <left style="hair"/>
      <right>
        <color indexed="63"/>
      </right>
      <top>
        <color indexed="63"/>
      </top>
      <bottom style="dotted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2" fillId="2" borderId="0" applyNumberFormat="0" applyBorder="0" applyAlignment="0" applyProtection="0"/>
    <xf numFmtId="0" fontId="192" fillId="3" borderId="0" applyNumberFormat="0" applyBorder="0" applyAlignment="0" applyProtection="0"/>
    <xf numFmtId="0" fontId="192" fillId="4" borderId="0" applyNumberFormat="0" applyBorder="0" applyAlignment="0" applyProtection="0"/>
    <xf numFmtId="0" fontId="192" fillId="5" borderId="0" applyNumberFormat="0" applyBorder="0" applyAlignment="0" applyProtection="0"/>
    <xf numFmtId="0" fontId="192" fillId="6" borderId="0" applyNumberFormat="0" applyBorder="0" applyAlignment="0" applyProtection="0"/>
    <xf numFmtId="0" fontId="192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92" fillId="14" borderId="0" applyNumberFormat="0" applyBorder="0" applyAlignment="0" applyProtection="0"/>
    <xf numFmtId="0" fontId="192" fillId="15" borderId="0" applyNumberFormat="0" applyBorder="0" applyAlignment="0" applyProtection="0"/>
    <xf numFmtId="0" fontId="192" fillId="16" borderId="0" applyNumberFormat="0" applyBorder="0" applyAlignment="0" applyProtection="0"/>
    <xf numFmtId="0" fontId="192" fillId="17" borderId="0" applyNumberFormat="0" applyBorder="0" applyAlignment="0" applyProtection="0"/>
    <xf numFmtId="0" fontId="192" fillId="18" borderId="0" applyNumberFormat="0" applyBorder="0" applyAlignment="0" applyProtection="0"/>
    <xf numFmtId="0" fontId="192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11" borderId="0" applyNumberFormat="0" applyBorder="0" applyAlignment="0" applyProtection="0"/>
    <xf numFmtId="0" fontId="103" fillId="20" borderId="0" applyNumberFormat="0" applyBorder="0" applyAlignment="0" applyProtection="0"/>
    <xf numFmtId="0" fontId="103" fillId="23" borderId="0" applyNumberFormat="0" applyBorder="0" applyAlignment="0" applyProtection="0"/>
    <xf numFmtId="0" fontId="193" fillId="24" borderId="0" applyNumberFormat="0" applyBorder="0" applyAlignment="0" applyProtection="0"/>
    <xf numFmtId="0" fontId="193" fillId="25" borderId="0" applyNumberFormat="0" applyBorder="0" applyAlignment="0" applyProtection="0"/>
    <xf numFmtId="0" fontId="193" fillId="26" borderId="0" applyNumberFormat="0" applyBorder="0" applyAlignment="0" applyProtection="0"/>
    <xf numFmtId="0" fontId="193" fillId="27" borderId="0" applyNumberFormat="0" applyBorder="0" applyAlignment="0" applyProtection="0"/>
    <xf numFmtId="0" fontId="193" fillId="28" borderId="0" applyNumberFormat="0" applyBorder="0" applyAlignment="0" applyProtection="0"/>
    <xf numFmtId="0" fontId="193" fillId="29" borderId="0" applyNumberFormat="0" applyBorder="0" applyAlignment="0" applyProtection="0"/>
    <xf numFmtId="0" fontId="104" fillId="3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31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104" fillId="34" borderId="0" applyNumberFormat="0" applyBorder="0" applyAlignment="0" applyProtection="0"/>
    <xf numFmtId="0" fontId="104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1" borderId="0" applyNumberFormat="0" applyBorder="0" applyAlignment="0" applyProtection="0"/>
    <xf numFmtId="0" fontId="104" fillId="32" borderId="0" applyNumberFormat="0" applyBorder="0" applyAlignment="0" applyProtection="0"/>
    <xf numFmtId="0" fontId="104" fillId="37" borderId="0" applyNumberFormat="0" applyBorder="0" applyAlignment="0" applyProtection="0"/>
    <xf numFmtId="0" fontId="105" fillId="38" borderId="1" applyNumberFormat="0" applyAlignment="0" applyProtection="0"/>
    <xf numFmtId="0" fontId="106" fillId="38" borderId="2" applyNumberFormat="0" applyAlignment="0" applyProtection="0"/>
    <xf numFmtId="0" fontId="5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7" fillId="13" borderId="2" applyNumberFormat="0" applyAlignment="0" applyProtection="0"/>
    <xf numFmtId="0" fontId="108" fillId="0" borderId="3" applyNumberFormat="0" applyFill="0" applyAlignment="0" applyProtection="0"/>
    <xf numFmtId="0" fontId="109" fillId="0" borderId="0" applyNumberFormat="0" applyFill="0" applyBorder="0" applyAlignment="0" applyProtection="0"/>
    <xf numFmtId="0" fontId="110" fillId="10" borderId="0" applyNumberFormat="0" applyBorder="0" applyAlignment="0" applyProtection="0"/>
    <xf numFmtId="0" fontId="1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1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12" fillId="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 applyNumberFormat="0" applyFill="0" applyBorder="0" applyAlignment="0" applyProtection="0"/>
    <xf numFmtId="0" fontId="114" fillId="0" borderId="5" applyNumberFormat="0" applyFill="0" applyAlignment="0" applyProtection="0"/>
    <xf numFmtId="0" fontId="115" fillId="0" borderId="6" applyNumberFormat="0" applyFill="0" applyAlignment="0" applyProtection="0"/>
    <xf numFmtId="0" fontId="116" fillId="0" borderId="7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41" borderId="9" applyNumberFormat="0" applyAlignment="0" applyProtection="0"/>
  </cellStyleXfs>
  <cellXfs count="907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16" fillId="40" borderId="0" xfId="0" applyFont="1" applyFill="1" applyAlignment="1">
      <alignment horizontal="right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 horizontal="center" textRotation="90"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center" textRotation="90" wrapText="1"/>
    </xf>
    <xf numFmtId="0" fontId="28" fillId="0" borderId="14" xfId="0" applyFont="1" applyBorder="1" applyAlignment="1">
      <alignment/>
    </xf>
    <xf numFmtId="0" fontId="0" fillId="0" borderId="15" xfId="0" applyFont="1" applyBorder="1" applyAlignment="1">
      <alignment horizontal="right" textRotation="90" wrapText="1"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/>
    </xf>
    <xf numFmtId="0" fontId="0" fillId="42" borderId="0" xfId="0" applyFill="1" applyAlignment="1">
      <alignment horizont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16" fillId="39" borderId="0" xfId="0" applyFont="1" applyFill="1" applyAlignment="1">
      <alignment horizontal="right" vertical="center"/>
    </xf>
    <xf numFmtId="0" fontId="31" fillId="10" borderId="0" xfId="0" applyFont="1" applyFill="1" applyAlignment="1">
      <alignment horizontal="right" vertical="center"/>
    </xf>
    <xf numFmtId="0" fontId="0" fillId="0" borderId="11" xfId="0" applyBorder="1" applyAlignment="1">
      <alignment/>
    </xf>
    <xf numFmtId="0" fontId="33" fillId="0" borderId="0" xfId="0" applyFont="1" applyAlignment="1">
      <alignment horizontal="center" vertical="center" textRotation="90"/>
    </xf>
    <xf numFmtId="0" fontId="32" fillId="0" borderId="0" xfId="0" applyFont="1" applyAlignment="1">
      <alignment horizontal="center" vertical="center" textRotation="90"/>
    </xf>
    <xf numFmtId="0" fontId="42" fillId="43" borderId="25" xfId="0" applyFont="1" applyFill="1" applyBorder="1" applyAlignment="1">
      <alignment horizontal="right" vertical="center" wrapText="1"/>
    </xf>
    <xf numFmtId="0" fontId="42" fillId="43" borderId="0" xfId="0" applyFont="1" applyFill="1" applyAlignment="1">
      <alignment horizontal="right" vertical="center" wrapText="1"/>
    </xf>
    <xf numFmtId="0" fontId="0" fillId="43" borderId="11" xfId="0" applyFill="1" applyBorder="1" applyAlignment="1">
      <alignment/>
    </xf>
    <xf numFmtId="0" fontId="1" fillId="0" borderId="11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3" fillId="0" borderId="11" xfId="0" applyFont="1" applyBorder="1" applyAlignment="1">
      <alignment horizontal="right" textRotation="90" wrapText="1"/>
    </xf>
    <xf numFmtId="0" fontId="43" fillId="0" borderId="26" xfId="0" applyFont="1" applyBorder="1" applyAlignment="1">
      <alignment horizontal="center" textRotation="90" wrapText="1"/>
    </xf>
    <xf numFmtId="0" fontId="43" fillId="0" borderId="11" xfId="0" applyFont="1" applyBorder="1" applyAlignment="1">
      <alignment horizontal="center" textRotation="90" wrapText="1"/>
    </xf>
    <xf numFmtId="0" fontId="43" fillId="0" borderId="0" xfId="0" applyFont="1" applyAlignment="1">
      <alignment horizontal="centerContinuous" wrapText="1"/>
    </xf>
    <xf numFmtId="0" fontId="43" fillId="0" borderId="11" xfId="0" applyFont="1" applyBorder="1" applyAlignment="1">
      <alignment horizontal="centerContinuous" wrapText="1"/>
    </xf>
    <xf numFmtId="0" fontId="28" fillId="43" borderId="27" xfId="0" applyFont="1" applyFill="1" applyBorder="1" applyAlignment="1">
      <alignment vertical="center"/>
    </xf>
    <xf numFmtId="0" fontId="28" fillId="43" borderId="28" xfId="0" applyFont="1" applyFill="1" applyBorder="1" applyAlignment="1">
      <alignment vertical="center"/>
    </xf>
    <xf numFmtId="0" fontId="28" fillId="43" borderId="29" xfId="0" applyFont="1" applyFill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44" fillId="0" borderId="0" xfId="0" applyFont="1" applyAlignment="1">
      <alignment horizontal="center" vertical="center" textRotation="90"/>
    </xf>
    <xf numFmtId="0" fontId="45" fillId="0" borderId="0" xfId="0" applyFont="1" applyAlignment="1">
      <alignment horizontal="center" vertical="center" textRotation="90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33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vertical="center"/>
    </xf>
    <xf numFmtId="0" fontId="0" fillId="0" borderId="0" xfId="80" applyFont="1">
      <alignment/>
      <protection/>
    </xf>
    <xf numFmtId="0" fontId="0" fillId="0" borderId="0" xfId="80" applyFont="1" applyAlignment="1">
      <alignment horizontal="centerContinuous" vertical="center" wrapText="1"/>
      <protection/>
    </xf>
    <xf numFmtId="0" fontId="11" fillId="0" borderId="0" xfId="80" applyFont="1" applyAlignment="1">
      <alignment horizontal="centerContinuous" vertical="center" wrapText="1"/>
      <protection/>
    </xf>
    <xf numFmtId="0" fontId="11" fillId="0" borderId="0" xfId="80" applyFont="1" applyAlignment="1">
      <alignment vertical="center"/>
      <protection/>
    </xf>
    <xf numFmtId="0" fontId="46" fillId="0" borderId="0" xfId="80" applyFont="1" applyAlignment="1">
      <alignment vertical="center" textRotation="90"/>
      <protection/>
    </xf>
    <xf numFmtId="0" fontId="0" fillId="0" borderId="0" xfId="80" applyFont="1" applyAlignment="1">
      <alignment vertical="center"/>
      <protection/>
    </xf>
    <xf numFmtId="0" fontId="57" fillId="0" borderId="0" xfId="87" applyFont="1" applyAlignment="1">
      <alignment horizontal="right"/>
      <protection/>
    </xf>
    <xf numFmtId="0" fontId="57" fillId="0" borderId="0" xfId="87" applyFont="1">
      <alignment/>
      <protection/>
    </xf>
    <xf numFmtId="0" fontId="0" fillId="0" borderId="0" xfId="86" applyAlignment="1">
      <alignment vertical="center"/>
      <protection/>
    </xf>
    <xf numFmtId="0" fontId="27" fillId="0" borderId="32" xfId="86" applyFont="1" applyBorder="1" applyAlignment="1" applyProtection="1">
      <alignment horizontal="left" vertical="top"/>
      <protection locked="0"/>
    </xf>
    <xf numFmtId="0" fontId="25" fillId="0" borderId="32" xfId="86" applyFont="1" applyBorder="1" applyAlignment="1">
      <alignment horizontal="left" vertical="center"/>
      <protection/>
    </xf>
    <xf numFmtId="0" fontId="0" fillId="0" borderId="32" xfId="86" applyBorder="1" applyAlignment="1">
      <alignment vertical="center"/>
      <protection/>
    </xf>
    <xf numFmtId="0" fontId="26" fillId="0" borderId="0" xfId="86" applyFont="1" applyAlignment="1">
      <alignment horizontal="center"/>
      <protection/>
    </xf>
    <xf numFmtId="0" fontId="0" fillId="0" borderId="0" xfId="86" applyAlignment="1">
      <alignment horizontal="left"/>
      <protection/>
    </xf>
    <xf numFmtId="0" fontId="27" fillId="0" borderId="0" xfId="86" applyFont="1">
      <alignment/>
      <protection/>
    </xf>
    <xf numFmtId="0" fontId="27" fillId="0" borderId="0" xfId="86" applyFont="1" applyAlignment="1">
      <alignment vertical="center"/>
      <protection/>
    </xf>
    <xf numFmtId="0" fontId="34" fillId="0" borderId="0" xfId="86" applyFont="1" applyAlignment="1">
      <alignment horizontal="right" vertical="top"/>
      <protection/>
    </xf>
    <xf numFmtId="0" fontId="40" fillId="0" borderId="0" xfId="86" applyFont="1" applyAlignment="1">
      <alignment vertical="center"/>
      <protection/>
    </xf>
    <xf numFmtId="0" fontId="41" fillId="0" borderId="0" xfId="86" applyFont="1" applyAlignment="1">
      <alignment horizontal="center" vertical="center" textRotation="90"/>
      <protection/>
    </xf>
    <xf numFmtId="0" fontId="29" fillId="0" borderId="0" xfId="86" applyFont="1" applyAlignment="1">
      <alignment vertical="center"/>
      <protection/>
    </xf>
    <xf numFmtId="0" fontId="23" fillId="0" borderId="0" xfId="86" applyFont="1" applyAlignment="1">
      <alignment horizontal="center" vertical="top"/>
      <protection/>
    </xf>
    <xf numFmtId="0" fontId="49" fillId="0" borderId="28" xfId="86" applyFont="1" applyBorder="1" applyAlignment="1">
      <alignment horizontal="right" vertical="top"/>
      <protection/>
    </xf>
    <xf numFmtId="0" fontId="0" fillId="0" borderId="28" xfId="86" applyFont="1" applyBorder="1" applyAlignment="1">
      <alignment horizontal="centerContinuous" vertical="center" wrapText="1"/>
      <protection/>
    </xf>
    <xf numFmtId="0" fontId="0" fillId="0" borderId="11" xfId="86" applyFont="1" applyBorder="1">
      <alignment/>
      <protection/>
    </xf>
    <xf numFmtId="0" fontId="32" fillId="0" borderId="0" xfId="86" applyFont="1" applyAlignment="1">
      <alignment horizontal="center" vertical="center" textRotation="90"/>
      <protection/>
    </xf>
    <xf numFmtId="0" fontId="18" fillId="43" borderId="25" xfId="86" applyFont="1" applyFill="1" applyBorder="1" applyAlignment="1">
      <alignment horizontal="right" vertical="center" wrapText="1" indent="2"/>
      <protection/>
    </xf>
    <xf numFmtId="0" fontId="0" fillId="43" borderId="11" xfId="86" applyFill="1" applyBorder="1" applyAlignment="1">
      <alignment horizontal="left"/>
      <protection/>
    </xf>
    <xf numFmtId="0" fontId="1" fillId="0" borderId="0" xfId="86" applyFont="1" applyAlignment="1">
      <alignment horizontal="center" textRotation="90" wrapText="1"/>
      <protection/>
    </xf>
    <xf numFmtId="0" fontId="0" fillId="0" borderId="11" xfId="86" applyBorder="1" applyAlignment="1">
      <alignment horizontal="left"/>
      <protection/>
    </xf>
    <xf numFmtId="0" fontId="0" fillId="0" borderId="11" xfId="86" applyBorder="1">
      <alignment/>
      <protection/>
    </xf>
    <xf numFmtId="0" fontId="4" fillId="0" borderId="34" xfId="86" applyFont="1" applyBorder="1" applyAlignment="1">
      <alignment horizontal="center" wrapText="1"/>
      <protection/>
    </xf>
    <xf numFmtId="0" fontId="28" fillId="43" borderId="35" xfId="86" applyFont="1" applyFill="1" applyBorder="1" applyAlignment="1">
      <alignment vertical="center"/>
      <protection/>
    </xf>
    <xf numFmtId="0" fontId="28" fillId="43" borderId="36" xfId="86" applyFont="1" applyFill="1" applyBorder="1" applyAlignment="1">
      <alignment vertical="center"/>
      <protection/>
    </xf>
    <xf numFmtId="0" fontId="28" fillId="0" borderId="37" xfId="86" applyFont="1" applyBorder="1" applyAlignment="1">
      <alignment vertical="center"/>
      <protection/>
    </xf>
    <xf numFmtId="0" fontId="28" fillId="0" borderId="36" xfId="86" applyFont="1" applyBorder="1" applyAlignment="1">
      <alignment vertical="center"/>
      <protection/>
    </xf>
    <xf numFmtId="0" fontId="28" fillId="0" borderId="38" xfId="86" applyFont="1" applyBorder="1" applyAlignment="1">
      <alignment vertical="center"/>
      <protection/>
    </xf>
    <xf numFmtId="0" fontId="28" fillId="0" borderId="39" xfId="86" applyFont="1" applyBorder="1" applyAlignment="1">
      <alignment vertical="center"/>
      <protection/>
    </xf>
    <xf numFmtId="0" fontId="28" fillId="0" borderId="11" xfId="86" applyFont="1" applyBorder="1" applyAlignment="1">
      <alignment vertical="center"/>
      <protection/>
    </xf>
    <xf numFmtId="0" fontId="28" fillId="0" borderId="0" xfId="86" applyFont="1" applyAlignment="1">
      <alignment vertical="center"/>
      <protection/>
    </xf>
    <xf numFmtId="0" fontId="5" fillId="0" borderId="40" xfId="86" applyFont="1" applyBorder="1" applyAlignment="1" applyProtection="1">
      <alignment horizontal="centerContinuous" vertical="center"/>
      <protection locked="0"/>
    </xf>
    <xf numFmtId="0" fontId="21" fillId="0" borderId="41" xfId="86" applyFont="1" applyBorder="1" applyAlignment="1">
      <alignment horizontal="right" vertical="center"/>
      <protection/>
    </xf>
    <xf numFmtId="0" fontId="1" fillId="0" borderId="42" xfId="86" applyFont="1" applyBorder="1" applyAlignment="1">
      <alignment horizontal="center" vertical="center"/>
      <protection/>
    </xf>
    <xf numFmtId="0" fontId="0" fillId="0" borderId="42" xfId="80" applyBorder="1" applyAlignment="1">
      <alignment horizontal="left" vertical="center"/>
      <protection/>
    </xf>
    <xf numFmtId="0" fontId="30" fillId="0" borderId="11" xfId="86" applyFont="1" applyBorder="1" applyAlignment="1">
      <alignment horizontal="left" vertical="center" textRotation="90"/>
      <protection/>
    </xf>
    <xf numFmtId="0" fontId="0" fillId="0" borderId="43" xfId="86" applyFont="1" applyBorder="1" applyAlignment="1" applyProtection="1">
      <alignment horizontal="center" vertical="center"/>
      <protection locked="0"/>
    </xf>
    <xf numFmtId="0" fontId="0" fillId="0" borderId="44" xfId="86" applyFont="1" applyBorder="1" applyAlignment="1" applyProtection="1">
      <alignment horizontal="center" vertical="center"/>
      <protection locked="0"/>
    </xf>
    <xf numFmtId="0" fontId="0" fillId="0" borderId="45" xfId="86" applyFont="1" applyBorder="1" applyAlignment="1" applyProtection="1">
      <alignment horizontal="center" vertical="center"/>
      <protection locked="0"/>
    </xf>
    <xf numFmtId="0" fontId="0" fillId="0" borderId="11" xfId="86" applyBorder="1" applyAlignment="1">
      <alignment horizontal="center" vertical="center"/>
      <protection/>
    </xf>
    <xf numFmtId="0" fontId="4" fillId="0" borderId="44" xfId="86" applyFont="1" applyBorder="1" applyAlignment="1" applyProtection="1">
      <alignment horizontal="center" vertical="center"/>
      <protection locked="0"/>
    </xf>
    <xf numFmtId="0" fontId="56" fillId="0" borderId="0" xfId="86" applyFont="1" applyAlignment="1">
      <alignment horizontal="center" vertical="center" textRotation="90"/>
      <protection/>
    </xf>
    <xf numFmtId="0" fontId="5" fillId="0" borderId="46" xfId="86" applyFont="1" applyBorder="1" applyAlignment="1" applyProtection="1">
      <alignment horizontal="left" vertical="center" indent="1"/>
      <protection locked="0"/>
    </xf>
    <xf numFmtId="0" fontId="21" fillId="0" borderId="44" xfId="86" applyFont="1" applyBorder="1" applyAlignment="1">
      <alignment horizontal="right" vertical="center"/>
      <protection/>
    </xf>
    <xf numFmtId="0" fontId="1" fillId="0" borderId="47" xfId="86" applyFont="1" applyBorder="1" applyAlignment="1" applyProtection="1">
      <alignment horizontal="center" vertical="center"/>
      <protection locked="0"/>
    </xf>
    <xf numFmtId="0" fontId="21" fillId="0" borderId="11" xfId="86" applyFont="1" applyBorder="1" applyAlignment="1">
      <alignment horizontal="center" vertical="center"/>
      <protection/>
    </xf>
    <xf numFmtId="0" fontId="5" fillId="0" borderId="27" xfId="86" applyFont="1" applyBorder="1" applyAlignment="1" applyProtection="1">
      <alignment horizontal="left" vertical="center" indent="1"/>
      <protection locked="0"/>
    </xf>
    <xf numFmtId="0" fontId="21" fillId="0" borderId="29" xfId="86" applyFont="1" applyBorder="1" applyAlignment="1">
      <alignment horizontal="right" vertical="center"/>
      <protection/>
    </xf>
    <xf numFmtId="0" fontId="1" fillId="0" borderId="30" xfId="86" applyFont="1" applyBorder="1" applyAlignment="1" applyProtection="1">
      <alignment horizontal="center" vertical="center"/>
      <protection locked="0"/>
    </xf>
    <xf numFmtId="0" fontId="0" fillId="0" borderId="29" xfId="86" applyFont="1" applyBorder="1" applyAlignment="1" applyProtection="1">
      <alignment horizontal="center" vertical="center"/>
      <protection locked="0"/>
    </xf>
    <xf numFmtId="0" fontId="0" fillId="0" borderId="48" xfId="86" applyFont="1" applyBorder="1" applyAlignment="1" applyProtection="1">
      <alignment horizontal="center" vertical="center"/>
      <protection locked="0"/>
    </xf>
    <xf numFmtId="0" fontId="0" fillId="0" borderId="49" xfId="86" applyFont="1" applyBorder="1" applyAlignment="1" applyProtection="1">
      <alignment horizontal="center" vertical="center"/>
      <protection locked="0"/>
    </xf>
    <xf numFmtId="0" fontId="4" fillId="0" borderId="29" xfId="86" applyFont="1" applyBorder="1" applyAlignment="1" applyProtection="1">
      <alignment horizontal="center" vertical="center"/>
      <protection locked="0"/>
    </xf>
    <xf numFmtId="0" fontId="0" fillId="0" borderId="0" xfId="86" applyFont="1" applyAlignment="1">
      <alignment vertical="center"/>
      <protection/>
    </xf>
    <xf numFmtId="0" fontId="23" fillId="0" borderId="0" xfId="86" applyFont="1" applyAlignment="1">
      <alignment vertical="top"/>
      <protection/>
    </xf>
    <xf numFmtId="0" fontId="0" fillId="0" borderId="0" xfId="86" applyFont="1" applyAlignment="1">
      <alignment horizontal="left" vertical="center"/>
      <protection/>
    </xf>
    <xf numFmtId="0" fontId="11" fillId="0" borderId="0" xfId="86" applyFont="1" applyAlignment="1">
      <alignment vertical="center"/>
      <protection/>
    </xf>
    <xf numFmtId="0" fontId="23" fillId="0" borderId="0" xfId="86" applyFont="1" applyAlignment="1">
      <alignment vertical="center"/>
      <protection/>
    </xf>
    <xf numFmtId="0" fontId="24" fillId="0" borderId="32" xfId="86" applyFont="1" applyBorder="1" applyAlignment="1">
      <alignment horizontal="centerContinuous" vertical="center"/>
      <protection/>
    </xf>
    <xf numFmtId="0" fontId="8" fillId="0" borderId="32" xfId="86" applyFont="1" applyBorder="1" applyAlignment="1">
      <alignment horizontal="centerContinuous" vertical="center"/>
      <protection/>
    </xf>
    <xf numFmtId="0" fontId="8" fillId="0" borderId="0" xfId="86" applyFont="1" applyAlignment="1">
      <alignment vertical="center"/>
      <protection/>
    </xf>
    <xf numFmtId="0" fontId="8" fillId="0" borderId="0" xfId="86" applyFont="1" applyAlignment="1">
      <alignment horizontal="left" vertical="center"/>
      <protection/>
    </xf>
    <xf numFmtId="14" fontId="62" fillId="0" borderId="32" xfId="86" applyNumberFormat="1" applyFont="1" applyBorder="1" applyAlignment="1">
      <alignment horizontal="centerContinuous" vertical="center"/>
      <protection/>
    </xf>
    <xf numFmtId="0" fontId="7" fillId="0" borderId="0" xfId="86" applyFont="1" applyAlignment="1">
      <alignment vertical="center"/>
      <protection/>
    </xf>
    <xf numFmtId="0" fontId="19" fillId="0" borderId="0" xfId="86" applyFont="1" applyAlignment="1">
      <alignment horizontal="centerContinuous" vertical="center"/>
      <protection/>
    </xf>
    <xf numFmtId="0" fontId="19" fillId="0" borderId="0" xfId="86" applyFont="1" applyAlignment="1">
      <alignment vertical="center"/>
      <protection/>
    </xf>
    <xf numFmtId="0" fontId="19" fillId="0" borderId="0" xfId="86" applyFont="1" applyAlignment="1">
      <alignment horizontal="left" vertical="center"/>
      <protection/>
    </xf>
    <xf numFmtId="0" fontId="54" fillId="0" borderId="0" xfId="86" applyFont="1" applyAlignment="1">
      <alignment vertical="center"/>
      <protection/>
    </xf>
    <xf numFmtId="0" fontId="0" fillId="0" borderId="0" xfId="86" applyAlignment="1">
      <alignment horizontal="left" vertical="center"/>
      <protection/>
    </xf>
    <xf numFmtId="0" fontId="32" fillId="0" borderId="0" xfId="86" applyFont="1" applyAlignment="1">
      <alignment vertical="center"/>
      <protection/>
    </xf>
    <xf numFmtId="0" fontId="0" fillId="0" borderId="0" xfId="86" applyAlignment="1" applyProtection="1">
      <alignment horizontal="right" vertical="center"/>
      <protection locked="0"/>
    </xf>
    <xf numFmtId="0" fontId="29" fillId="0" borderId="32" xfId="86" applyFont="1" applyBorder="1" applyAlignment="1">
      <alignment vertical="center"/>
      <protection/>
    </xf>
    <xf numFmtId="0" fontId="34" fillId="44" borderId="50" xfId="80" applyFont="1" applyFill="1" applyBorder="1" applyAlignment="1">
      <alignment vertical="center"/>
      <protection/>
    </xf>
    <xf numFmtId="0" fontId="63" fillId="44" borderId="51" xfId="80" applyFont="1" applyFill="1" applyBorder="1" applyAlignment="1">
      <alignment vertical="center"/>
      <protection/>
    </xf>
    <xf numFmtId="0" fontId="18" fillId="44" borderId="51" xfId="80" applyFont="1" applyFill="1" applyBorder="1" applyAlignment="1">
      <alignment vertical="center"/>
      <protection/>
    </xf>
    <xf numFmtId="0" fontId="34" fillId="44" borderId="51" xfId="80" applyFont="1" applyFill="1" applyBorder="1" applyAlignment="1">
      <alignment horizontal="right" vertical="center"/>
      <protection/>
    </xf>
    <xf numFmtId="0" fontId="64" fillId="44" borderId="51" xfId="80" applyFont="1" applyFill="1" applyBorder="1" applyAlignment="1">
      <alignment vertical="center"/>
      <protection/>
    </xf>
    <xf numFmtId="0" fontId="0" fillId="44" borderId="51" xfId="80" applyFill="1" applyBorder="1" applyAlignment="1">
      <alignment vertical="center"/>
      <protection/>
    </xf>
    <xf numFmtId="0" fontId="24" fillId="44" borderId="52" xfId="80" applyFont="1" applyFill="1" applyBorder="1" applyAlignment="1">
      <alignment horizontal="right" vertical="center"/>
      <protection/>
    </xf>
    <xf numFmtId="0" fontId="32" fillId="0" borderId="0" xfId="80" applyFont="1" applyAlignment="1">
      <alignment vertical="center"/>
      <protection/>
    </xf>
    <xf numFmtId="0" fontId="33" fillId="0" borderId="0" xfId="80" applyFont="1" applyAlignment="1">
      <alignment vertical="center" textRotation="90"/>
      <protection/>
    </xf>
    <xf numFmtId="0" fontId="0" fillId="0" borderId="0" xfId="80" applyAlignment="1">
      <alignment vertical="center"/>
      <protection/>
    </xf>
    <xf numFmtId="0" fontId="18" fillId="0" borderId="53" xfId="86" applyFont="1" applyBorder="1" applyAlignment="1">
      <alignment horizontal="right" vertical="center" wrapText="1" indent="3"/>
      <protection/>
    </xf>
    <xf numFmtId="0" fontId="18" fillId="0" borderId="12" xfId="86" applyFont="1" applyBorder="1" applyAlignment="1">
      <alignment horizontal="right" wrapText="1"/>
      <protection/>
    </xf>
    <xf numFmtId="0" fontId="0" fillId="0" borderId="54" xfId="86" applyBorder="1" applyAlignment="1">
      <alignment horizontal="left"/>
      <protection/>
    </xf>
    <xf numFmtId="0" fontId="43" fillId="0" borderId="52" xfId="80" applyFont="1" applyBorder="1" applyAlignment="1">
      <alignment horizontal="center" textRotation="90" wrapText="1"/>
      <protection/>
    </xf>
    <xf numFmtId="0" fontId="43" fillId="0" borderId="55" xfId="80" applyFont="1" applyBorder="1" applyAlignment="1">
      <alignment horizontal="center" textRotation="90" wrapText="1"/>
      <protection/>
    </xf>
    <xf numFmtId="0" fontId="43" fillId="0" borderId="55" xfId="80" applyFont="1" applyBorder="1" applyAlignment="1">
      <alignment horizontal="center" textRotation="90" wrapText="1"/>
      <protection/>
    </xf>
    <xf numFmtId="0" fontId="28" fillId="0" borderId="35" xfId="86" applyFont="1" applyBorder="1" applyAlignment="1">
      <alignment vertical="center"/>
      <protection/>
    </xf>
    <xf numFmtId="0" fontId="28" fillId="0" borderId="56" xfId="86" applyFont="1" applyBorder="1" applyAlignment="1">
      <alignment vertical="center"/>
      <protection/>
    </xf>
    <xf numFmtId="0" fontId="28" fillId="0" borderId="57" xfId="86" applyFont="1" applyBorder="1" applyAlignment="1">
      <alignment vertical="center"/>
      <protection/>
    </xf>
    <xf numFmtId="0" fontId="28" fillId="0" borderId="58" xfId="86" applyFont="1" applyBorder="1" applyAlignment="1">
      <alignment vertical="center"/>
      <protection/>
    </xf>
    <xf numFmtId="0" fontId="1" fillId="0" borderId="59" xfId="86" applyFont="1" applyBorder="1" applyAlignment="1" applyProtection="1">
      <alignment horizontal="center" vertical="center"/>
      <protection locked="0"/>
    </xf>
    <xf numFmtId="0" fontId="1" fillId="0" borderId="44" xfId="86" applyFont="1" applyBorder="1" applyAlignment="1" applyProtection="1">
      <alignment horizontal="center" vertical="center"/>
      <protection locked="0"/>
    </xf>
    <xf numFmtId="0" fontId="0" fillId="0" borderId="46" xfId="86" applyFont="1" applyBorder="1" applyAlignment="1" applyProtection="1">
      <alignment horizontal="centerContinuous" vertical="center"/>
      <protection locked="0"/>
    </xf>
    <xf numFmtId="0" fontId="0" fillId="0" borderId="60" xfId="86" applyFont="1" applyBorder="1" applyAlignment="1">
      <alignment horizontal="centerContinuous" vertical="center"/>
      <protection/>
    </xf>
    <xf numFmtId="0" fontId="7" fillId="0" borderId="0" xfId="86" applyFont="1" applyAlignment="1">
      <alignment horizontal="center" vertical="center" textRotation="90"/>
      <protection/>
    </xf>
    <xf numFmtId="0" fontId="1" fillId="0" borderId="61" xfId="86" applyFont="1" applyBorder="1" applyAlignment="1" applyProtection="1">
      <alignment horizontal="center" vertical="center"/>
      <protection locked="0"/>
    </xf>
    <xf numFmtId="0" fontId="0" fillId="0" borderId="32" xfId="86" applyFont="1" applyBorder="1" applyAlignment="1" applyProtection="1">
      <alignment horizontal="centerContinuous" vertical="center"/>
      <protection locked="0"/>
    </xf>
    <xf numFmtId="0" fontId="0" fillId="0" borderId="44" xfId="86" applyFont="1" applyBorder="1" applyAlignment="1">
      <alignment horizontal="centerContinuous" vertical="center"/>
      <protection/>
    </xf>
    <xf numFmtId="0" fontId="1" fillId="0" borderId="62" xfId="86" applyFont="1" applyBorder="1" applyAlignment="1" applyProtection="1">
      <alignment horizontal="center" vertical="center"/>
      <protection locked="0"/>
    </xf>
    <xf numFmtId="0" fontId="1" fillId="0" borderId="63" xfId="86" applyFont="1" applyBorder="1" applyAlignment="1" applyProtection="1">
      <alignment horizontal="center" vertical="center"/>
      <protection locked="0"/>
    </xf>
    <xf numFmtId="0" fontId="0" fillId="0" borderId="64" xfId="86" applyFont="1" applyBorder="1" applyAlignment="1" applyProtection="1">
      <alignment horizontal="centerContinuous" vertical="center"/>
      <protection locked="0"/>
    </xf>
    <xf numFmtId="0" fontId="0" fillId="0" borderId="65" xfId="86" applyFont="1" applyBorder="1" applyAlignment="1">
      <alignment horizontal="centerContinuous" vertical="center"/>
      <protection/>
    </xf>
    <xf numFmtId="0" fontId="0" fillId="0" borderId="66" xfId="86" applyFont="1" applyBorder="1" applyAlignment="1" applyProtection="1">
      <alignment horizontal="center" vertical="center"/>
      <protection locked="0"/>
    </xf>
    <xf numFmtId="0" fontId="1" fillId="0" borderId="0" xfId="86" applyFont="1" applyAlignment="1" applyProtection="1">
      <alignment horizontal="center" vertical="center"/>
      <protection locked="0"/>
    </xf>
    <xf numFmtId="0" fontId="0" fillId="0" borderId="0" xfId="86" applyFont="1" applyAlignment="1" applyProtection="1">
      <alignment horizontal="centerContinuous" vertical="center"/>
      <protection locked="0"/>
    </xf>
    <xf numFmtId="0" fontId="0" fillId="0" borderId="0" xfId="86" applyFont="1" applyAlignment="1">
      <alignment horizontal="centerContinuous" vertical="center"/>
      <protection/>
    </xf>
    <xf numFmtId="0" fontId="0" fillId="0" borderId="0" xfId="86" applyFont="1" applyAlignment="1" applyProtection="1">
      <alignment horizontal="center" vertical="center"/>
      <protection locked="0"/>
    </xf>
    <xf numFmtId="0" fontId="4" fillId="0" borderId="0" xfId="86" applyFont="1" applyAlignment="1">
      <alignment horizontal="left" vertical="center" indent="1"/>
      <protection/>
    </xf>
    <xf numFmtId="0" fontId="4" fillId="0" borderId="0" xfId="86" applyFont="1" applyAlignment="1">
      <alignment horizontal="center" vertical="center"/>
      <protection/>
    </xf>
    <xf numFmtId="0" fontId="4" fillId="0" borderId="0" xfId="86" applyFont="1" applyAlignment="1">
      <alignment horizontal="left"/>
      <protection/>
    </xf>
    <xf numFmtId="0" fontId="4" fillId="0" borderId="0" xfId="86" applyFont="1" applyAlignment="1">
      <alignment horizontal="centerContinuous" vertical="center"/>
      <protection/>
    </xf>
    <xf numFmtId="0" fontId="4" fillId="0" borderId="0" xfId="86" applyFont="1" applyAlignment="1">
      <alignment horizontal="center" vertical="center" textRotation="90"/>
      <protection/>
    </xf>
    <xf numFmtId="0" fontId="4" fillId="0" borderId="0" xfId="86" applyFont="1" applyAlignment="1">
      <alignment vertical="center"/>
      <protection/>
    </xf>
    <xf numFmtId="0" fontId="49" fillId="0" borderId="0" xfId="80" applyFont="1" applyAlignment="1">
      <alignment vertical="top"/>
      <protection/>
    </xf>
    <xf numFmtId="0" fontId="58" fillId="0" borderId="0" xfId="80" applyFont="1" applyAlignment="1">
      <alignment vertical="center"/>
      <protection/>
    </xf>
    <xf numFmtId="0" fontId="29" fillId="0" borderId="0" xfId="80" applyFont="1" applyAlignment="1">
      <alignment horizontal="center" vertical="center"/>
      <protection/>
    </xf>
    <xf numFmtId="0" fontId="35" fillId="45" borderId="0" xfId="80" applyFont="1" applyFill="1" applyAlignment="1">
      <alignment vertical="center"/>
      <protection/>
    </xf>
    <xf numFmtId="0" fontId="36" fillId="0" borderId="0" xfId="80" applyFont="1" applyAlignment="1">
      <alignment vertical="center" textRotation="90"/>
      <protection/>
    </xf>
    <xf numFmtId="0" fontId="0" fillId="0" borderId="0" xfId="80" applyAlignment="1">
      <alignment vertical="center" textRotation="90"/>
      <protection/>
    </xf>
    <xf numFmtId="0" fontId="10" fillId="0" borderId="0" xfId="80" applyFont="1">
      <alignment/>
      <protection/>
    </xf>
    <xf numFmtId="0" fontId="8" fillId="0" borderId="0" xfId="80" applyFont="1">
      <alignment/>
      <protection/>
    </xf>
    <xf numFmtId="0" fontId="2" fillId="0" borderId="0" xfId="80" applyFont="1" applyAlignment="1">
      <alignment horizontal="right"/>
      <protection/>
    </xf>
    <xf numFmtId="0" fontId="18" fillId="0" borderId="0" xfId="80" applyFont="1">
      <alignment/>
      <protection/>
    </xf>
    <xf numFmtId="0" fontId="5" fillId="0" borderId="0" xfId="80" applyFont="1" applyAlignment="1" applyProtection="1">
      <alignment horizontal="left"/>
      <protection locked="0"/>
    </xf>
    <xf numFmtId="0" fontId="5" fillId="0" borderId="0" xfId="80" applyFont="1" applyAlignment="1">
      <alignment horizontal="left"/>
      <protection/>
    </xf>
    <xf numFmtId="0" fontId="0" fillId="0" borderId="0" xfId="80" applyFont="1" applyAlignment="1">
      <alignment horizontal="left" vertical="top"/>
      <protection/>
    </xf>
    <xf numFmtId="0" fontId="2" fillId="0" borderId="0" xfId="80" applyFont="1" applyAlignment="1">
      <alignment horizontal="left" vertical="top"/>
      <protection/>
    </xf>
    <xf numFmtId="0" fontId="2" fillId="0" borderId="28" xfId="80" applyFont="1" applyBorder="1" applyAlignment="1">
      <alignment horizontal="left" vertical="top"/>
      <protection/>
    </xf>
    <xf numFmtId="0" fontId="0" fillId="0" borderId="28" xfId="80" applyFont="1" applyBorder="1" applyAlignment="1">
      <alignment horizontal="left" vertical="top"/>
      <protection/>
    </xf>
    <xf numFmtId="0" fontId="11" fillId="0" borderId="0" xfId="80" applyFont="1" applyAlignment="1">
      <alignment vertical="top" textRotation="90"/>
      <protection/>
    </xf>
    <xf numFmtId="0" fontId="46" fillId="0" borderId="0" xfId="80" applyFont="1" applyAlignment="1">
      <alignment vertical="top" textRotation="90"/>
      <protection/>
    </xf>
    <xf numFmtId="0" fontId="0" fillId="0" borderId="0" xfId="80" applyFont="1" applyAlignment="1">
      <alignment vertical="top"/>
      <protection/>
    </xf>
    <xf numFmtId="0" fontId="24" fillId="0" borderId="28" xfId="80" applyFont="1" applyBorder="1" applyAlignment="1">
      <alignment horizontal="centerContinuous" vertical="top"/>
      <protection/>
    </xf>
    <xf numFmtId="0" fontId="8" fillId="0" borderId="29" xfId="80" applyFont="1" applyBorder="1" applyAlignment="1">
      <alignment horizontal="centerContinuous" vertical="center"/>
      <protection/>
    </xf>
    <xf numFmtId="0" fontId="0" fillId="0" borderId="67" xfId="80" applyFont="1" applyBorder="1" applyAlignment="1">
      <alignment horizontal="centerContinuous" vertical="center" wrapText="1"/>
      <protection/>
    </xf>
    <xf numFmtId="0" fontId="0" fillId="0" borderId="68" xfId="80" applyFont="1" applyBorder="1" applyAlignment="1">
      <alignment horizontal="centerContinuous" vertical="center" wrapText="1"/>
      <protection/>
    </xf>
    <xf numFmtId="0" fontId="0" fillId="0" borderId="11" xfId="80" applyBorder="1">
      <alignment/>
      <protection/>
    </xf>
    <xf numFmtId="0" fontId="5" fillId="0" borderId="67" xfId="80" applyFont="1" applyBorder="1" applyAlignment="1">
      <alignment horizontal="centerContinuous" vertical="center" wrapText="1"/>
      <protection/>
    </xf>
    <xf numFmtId="0" fontId="0" fillId="0" borderId="32" xfId="80" applyBorder="1" applyAlignment="1">
      <alignment horizontal="centerContinuous" vertical="center"/>
      <protection/>
    </xf>
    <xf numFmtId="0" fontId="0" fillId="0" borderId="44" xfId="80" applyBorder="1" applyAlignment="1">
      <alignment horizontal="centerContinuous" vertical="center"/>
      <protection/>
    </xf>
    <xf numFmtId="0" fontId="32" fillId="0" borderId="0" xfId="80" applyFont="1" applyAlignment="1">
      <alignment vertical="center" textRotation="90"/>
      <protection/>
    </xf>
    <xf numFmtId="0" fontId="5" fillId="0" borderId="27" xfId="80" applyFont="1" applyBorder="1" applyAlignment="1">
      <alignment vertical="center"/>
      <protection/>
    </xf>
    <xf numFmtId="0" fontId="5" fillId="0" borderId="28" xfId="80" applyFont="1" applyBorder="1" applyAlignment="1" applyProtection="1">
      <alignment horizontal="center" vertical="center"/>
      <protection locked="0"/>
    </xf>
    <xf numFmtId="0" fontId="10" fillId="0" borderId="29" xfId="80" applyFont="1" applyBorder="1" applyAlignment="1">
      <alignment horizontal="center" vertical="center"/>
      <protection/>
    </xf>
    <xf numFmtId="0" fontId="0" fillId="0" borderId="29" xfId="80" applyBorder="1" applyAlignment="1" applyProtection="1">
      <alignment horizontal="center" vertical="center"/>
      <protection locked="0"/>
    </xf>
    <xf numFmtId="0" fontId="0" fillId="0" borderId="30" xfId="80" applyBorder="1" applyAlignment="1" applyProtection="1">
      <alignment horizontal="center" vertical="center"/>
      <protection locked="0"/>
    </xf>
    <xf numFmtId="0" fontId="0" fillId="0" borderId="11" xfId="80" applyBorder="1" applyAlignment="1">
      <alignment horizontal="center" vertical="center"/>
      <protection/>
    </xf>
    <xf numFmtId="0" fontId="5" fillId="0" borderId="0" xfId="80" applyFont="1" applyAlignment="1">
      <alignment vertical="center"/>
      <protection/>
    </xf>
    <xf numFmtId="0" fontId="8" fillId="0" borderId="32" xfId="80" applyFont="1" applyBorder="1" applyAlignment="1">
      <alignment vertical="center"/>
      <protection/>
    </xf>
    <xf numFmtId="0" fontId="8" fillId="0" borderId="0" xfId="80" applyFont="1" applyAlignment="1">
      <alignment vertical="center"/>
      <protection/>
    </xf>
    <xf numFmtId="0" fontId="8" fillId="0" borderId="32" xfId="80" applyFont="1" applyBorder="1" applyAlignment="1">
      <alignment horizontal="centerContinuous" vertical="center"/>
      <protection/>
    </xf>
    <xf numFmtId="0" fontId="7" fillId="0" borderId="0" xfId="80" applyFont="1" applyAlignment="1">
      <alignment vertical="center"/>
      <protection/>
    </xf>
    <xf numFmtId="0" fontId="48" fillId="0" borderId="0" xfId="80" applyFont="1" applyAlignment="1">
      <alignment vertical="center" textRotation="90"/>
      <protection/>
    </xf>
    <xf numFmtId="0" fontId="19" fillId="0" borderId="0" xfId="80" applyFont="1" applyAlignment="1">
      <alignment horizontal="centerContinuous" vertical="center"/>
      <protection/>
    </xf>
    <xf numFmtId="0" fontId="19" fillId="0" borderId="0" xfId="80" applyFont="1" applyAlignment="1">
      <alignment vertical="center"/>
      <protection/>
    </xf>
    <xf numFmtId="0" fontId="0" fillId="0" borderId="0" xfId="80" applyFont="1" applyAlignment="1">
      <alignment horizontal="centerContinuous" vertical="center"/>
      <protection/>
    </xf>
    <xf numFmtId="0" fontId="65" fillId="0" borderId="0" xfId="80" applyFont="1" applyAlignment="1" applyProtection="1">
      <alignment horizontal="right" vertical="center"/>
      <protection locked="0"/>
    </xf>
    <xf numFmtId="0" fontId="28" fillId="0" borderId="69" xfId="86" applyFont="1" applyBorder="1" applyAlignment="1">
      <alignment vertical="center"/>
      <protection/>
    </xf>
    <xf numFmtId="0" fontId="0" fillId="0" borderId="70" xfId="86" applyFont="1" applyBorder="1" applyAlignment="1" applyProtection="1">
      <alignment horizontal="center" vertical="center"/>
      <protection locked="0"/>
    </xf>
    <xf numFmtId="0" fontId="4" fillId="0" borderId="71" xfId="86" applyFont="1" applyBorder="1" applyAlignment="1">
      <alignment horizontal="centerContinuous" vertical="center" wrapText="1"/>
      <protection/>
    </xf>
    <xf numFmtId="0" fontId="43" fillId="0" borderId="72" xfId="80" applyFont="1" applyBorder="1" applyAlignment="1">
      <alignment horizontal="center" textRotation="90" wrapText="1"/>
      <protection/>
    </xf>
    <xf numFmtId="0" fontId="0" fillId="0" borderId="0" xfId="86" applyFont="1" applyAlignment="1">
      <alignment horizontal="centerContinuous" vertical="top"/>
      <protection/>
    </xf>
    <xf numFmtId="0" fontId="0" fillId="0" borderId="0" xfId="86" applyFont="1" applyAlignment="1">
      <alignment vertical="top"/>
      <protection/>
    </xf>
    <xf numFmtId="0" fontId="0" fillId="0" borderId="73" xfId="86" applyBorder="1" applyAlignment="1">
      <alignment horizontal="left"/>
      <protection/>
    </xf>
    <xf numFmtId="0" fontId="28" fillId="0" borderId="73" xfId="86" applyFont="1" applyBorder="1" applyAlignment="1">
      <alignment horizontal="left" vertical="center"/>
      <protection/>
    </xf>
    <xf numFmtId="0" fontId="43" fillId="0" borderId="74" xfId="86" applyFont="1" applyBorder="1" applyAlignment="1">
      <alignment horizontal="center" textRotation="90" wrapText="1"/>
      <protection/>
    </xf>
    <xf numFmtId="0" fontId="43" fillId="0" borderId="75" xfId="86" applyFont="1" applyBorder="1" applyAlignment="1">
      <alignment horizontal="center" textRotation="90" wrapText="1"/>
      <protection/>
    </xf>
    <xf numFmtId="0" fontId="43" fillId="0" borderId="76" xfId="80" applyFont="1" applyBorder="1" applyAlignment="1">
      <alignment horizontal="center" textRotation="90" wrapText="1"/>
      <protection/>
    </xf>
    <xf numFmtId="0" fontId="0" fillId="0" borderId="0" xfId="86" applyFont="1" applyAlignment="1">
      <alignment horizontal="left"/>
      <protection/>
    </xf>
    <xf numFmtId="0" fontId="28" fillId="0" borderId="11" xfId="86" applyFont="1" applyBorder="1" applyAlignment="1">
      <alignment horizontal="left" vertical="center"/>
      <protection/>
    </xf>
    <xf numFmtId="0" fontId="28" fillId="0" borderId="77" xfId="86" applyFont="1" applyBorder="1" applyAlignment="1">
      <alignment vertical="center"/>
      <protection/>
    </xf>
    <xf numFmtId="0" fontId="0" fillId="0" borderId="78" xfId="86" applyFont="1" applyBorder="1" applyAlignment="1" applyProtection="1">
      <alignment horizontal="center" vertical="center"/>
      <protection locked="0"/>
    </xf>
    <xf numFmtId="0" fontId="0" fillId="0" borderId="79" xfId="86" applyFont="1" applyBorder="1" applyAlignment="1" applyProtection="1">
      <alignment horizontal="center" vertical="center"/>
      <protection locked="0"/>
    </xf>
    <xf numFmtId="0" fontId="39" fillId="0" borderId="0" xfId="86" applyFont="1" applyAlignment="1">
      <alignment horizontal="right" vertical="top"/>
      <protection/>
    </xf>
    <xf numFmtId="0" fontId="23" fillId="0" borderId="80" xfId="80" applyFont="1" applyBorder="1" applyAlignment="1">
      <alignment horizontal="center" textRotation="90" wrapText="1"/>
      <protection/>
    </xf>
    <xf numFmtId="0" fontId="43" fillId="0" borderId="81" xfId="86" applyFont="1" applyBorder="1" applyAlignment="1">
      <alignment horizontal="center" textRotation="90" wrapText="1"/>
      <protection/>
    </xf>
    <xf numFmtId="0" fontId="4" fillId="0" borderId="82" xfId="86" applyFont="1" applyBorder="1" applyAlignment="1">
      <alignment horizontal="center" textRotation="90" wrapText="1"/>
      <protection/>
    </xf>
    <xf numFmtId="0" fontId="4" fillId="0" borderId="83" xfId="86" applyFont="1" applyBorder="1" applyAlignment="1">
      <alignment horizontal="center" textRotation="90" wrapText="1"/>
      <protection/>
    </xf>
    <xf numFmtId="0" fontId="1" fillId="0" borderId="54" xfId="86" applyFont="1" applyBorder="1" applyAlignment="1">
      <alignment horizontal="right" textRotation="90" wrapText="1"/>
      <protection/>
    </xf>
    <xf numFmtId="0" fontId="0" fillId="0" borderId="28" xfId="86" applyFont="1" applyBorder="1" applyAlignment="1">
      <alignment horizontal="right" vertical="center" wrapText="1"/>
      <protection/>
    </xf>
    <xf numFmtId="0" fontId="4" fillId="0" borderId="84" xfId="86" applyFont="1" applyBorder="1" applyAlignment="1">
      <alignment horizontal="centerContinuous" vertical="top" wrapText="1"/>
      <protection/>
    </xf>
    <xf numFmtId="0" fontId="0" fillId="0" borderId="85" xfId="86" applyFont="1" applyBorder="1" applyAlignment="1">
      <alignment horizontal="centerContinuous" vertical="center" wrapText="1"/>
      <protection/>
    </xf>
    <xf numFmtId="0" fontId="0" fillId="0" borderId="86" xfId="86" applyFont="1" applyBorder="1" applyAlignment="1">
      <alignment horizontal="centerContinuous" vertical="center" wrapText="1"/>
      <protection/>
    </xf>
    <xf numFmtId="0" fontId="5" fillId="0" borderId="87" xfId="86" applyFont="1" applyBorder="1" applyAlignment="1" applyProtection="1">
      <alignment horizontal="left" vertical="center" indent="1"/>
      <protection locked="0"/>
    </xf>
    <xf numFmtId="0" fontId="67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14" fontId="8" fillId="0" borderId="32" xfId="80" applyNumberFormat="1" applyFont="1" applyBorder="1" applyAlignment="1">
      <alignment horizontal="centerContinuous" vertical="center"/>
      <protection/>
    </xf>
    <xf numFmtId="0" fontId="0" fillId="0" borderId="88" xfId="80" applyBorder="1" applyAlignment="1" applyProtection="1">
      <alignment horizontal="center" vertical="center"/>
      <protection locked="0"/>
    </xf>
    <xf numFmtId="0" fontId="1" fillId="0" borderId="89" xfId="80" applyFont="1" applyBorder="1" applyAlignment="1" applyProtection="1">
      <alignment vertical="center"/>
      <protection locked="0"/>
    </xf>
    <xf numFmtId="0" fontId="0" fillId="0" borderId="0" xfId="77">
      <alignment/>
      <protection/>
    </xf>
    <xf numFmtId="0" fontId="0" fillId="0" borderId="0" xfId="77" applyAlignment="1">
      <alignment horizontal="right"/>
      <protection/>
    </xf>
    <xf numFmtId="0" fontId="19" fillId="0" borderId="0" xfId="77" applyFont="1">
      <alignment/>
      <protection/>
    </xf>
    <xf numFmtId="0" fontId="5" fillId="0" borderId="0" xfId="77" applyFont="1" applyAlignment="1">
      <alignment horizontal="right" vertical="center"/>
      <protection/>
    </xf>
    <xf numFmtId="0" fontId="10" fillId="0" borderId="0" xfId="77" applyFont="1">
      <alignment/>
      <protection/>
    </xf>
    <xf numFmtId="0" fontId="0" fillId="0" borderId="0" xfId="77" applyAlignment="1">
      <alignment horizontal="right" vertical="top"/>
      <protection/>
    </xf>
    <xf numFmtId="0" fontId="1" fillId="0" borderId="0" xfId="77" applyFont="1" applyAlignment="1">
      <alignment horizontal="left" vertical="top"/>
      <protection/>
    </xf>
    <xf numFmtId="0" fontId="0" fillId="0" borderId="0" xfId="77" applyFont="1" applyAlignment="1">
      <alignment horizontal="left" vertical="top"/>
      <protection/>
    </xf>
    <xf numFmtId="0" fontId="0" fillId="0" borderId="90" xfId="77" applyFont="1" applyBorder="1" applyAlignment="1">
      <alignment horizontal="left" vertical="top"/>
      <protection/>
    </xf>
    <xf numFmtId="0" fontId="0" fillId="0" borderId="0" xfId="77" applyAlignment="1">
      <alignment horizontal="left" vertical="top"/>
      <protection/>
    </xf>
    <xf numFmtId="0" fontId="52" fillId="0" borderId="0" xfId="77" applyFont="1">
      <alignment/>
      <protection/>
    </xf>
    <xf numFmtId="0" fontId="0" fillId="0" borderId="91" xfId="77" applyBorder="1" applyAlignment="1">
      <alignment horizontal="centerContinuous"/>
      <protection/>
    </xf>
    <xf numFmtId="0" fontId="0" fillId="0" borderId="92" xfId="77" applyBorder="1" applyAlignment="1">
      <alignment horizontal="centerContinuous"/>
      <protection/>
    </xf>
    <xf numFmtId="0" fontId="23" fillId="0" borderId="93" xfId="77" applyFont="1" applyBorder="1" applyAlignment="1">
      <alignment horizontal="center"/>
      <protection/>
    </xf>
    <xf numFmtId="0" fontId="23" fillId="0" borderId="94" xfId="77" applyFont="1" applyBorder="1" applyAlignment="1">
      <alignment horizontal="center"/>
      <protection/>
    </xf>
    <xf numFmtId="0" fontId="4" fillId="0" borderId="95" xfId="77" applyFont="1" applyBorder="1" applyAlignment="1">
      <alignment horizontal="centerContinuous"/>
      <protection/>
    </xf>
    <xf numFmtId="0" fontId="19" fillId="0" borderId="52" xfId="77" applyFont="1" applyBorder="1" applyAlignment="1">
      <alignment horizontal="centerContinuous"/>
      <protection/>
    </xf>
    <xf numFmtId="20" fontId="74" fillId="0" borderId="0" xfId="77" applyNumberFormat="1" applyFont="1">
      <alignment/>
      <protection/>
    </xf>
    <xf numFmtId="0" fontId="52" fillId="0" borderId="14" xfId="77" applyFont="1" applyBorder="1" applyAlignment="1">
      <alignment horizontal="center"/>
      <protection/>
    </xf>
    <xf numFmtId="0" fontId="52" fillId="0" borderId="17" xfId="77" applyFont="1" applyBorder="1" applyAlignment="1">
      <alignment horizontal="center"/>
      <protection/>
    </xf>
    <xf numFmtId="0" fontId="52" fillId="0" borderId="0" xfId="77" applyFont="1" applyAlignment="1">
      <alignment horizontal="center"/>
      <protection/>
    </xf>
    <xf numFmtId="0" fontId="1" fillId="0" borderId="96" xfId="77" applyFont="1" applyBorder="1" applyAlignment="1">
      <alignment horizontal="center"/>
      <protection/>
    </xf>
    <xf numFmtId="0" fontId="1" fillId="0" borderId="97" xfId="77" applyFont="1" applyBorder="1" applyAlignment="1">
      <alignment horizontal="center"/>
      <protection/>
    </xf>
    <xf numFmtId="0" fontId="0" fillId="0" borderId="98" xfId="77" applyBorder="1" applyAlignment="1">
      <alignment horizontal="center"/>
      <protection/>
    </xf>
    <xf numFmtId="0" fontId="0" fillId="0" borderId="99" xfId="77" applyBorder="1" applyAlignment="1">
      <alignment horizontal="center"/>
      <protection/>
    </xf>
    <xf numFmtId="0" fontId="75" fillId="0" borderId="0" xfId="77" applyFont="1" applyAlignment="1">
      <alignment horizontal="center"/>
      <protection/>
    </xf>
    <xf numFmtId="0" fontId="74" fillId="0" borderId="0" xfId="77" applyFont="1">
      <alignment/>
      <protection/>
    </xf>
    <xf numFmtId="0" fontId="77" fillId="0" borderId="0" xfId="77" applyFont="1">
      <alignment/>
      <protection/>
    </xf>
    <xf numFmtId="0" fontId="78" fillId="0" borderId="0" xfId="77" applyFont="1" applyAlignment="1">
      <alignment horizontal="left"/>
      <protection/>
    </xf>
    <xf numFmtId="0" fontId="78" fillId="0" borderId="0" xfId="77" applyFont="1" applyAlignment="1">
      <alignment horizontal="center"/>
      <protection/>
    </xf>
    <xf numFmtId="0" fontId="79" fillId="10" borderId="0" xfId="0" applyFont="1" applyFill="1" applyAlignment="1">
      <alignment horizontal="center" vertical="center"/>
    </xf>
    <xf numFmtId="0" fontId="79" fillId="42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14" fontId="25" fillId="0" borderId="0" xfId="0" applyNumberFormat="1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15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74" fillId="0" borderId="0" xfId="0" applyFont="1" applyAlignment="1">
      <alignment/>
    </xf>
    <xf numFmtId="0" fontId="80" fillId="0" borderId="0" xfId="0" applyFont="1" applyAlignment="1">
      <alignment horizontal="right" vertical="center" indent="1"/>
    </xf>
    <xf numFmtId="0" fontId="81" fillId="0" borderId="0" xfId="0" applyFont="1" applyAlignment="1">
      <alignment vertical="center"/>
    </xf>
    <xf numFmtId="0" fontId="0" fillId="42" borderId="0" xfId="0" applyFill="1" applyAlignment="1">
      <alignment/>
    </xf>
    <xf numFmtId="0" fontId="23" fillId="0" borderId="0" xfId="0" applyFont="1" applyAlignment="1">
      <alignment horizontal="right" vertical="top"/>
    </xf>
    <xf numFmtId="0" fontId="0" fillId="10" borderId="0" xfId="0" applyFill="1" applyAlignment="1">
      <alignment/>
    </xf>
    <xf numFmtId="0" fontId="10" fillId="0" borderId="0" xfId="0" applyFont="1" applyAlignment="1">
      <alignment vertical="top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centerContinuous" vertical="top"/>
    </xf>
    <xf numFmtId="0" fontId="23" fillId="0" borderId="0" xfId="0" applyFont="1" applyAlignment="1">
      <alignment horizontal="centerContinuous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80" fontId="85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100" xfId="0" applyFont="1" applyBorder="1" applyAlignment="1">
      <alignment/>
    </xf>
    <xf numFmtId="0" fontId="26" fillId="0" borderId="92" xfId="0" applyFont="1" applyBorder="1" applyAlignment="1">
      <alignment/>
    </xf>
    <xf numFmtId="0" fontId="0" fillId="0" borderId="94" xfId="0" applyBorder="1" applyAlignment="1">
      <alignment/>
    </xf>
    <xf numFmtId="0" fontId="86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0" fillId="0" borderId="15" xfId="0" applyBorder="1" applyAlignment="1">
      <alignment horizontal="left" vertical="center" indent="1"/>
    </xf>
    <xf numFmtId="0" fontId="30" fillId="0" borderId="0" xfId="0" applyFont="1" applyAlignment="1">
      <alignment/>
    </xf>
    <xf numFmtId="0" fontId="30" fillId="0" borderId="28" xfId="0" applyFont="1" applyBorder="1" applyAlignment="1">
      <alignment horizontal="right" indent="1"/>
    </xf>
    <xf numFmtId="0" fontId="23" fillId="0" borderId="0" xfId="0" applyFont="1" applyAlignment="1">
      <alignment horizontal="right" indent="1"/>
    </xf>
    <xf numFmtId="0" fontId="0" fillId="0" borderId="0" xfId="0" applyAlignment="1">
      <alignment horizontal="centerContinuous"/>
    </xf>
    <xf numFmtId="0" fontId="26" fillId="0" borderId="0" xfId="0" applyFont="1" applyAlignment="1">
      <alignment horizontal="right" vertical="center"/>
    </xf>
    <xf numFmtId="0" fontId="23" fillId="0" borderId="12" xfId="0" applyFont="1" applyBorder="1" applyAlignment="1">
      <alignment horizontal="center" vertical="top"/>
    </xf>
    <xf numFmtId="0" fontId="30" fillId="0" borderId="0" xfId="0" applyFont="1" applyAlignment="1">
      <alignment horizontal="right" vertical="top"/>
    </xf>
    <xf numFmtId="0" fontId="30" fillId="0" borderId="101" xfId="0" applyFont="1" applyBorder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5" fillId="0" borderId="0" xfId="84" applyFont="1" applyAlignment="1">
      <alignment horizontal="center" vertical="center"/>
      <protection/>
    </xf>
    <xf numFmtId="0" fontId="4" fillId="0" borderId="0" xfId="84" applyFont="1" applyAlignment="1">
      <alignment vertical="center"/>
      <protection/>
    </xf>
    <xf numFmtId="0" fontId="79" fillId="0" borderId="0" xfId="85" applyFont="1" applyAlignment="1">
      <alignment horizontal="right" vertical="center"/>
      <protection/>
    </xf>
    <xf numFmtId="0" fontId="87" fillId="0" borderId="0" xfId="0" applyFont="1" applyAlignment="1">
      <alignment horizontal="right" indent="1"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02" xfId="0" applyFont="1" applyBorder="1" applyAlignment="1" applyProtection="1">
      <alignment horizontal="center" vertical="center"/>
      <protection locked="0"/>
    </xf>
    <xf numFmtId="0" fontId="0" fillId="0" borderId="103" xfId="0" applyFont="1" applyBorder="1" applyAlignment="1">
      <alignment horizontal="center" vertical="center"/>
    </xf>
    <xf numFmtId="0" fontId="90" fillId="38" borderId="0" xfId="81" applyFont="1" applyFill="1" applyAlignment="1">
      <alignment horizontal="left" indent="1"/>
      <protection/>
    </xf>
    <xf numFmtId="0" fontId="91" fillId="38" borderId="0" xfId="81" applyFont="1" applyFill="1">
      <alignment/>
      <protection/>
    </xf>
    <xf numFmtId="0" fontId="4" fillId="38" borderId="0" xfId="81" applyFont="1" applyFill="1">
      <alignment/>
      <protection/>
    </xf>
    <xf numFmtId="0" fontId="4" fillId="0" borderId="0" xfId="81">
      <alignment/>
      <protection/>
    </xf>
    <xf numFmtId="0" fontId="4" fillId="38" borderId="0" xfId="81" applyFont="1" applyFill="1" applyAlignment="1" applyProtection="1">
      <alignment horizontal="left" indent="1"/>
      <protection locked="0"/>
    </xf>
    <xf numFmtId="0" fontId="4" fillId="39" borderId="0" xfId="81" applyFont="1" applyFill="1" applyAlignment="1">
      <alignment horizontal="left" indent="1"/>
      <protection/>
    </xf>
    <xf numFmtId="0" fontId="4" fillId="39" borderId="0" xfId="81" applyFont="1" applyFill="1">
      <alignment/>
      <protection/>
    </xf>
    <xf numFmtId="0" fontId="0" fillId="39" borderId="0" xfId="81" applyFont="1" applyFill="1">
      <alignment/>
      <protection/>
    </xf>
    <xf numFmtId="0" fontId="4" fillId="0" borderId="0" xfId="81" applyFont="1">
      <alignment/>
      <protection/>
    </xf>
    <xf numFmtId="0" fontId="4" fillId="13" borderId="0" xfId="81" applyFill="1">
      <alignment/>
      <protection/>
    </xf>
    <xf numFmtId="0" fontId="92" fillId="13" borderId="0" xfId="81" applyFont="1" applyFill="1" applyAlignment="1">
      <alignment horizontal="left" indent="1"/>
      <protection/>
    </xf>
    <xf numFmtId="0" fontId="0" fillId="13" borderId="0" xfId="81" applyFont="1" applyFill="1">
      <alignment/>
      <protection/>
    </xf>
    <xf numFmtId="0" fontId="4" fillId="13" borderId="0" xfId="81" applyFont="1" applyFill="1" applyAlignment="1">
      <alignment horizontal="left" indent="1"/>
      <protection/>
    </xf>
    <xf numFmtId="0" fontId="0" fillId="13" borderId="0" xfId="81" applyFont="1" applyFill="1" applyAlignment="1">
      <alignment horizontal="left" indent="1"/>
      <protection/>
    </xf>
    <xf numFmtId="0" fontId="4" fillId="13" borderId="0" xfId="81" applyFont="1" applyFill="1">
      <alignment/>
      <protection/>
    </xf>
    <xf numFmtId="0" fontId="4" fillId="42" borderId="0" xfId="81" applyFont="1" applyFill="1" applyProtection="1">
      <alignment/>
      <protection locked="0"/>
    </xf>
    <xf numFmtId="0" fontId="4" fillId="42" borderId="0" xfId="81" applyFont="1" applyFill="1">
      <alignment/>
      <protection/>
    </xf>
    <xf numFmtId="0" fontId="0" fillId="42" borderId="0" xfId="81" applyFont="1" applyFill="1" applyAlignment="1">
      <alignment horizontal="left" indent="1"/>
      <protection/>
    </xf>
    <xf numFmtId="0" fontId="0" fillId="42" borderId="0" xfId="81" applyFont="1" applyFill="1">
      <alignment/>
      <protection/>
    </xf>
    <xf numFmtId="0" fontId="4" fillId="42" borderId="0" xfId="81" applyFont="1" applyFill="1" applyAlignment="1">
      <alignment horizontal="right" indent="1"/>
      <protection/>
    </xf>
    <xf numFmtId="0" fontId="8" fillId="42" borderId="0" xfId="81" applyFont="1" applyFill="1">
      <alignment/>
      <protection/>
    </xf>
    <xf numFmtId="0" fontId="72" fillId="42" borderId="0" xfId="81" applyFont="1" applyFill="1" applyAlignment="1">
      <alignment horizontal="left"/>
      <protection/>
    </xf>
    <xf numFmtId="0" fontId="93" fillId="39" borderId="0" xfId="81" applyFont="1" applyFill="1">
      <alignment/>
      <protection/>
    </xf>
    <xf numFmtId="0" fontId="93" fillId="0" borderId="0" xfId="81" applyFont="1">
      <alignment/>
      <protection/>
    </xf>
    <xf numFmtId="0" fontId="5" fillId="39" borderId="0" xfId="81" applyFont="1" applyFill="1">
      <alignment/>
      <protection/>
    </xf>
    <xf numFmtId="0" fontId="52" fillId="0" borderId="0" xfId="80" applyFont="1" applyAlignment="1">
      <alignment horizontal="right"/>
      <protection/>
    </xf>
    <xf numFmtId="0" fontId="50" fillId="0" borderId="0" xfId="0" applyFont="1" applyAlignment="1">
      <alignment horizontal="right" vertical="center"/>
    </xf>
    <xf numFmtId="0" fontId="96" fillId="39" borderId="31" xfId="84" applyFont="1" applyFill="1" applyBorder="1" applyAlignment="1" applyProtection="1">
      <alignment horizontal="center" vertical="center"/>
      <protection locked="0"/>
    </xf>
    <xf numFmtId="0" fontId="94" fillId="0" borderId="31" xfId="80" applyFont="1" applyBorder="1" applyAlignment="1">
      <alignment horizontal="center"/>
      <protection/>
    </xf>
    <xf numFmtId="0" fontId="4" fillId="39" borderId="0" xfId="81" applyFont="1" applyFill="1" applyAlignment="1" applyProtection="1">
      <alignment horizontal="left" indent="1"/>
      <protection locked="0"/>
    </xf>
    <xf numFmtId="0" fontId="27" fillId="42" borderId="0" xfId="81" applyFont="1" applyFill="1">
      <alignment/>
      <protection/>
    </xf>
    <xf numFmtId="0" fontId="4" fillId="42" borderId="0" xfId="81" applyFont="1" applyFill="1" applyAlignment="1">
      <alignment horizontal="right" vertical="top"/>
      <protection/>
    </xf>
    <xf numFmtId="0" fontId="19" fillId="39" borderId="0" xfId="81" applyFont="1" applyFill="1" applyAlignment="1">
      <alignment horizontal="left" indent="1"/>
      <protection/>
    </xf>
    <xf numFmtId="0" fontId="19" fillId="39" borderId="0" xfId="81" applyFont="1" applyFill="1">
      <alignment/>
      <protection/>
    </xf>
    <xf numFmtId="0" fontId="19" fillId="39" borderId="0" xfId="81" applyFont="1" applyFill="1" applyAlignment="1">
      <alignment horizontal="left" indent="2"/>
      <protection/>
    </xf>
    <xf numFmtId="0" fontId="97" fillId="0" borderId="0" xfId="0" applyFont="1" applyAlignment="1">
      <alignment horizontal="right"/>
    </xf>
    <xf numFmtId="0" fontId="89" fillId="0" borderId="0" xfId="0" applyFont="1" applyAlignment="1">
      <alignment/>
    </xf>
    <xf numFmtId="0" fontId="98" fillId="0" borderId="0" xfId="0" applyFont="1" applyAlignment="1">
      <alignment vertical="top"/>
    </xf>
    <xf numFmtId="0" fontId="43" fillId="0" borderId="74" xfId="80" applyFont="1" applyBorder="1" applyAlignment="1">
      <alignment horizontal="center" textRotation="90"/>
      <protection/>
    </xf>
    <xf numFmtId="0" fontId="43" fillId="0" borderId="11" xfId="0" applyFont="1" applyBorder="1" applyAlignment="1">
      <alignment horizontal="center" textRotation="90"/>
    </xf>
    <xf numFmtId="0" fontId="0" fillId="39" borderId="0" xfId="81" applyFont="1" applyFill="1" applyAlignment="1">
      <alignment horizontal="left" indent="1"/>
      <protection/>
    </xf>
    <xf numFmtId="0" fontId="8" fillId="39" borderId="0" xfId="81" applyFont="1" applyFill="1" applyAlignment="1">
      <alignment horizontal="left" indent="1"/>
      <protection/>
    </xf>
    <xf numFmtId="0" fontId="0" fillId="39" borderId="0" xfId="81" applyFont="1" applyFill="1" applyAlignment="1">
      <alignment horizontal="left"/>
      <protection/>
    </xf>
    <xf numFmtId="0" fontId="2" fillId="13" borderId="0" xfId="0" applyFont="1" applyFill="1" applyAlignment="1">
      <alignment horizontal="left" indent="2"/>
    </xf>
    <xf numFmtId="0" fontId="8" fillId="13" borderId="0" xfId="81" applyFont="1" applyFill="1">
      <alignment/>
      <protection/>
    </xf>
    <xf numFmtId="0" fontId="1" fillId="0" borderId="94" xfId="0" applyFont="1" applyBorder="1" applyAlignment="1">
      <alignment horizontal="right"/>
    </xf>
    <xf numFmtId="0" fontId="30" fillId="0" borderId="0" xfId="0" applyFont="1" applyAlignment="1">
      <alignment horizontal="right" indent="1"/>
    </xf>
    <xf numFmtId="0" fontId="0" fillId="0" borderId="104" xfId="0" applyBorder="1" applyAlignment="1">
      <alignment horizontal="center"/>
    </xf>
    <xf numFmtId="0" fontId="99" fillId="0" borderId="0" xfId="0" applyFont="1" applyAlignment="1">
      <alignment horizontal="right"/>
    </xf>
    <xf numFmtId="0" fontId="2" fillId="13" borderId="0" xfId="0" applyFont="1" applyFill="1" applyAlignment="1">
      <alignment horizontal="right"/>
    </xf>
    <xf numFmtId="0" fontId="60" fillId="13" borderId="0" xfId="68" applyFill="1" applyAlignment="1" applyProtection="1">
      <alignment/>
      <protection/>
    </xf>
    <xf numFmtId="0" fontId="83" fillId="42" borderId="0" xfId="0" applyFont="1" applyFill="1" applyAlignment="1">
      <alignment horizontal="left" indent="1"/>
    </xf>
    <xf numFmtId="0" fontId="0" fillId="42" borderId="0" xfId="0" applyFont="1" applyFill="1" applyAlignment="1">
      <alignment/>
    </xf>
    <xf numFmtId="0" fontId="5" fillId="42" borderId="0" xfId="81" applyFont="1" applyFill="1" applyAlignment="1">
      <alignment horizontal="left" indent="1"/>
      <protection/>
    </xf>
    <xf numFmtId="0" fontId="100" fillId="42" borderId="0" xfId="0" applyFont="1" applyFill="1" applyAlignment="1">
      <alignment/>
    </xf>
    <xf numFmtId="0" fontId="101" fillId="42" borderId="0" xfId="0" applyFont="1" applyFill="1" applyAlignment="1">
      <alignment horizontal="right" vertical="center"/>
    </xf>
    <xf numFmtId="0" fontId="102" fillId="42" borderId="0" xfId="81" applyFont="1" applyFill="1">
      <alignment/>
      <protection/>
    </xf>
    <xf numFmtId="0" fontId="4" fillId="0" borderId="0" xfId="0" applyFont="1" applyAlignment="1">
      <alignment horizontal="center"/>
    </xf>
    <xf numFmtId="0" fontId="38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0" fillId="38" borderId="0" xfId="0" applyFill="1" applyAlignment="1">
      <alignment/>
    </xf>
    <xf numFmtId="0" fontId="3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23" fillId="0" borderId="0" xfId="0" applyFont="1" applyAlignment="1">
      <alignment horizontal="left" vertical="top" textRotation="90"/>
    </xf>
    <xf numFmtId="0" fontId="30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23" fillId="0" borderId="105" xfId="0" applyFont="1" applyBorder="1" applyAlignment="1">
      <alignment vertical="top"/>
    </xf>
    <xf numFmtId="0" fontId="4" fillId="0" borderId="106" xfId="0" applyFont="1" applyBorder="1" applyAlignment="1">
      <alignment/>
    </xf>
    <xf numFmtId="0" fontId="4" fillId="38" borderId="0" xfId="0" applyFont="1" applyFill="1" applyAlignment="1">
      <alignment/>
    </xf>
    <xf numFmtId="0" fontId="120" fillId="38" borderId="0" xfId="0" applyFont="1" applyFill="1" applyAlignment="1">
      <alignment/>
    </xf>
    <xf numFmtId="0" fontId="121" fillId="0" borderId="0" xfId="0" applyFont="1" applyAlignment="1">
      <alignment horizontal="right"/>
    </xf>
    <xf numFmtId="0" fontId="0" fillId="0" borderId="48" xfId="0" applyBorder="1" applyAlignment="1">
      <alignment/>
    </xf>
    <xf numFmtId="0" fontId="19" fillId="0" borderId="105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50" xfId="0" applyBorder="1" applyAlignment="1">
      <alignment/>
    </xf>
    <xf numFmtId="0" fontId="0" fillId="0" borderId="10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22" fillId="38" borderId="0" xfId="0" applyFont="1" applyFill="1" applyAlignment="1">
      <alignment/>
    </xf>
    <xf numFmtId="0" fontId="123" fillId="38" borderId="0" xfId="0" applyFont="1" applyFill="1" applyAlignment="1">
      <alignment horizontal="left" indent="1"/>
    </xf>
    <xf numFmtId="0" fontId="123" fillId="38" borderId="0" xfId="0" applyFont="1" applyFill="1" applyAlignment="1">
      <alignment/>
    </xf>
    <xf numFmtId="0" fontId="120" fillId="38" borderId="0" xfId="0" applyFont="1" applyFill="1" applyAlignment="1">
      <alignment horizontal="left" indent="1"/>
    </xf>
    <xf numFmtId="0" fontId="123" fillId="38" borderId="0" xfId="0" applyFont="1" applyFill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42" borderId="110" xfId="0" applyFill="1" applyBorder="1" applyAlignment="1">
      <alignment horizontal="center"/>
    </xf>
    <xf numFmtId="0" fontId="0" fillId="0" borderId="111" xfId="0" applyBorder="1" applyAlignment="1">
      <alignment/>
    </xf>
    <xf numFmtId="0" fontId="30" fillId="0" borderId="0" xfId="0" applyFont="1" applyAlignment="1">
      <alignment horizontal="right" vertical="center"/>
    </xf>
    <xf numFmtId="0" fontId="0" fillId="0" borderId="112" xfId="0" applyBorder="1" applyAlignment="1" applyProtection="1">
      <alignment horizontal="right"/>
      <protection locked="0"/>
    </xf>
    <xf numFmtId="0" fontId="0" fillId="0" borderId="113" xfId="0" applyBorder="1" applyAlignment="1" applyProtection="1">
      <alignment horizontal="left"/>
      <protection locked="0"/>
    </xf>
    <xf numFmtId="0" fontId="0" fillId="0" borderId="114" xfId="0" applyBorder="1" applyAlignment="1" applyProtection="1">
      <alignment horizontal="center"/>
      <protection locked="0"/>
    </xf>
    <xf numFmtId="0" fontId="0" fillId="0" borderId="115" xfId="0" applyBorder="1" applyAlignment="1" applyProtection="1">
      <alignment horizontal="center"/>
      <protection locked="0"/>
    </xf>
    <xf numFmtId="0" fontId="0" fillId="0" borderId="116" xfId="0" applyBorder="1" applyAlignment="1" applyProtection="1">
      <alignment horizontal="center"/>
      <protection locked="0"/>
    </xf>
    <xf numFmtId="0" fontId="0" fillId="0" borderId="111" xfId="0" applyBorder="1" applyAlignment="1" applyProtection="1">
      <alignment horizontal="center"/>
      <protection locked="0"/>
    </xf>
    <xf numFmtId="0" fontId="0" fillId="0" borderId="117" xfId="0" applyBorder="1" applyAlignment="1">
      <alignment horizontal="center"/>
    </xf>
    <xf numFmtId="0" fontId="0" fillId="0" borderId="118" xfId="0" applyBorder="1" applyAlignment="1" applyProtection="1">
      <alignment horizontal="center"/>
      <protection locked="0"/>
    </xf>
    <xf numFmtId="0" fontId="30" fillId="0" borderId="0" xfId="0" applyFont="1" applyAlignment="1">
      <alignment horizontal="left"/>
    </xf>
    <xf numFmtId="0" fontId="22" fillId="38" borderId="0" xfId="0" applyFont="1" applyFill="1" applyAlignment="1">
      <alignment/>
    </xf>
    <xf numFmtId="0" fontId="122" fillId="38" borderId="0" xfId="0" applyFont="1" applyFill="1" applyAlignment="1">
      <alignment horizontal="center"/>
    </xf>
    <xf numFmtId="0" fontId="124" fillId="38" borderId="0" xfId="0" applyFont="1" applyFill="1" applyAlignment="1">
      <alignment/>
    </xf>
    <xf numFmtId="0" fontId="123" fillId="41" borderId="0" xfId="0" applyFont="1" applyFill="1" applyAlignment="1">
      <alignment/>
    </xf>
    <xf numFmtId="0" fontId="0" fillId="0" borderId="119" xfId="0" applyBorder="1" applyAlignment="1" applyProtection="1">
      <alignment horizontal="right"/>
      <protection locked="0"/>
    </xf>
    <xf numFmtId="0" fontId="0" fillId="0" borderId="113" xfId="0" applyFont="1" applyBorder="1" applyAlignment="1" applyProtection="1">
      <alignment horizontal="left"/>
      <protection locked="0"/>
    </xf>
    <xf numFmtId="0" fontId="0" fillId="0" borderId="117" xfId="0" applyBorder="1" applyAlignment="1" applyProtection="1">
      <alignment horizontal="center"/>
      <protection locked="0"/>
    </xf>
    <xf numFmtId="0" fontId="0" fillId="0" borderId="112" xfId="0" applyFont="1" applyBorder="1" applyAlignment="1" applyProtection="1">
      <alignment horizontal="left"/>
      <protection locked="0"/>
    </xf>
    <xf numFmtId="0" fontId="0" fillId="0" borderId="120" xfId="0" applyBorder="1" applyAlignment="1" applyProtection="1">
      <alignment horizontal="right"/>
      <protection locked="0"/>
    </xf>
    <xf numFmtId="0" fontId="0" fillId="0" borderId="121" xfId="0" applyBorder="1" applyAlignment="1" applyProtection="1">
      <alignment horizontal="center"/>
      <protection locked="0"/>
    </xf>
    <xf numFmtId="0" fontId="0" fillId="0" borderId="120" xfId="0" applyBorder="1" applyAlignment="1" applyProtection="1">
      <alignment horizontal="center"/>
      <protection locked="0"/>
    </xf>
    <xf numFmtId="0" fontId="5" fillId="38" borderId="0" xfId="0" applyFont="1" applyFill="1" applyAlignment="1">
      <alignment/>
    </xf>
    <xf numFmtId="0" fontId="38" fillId="0" borderId="0" xfId="0" applyFont="1" applyAlignment="1">
      <alignment horizontal="right"/>
    </xf>
    <xf numFmtId="0" fontId="0" fillId="0" borderId="122" xfId="0" applyBorder="1" applyAlignment="1" applyProtection="1">
      <alignment horizontal="center"/>
      <protection locked="0"/>
    </xf>
    <xf numFmtId="0" fontId="0" fillId="0" borderId="123" xfId="0" applyBorder="1" applyAlignment="1" applyProtection="1">
      <alignment horizontal="center"/>
      <protection locked="0"/>
    </xf>
    <xf numFmtId="0" fontId="0" fillId="0" borderId="124" xfId="0" applyBorder="1" applyAlignment="1" applyProtection="1">
      <alignment horizontal="center"/>
      <protection locked="0"/>
    </xf>
    <xf numFmtId="0" fontId="0" fillId="0" borderId="12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40" borderId="0" xfId="0" applyFont="1" applyFill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49" fontId="4" fillId="0" borderId="1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15" fillId="0" borderId="0" xfId="0" applyFont="1" applyAlignment="1">
      <alignment horizontal="right"/>
    </xf>
    <xf numFmtId="0" fontId="85" fillId="0" borderId="0" xfId="0" applyFont="1" applyAlignment="1">
      <alignment/>
    </xf>
    <xf numFmtId="0" fontId="0" fillId="38" borderId="12" xfId="0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38" borderId="0" xfId="0" applyFont="1" applyFill="1" applyAlignment="1">
      <alignment horizontal="right"/>
    </xf>
    <xf numFmtId="0" fontId="0" fillId="38" borderId="0" xfId="0" applyFill="1" applyAlignment="1">
      <alignment horizontal="center" vertical="center"/>
    </xf>
    <xf numFmtId="0" fontId="0" fillId="0" borderId="28" xfId="0" applyBorder="1" applyAlignment="1">
      <alignment horizontal="center"/>
    </xf>
    <xf numFmtId="0" fontId="26" fillId="0" borderId="12" xfId="0" applyFont="1" applyBorder="1" applyAlignment="1">
      <alignment/>
    </xf>
    <xf numFmtId="0" fontId="4" fillId="0" borderId="12" xfId="0" applyFont="1" applyBorder="1" applyAlignment="1">
      <alignment horizontal="centerContinuous" vertical="top"/>
    </xf>
    <xf numFmtId="0" fontId="26" fillId="0" borderId="12" xfId="0" applyFont="1" applyBorder="1" applyAlignment="1">
      <alignment vertical="top"/>
    </xf>
    <xf numFmtId="0" fontId="0" fillId="0" borderId="112" xfId="0" applyBorder="1" applyAlignment="1">
      <alignment horizontal="center" vertical="center"/>
    </xf>
    <xf numFmtId="0" fontId="0" fillId="0" borderId="132" xfId="0" applyBorder="1" applyAlignment="1">
      <alignment horizontal="center"/>
    </xf>
    <xf numFmtId="0" fontId="22" fillId="0" borderId="0" xfId="0" applyFont="1" applyAlignment="1">
      <alignment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87" fillId="0" borderId="0" xfId="0" applyFont="1" applyAlignment="1">
      <alignment horizontal="right" vertical="center"/>
    </xf>
    <xf numFmtId="0" fontId="125" fillId="0" borderId="0" xfId="0" applyFont="1" applyAlignment="1">
      <alignment vertical="center"/>
    </xf>
    <xf numFmtId="0" fontId="126" fillId="0" borderId="0" xfId="0" applyFont="1" applyAlignment="1">
      <alignment vertical="center"/>
    </xf>
    <xf numFmtId="0" fontId="58" fillId="0" borderId="0" xfId="0" applyFont="1" applyAlignment="1">
      <alignment vertical="top"/>
    </xf>
    <xf numFmtId="0" fontId="28" fillId="0" borderId="10" xfId="0" applyFont="1" applyBorder="1" applyAlignment="1">
      <alignment/>
    </xf>
    <xf numFmtId="0" fontId="0" fillId="0" borderId="133" xfId="0" applyFont="1" applyBorder="1" applyAlignment="1">
      <alignment horizontal="left" vertical="center" indent="2"/>
    </xf>
    <xf numFmtId="0" fontId="8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12" xfId="0" applyFont="1" applyBorder="1" applyAlignment="1">
      <alignment horizontal="center" vertical="center"/>
    </xf>
    <xf numFmtId="0" fontId="0" fillId="0" borderId="134" xfId="0" applyFont="1" applyBorder="1" applyAlignment="1" applyProtection="1">
      <alignment vertical="center"/>
      <protection locked="0"/>
    </xf>
    <xf numFmtId="0" fontId="0" fillId="0" borderId="135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indent="1"/>
    </xf>
    <xf numFmtId="0" fontId="23" fillId="0" borderId="138" xfId="0" applyFont="1" applyBorder="1" applyAlignment="1">
      <alignment vertical="center"/>
    </xf>
    <xf numFmtId="0" fontId="15" fillId="0" borderId="0" xfId="0" applyFont="1" applyAlignment="1">
      <alignment horizontal="left" vertical="top"/>
    </xf>
    <xf numFmtId="0" fontId="23" fillId="0" borderId="133" xfId="0" applyFont="1" applyBorder="1" applyAlignment="1">
      <alignment vertical="center"/>
    </xf>
    <xf numFmtId="0" fontId="23" fillId="0" borderId="139" xfId="0" applyFont="1" applyBorder="1" applyAlignment="1">
      <alignment vertical="center"/>
    </xf>
    <xf numFmtId="0" fontId="128" fillId="0" borderId="0" xfId="0" applyFont="1" applyAlignment="1">
      <alignment vertical="center"/>
    </xf>
    <xf numFmtId="0" fontId="0" fillId="38" borderId="0" xfId="0" applyFill="1" applyAlignment="1" applyProtection="1">
      <alignment/>
      <protection locked="0"/>
    </xf>
    <xf numFmtId="0" fontId="26" fillId="38" borderId="0" xfId="0" applyFont="1" applyFill="1" applyAlignment="1">
      <alignment/>
    </xf>
    <xf numFmtId="0" fontId="27" fillId="0" borderId="0" xfId="0" applyFont="1" applyAlignment="1">
      <alignment vertical="center"/>
    </xf>
    <xf numFmtId="0" fontId="129" fillId="0" borderId="0" xfId="0" applyFont="1" applyAlignment="1">
      <alignment/>
    </xf>
    <xf numFmtId="0" fontId="58" fillId="38" borderId="0" xfId="0" applyFont="1" applyFill="1" applyAlignment="1">
      <alignment/>
    </xf>
    <xf numFmtId="0" fontId="129" fillId="0" borderId="0" xfId="0" applyFont="1" applyAlignment="1">
      <alignment horizontal="center"/>
    </xf>
    <xf numFmtId="0" fontId="18" fillId="38" borderId="0" xfId="0" applyFont="1" applyFill="1" applyAlignment="1">
      <alignment/>
    </xf>
    <xf numFmtId="0" fontId="22" fillId="0" borderId="17" xfId="0" applyFont="1" applyBorder="1" applyAlignment="1">
      <alignment vertical="center"/>
    </xf>
    <xf numFmtId="0" fontId="130" fillId="0" borderId="0" xfId="0" applyFont="1" applyAlignment="1">
      <alignment horizontal="center" vertical="center"/>
    </xf>
    <xf numFmtId="0" fontId="130" fillId="0" borderId="0" xfId="0" applyFont="1" applyAlignment="1">
      <alignment horizontal="left" vertical="center"/>
    </xf>
    <xf numFmtId="0" fontId="0" fillId="0" borderId="140" xfId="86" applyFont="1" applyBorder="1" applyAlignment="1">
      <alignment horizontal="left" vertical="center" indent="1"/>
      <protection/>
    </xf>
    <xf numFmtId="0" fontId="131" fillId="38" borderId="0" xfId="0" applyFont="1" applyFill="1" applyAlignment="1">
      <alignment vertical="center"/>
    </xf>
    <xf numFmtId="0" fontId="124" fillId="38" borderId="0" xfId="83" applyFont="1" applyFill="1" applyAlignment="1">
      <alignment vertical="top"/>
      <protection/>
    </xf>
    <xf numFmtId="0" fontId="132" fillId="0" borderId="0" xfId="0" applyFont="1" applyAlignment="1">
      <alignment/>
    </xf>
    <xf numFmtId="0" fontId="132" fillId="38" borderId="0" xfId="0" applyFont="1" applyFill="1" applyAlignment="1">
      <alignment/>
    </xf>
    <xf numFmtId="0" fontId="132" fillId="0" borderId="0" xfId="0" applyFont="1" applyAlignment="1" quotePrefix="1">
      <alignment/>
    </xf>
    <xf numFmtId="0" fontId="132" fillId="41" borderId="0" xfId="0" applyFont="1" applyFill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133" fillId="0" borderId="0" xfId="0" applyFont="1" applyAlignment="1">
      <alignment vertical="center"/>
    </xf>
    <xf numFmtId="0" fontId="133" fillId="0" borderId="0" xfId="0" applyFont="1" applyAlignment="1">
      <alignment horizontal="center" textRotation="90"/>
    </xf>
    <xf numFmtId="0" fontId="133" fillId="0" borderId="0" xfId="0" applyFont="1" applyAlignment="1">
      <alignment horizontal="right" textRotation="90"/>
    </xf>
    <xf numFmtId="0" fontId="0" fillId="0" borderId="0" xfId="0" applyAlignment="1">
      <alignment horizontal="center" textRotation="90"/>
    </xf>
    <xf numFmtId="0" fontId="52" fillId="0" borderId="0" xfId="0" applyFont="1" applyAlignment="1">
      <alignment/>
    </xf>
    <xf numFmtId="0" fontId="52" fillId="38" borderId="0" xfId="0" applyFont="1" applyFill="1" applyAlignment="1">
      <alignment/>
    </xf>
    <xf numFmtId="0" fontId="52" fillId="10" borderId="0" xfId="0" applyFont="1" applyFill="1" applyAlignment="1">
      <alignment/>
    </xf>
    <xf numFmtId="0" fontId="52" fillId="41" borderId="0" xfId="0" applyFont="1" applyFill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 quotePrefix="1">
      <alignment/>
    </xf>
    <xf numFmtId="0" fontId="0" fillId="42" borderId="110" xfId="0" applyFont="1" applyFill="1" applyBorder="1" applyAlignment="1">
      <alignment horizontal="left"/>
    </xf>
    <xf numFmtId="0" fontId="23" fillId="0" borderId="135" xfId="0" applyFont="1" applyBorder="1" applyAlignment="1" applyProtection="1">
      <alignment vertical="center"/>
      <protection locked="0"/>
    </xf>
    <xf numFmtId="0" fontId="0" fillId="0" borderId="138" xfId="0" applyFont="1" applyBorder="1" applyAlignment="1">
      <alignment vertical="center"/>
    </xf>
    <xf numFmtId="0" fontId="19" fillId="0" borderId="0" xfId="0" applyFont="1" applyAlignment="1">
      <alignment/>
    </xf>
    <xf numFmtId="0" fontId="4" fillId="0" borderId="0" xfId="0" applyFont="1" applyAlignment="1">
      <alignment horizontal="right"/>
    </xf>
    <xf numFmtId="0" fontId="122" fillId="38" borderId="0" xfId="0" applyFont="1" applyFill="1" applyAlignment="1">
      <alignment/>
    </xf>
    <xf numFmtId="0" fontId="123" fillId="38" borderId="0" xfId="0" applyFont="1" applyFill="1" applyAlignment="1">
      <alignment/>
    </xf>
    <xf numFmtId="0" fontId="4" fillId="0" borderId="28" xfId="0" applyFont="1" applyBorder="1" applyAlignment="1">
      <alignment/>
    </xf>
    <xf numFmtId="0" fontId="15" fillId="0" borderId="12" xfId="0" applyFont="1" applyBorder="1" applyAlignment="1">
      <alignment vertical="center"/>
    </xf>
    <xf numFmtId="0" fontId="136" fillId="0" borderId="12" xfId="0" applyFont="1" applyBorder="1" applyAlignment="1">
      <alignment horizontal="right" vertical="center"/>
    </xf>
    <xf numFmtId="0" fontId="2" fillId="13" borderId="0" xfId="0" applyFont="1" applyFill="1" applyAlignment="1">
      <alignment horizontal="left"/>
    </xf>
    <xf numFmtId="0" fontId="3" fillId="13" borderId="0" xfId="0" applyFont="1" applyFill="1" applyAlignment="1">
      <alignment horizontal="right"/>
    </xf>
    <xf numFmtId="0" fontId="23" fillId="0" borderId="12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23" fillId="38" borderId="0" xfId="0" applyFont="1" applyFill="1" applyAlignment="1">
      <alignment/>
    </xf>
    <xf numFmtId="0" fontId="78" fillId="38" borderId="0" xfId="0" applyFont="1" applyFill="1" applyAlignment="1">
      <alignment/>
    </xf>
    <xf numFmtId="0" fontId="76" fillId="38" borderId="0" xfId="0" applyFont="1" applyFill="1" applyAlignment="1">
      <alignment/>
    </xf>
    <xf numFmtId="0" fontId="194" fillId="40" borderId="132" xfId="77" applyFont="1" applyFill="1" applyBorder="1" applyAlignment="1" applyProtection="1">
      <alignment horizontal="right" indent="1"/>
      <protection locked="0"/>
    </xf>
    <xf numFmtId="0" fontId="194" fillId="40" borderId="112" xfId="77" applyFont="1" applyFill="1" applyBorder="1" applyAlignment="1" applyProtection="1">
      <alignment horizontal="right" indent="1"/>
      <protection locked="0"/>
    </xf>
    <xf numFmtId="0" fontId="8" fillId="0" borderId="0" xfId="79" applyFont="1" applyAlignment="1">
      <alignment horizontal="right" indent="1"/>
      <protection/>
    </xf>
    <xf numFmtId="0" fontId="194" fillId="40" borderId="132" xfId="79" applyFont="1" applyFill="1" applyBorder="1" applyAlignment="1" applyProtection="1">
      <alignment horizontal="right" indent="1"/>
      <protection locked="0"/>
    </xf>
    <xf numFmtId="0" fontId="194" fillId="40" borderId="112" xfId="79" applyFont="1" applyFill="1" applyBorder="1" applyAlignment="1" applyProtection="1">
      <alignment horizontal="right" indent="1"/>
      <protection locked="0"/>
    </xf>
    <xf numFmtId="0" fontId="0" fillId="0" borderId="0" xfId="79" applyAlignment="1">
      <alignment horizontal="right" indent="1"/>
      <protection/>
    </xf>
    <xf numFmtId="0" fontId="194" fillId="40" borderId="141" xfId="79" applyFont="1" applyFill="1" applyBorder="1" applyAlignment="1" applyProtection="1">
      <alignment horizontal="right" indent="1"/>
      <protection locked="0"/>
    </xf>
    <xf numFmtId="0" fontId="194" fillId="40" borderId="142" xfId="79" applyFont="1" applyFill="1" applyBorder="1" applyAlignment="1" applyProtection="1">
      <alignment horizontal="right" indent="1"/>
      <protection locked="0"/>
    </xf>
    <xf numFmtId="0" fontId="194" fillId="40" borderId="143" xfId="79" applyFont="1" applyFill="1" applyBorder="1" applyAlignment="1" applyProtection="1">
      <alignment horizontal="right" indent="1"/>
      <protection locked="0"/>
    </xf>
    <xf numFmtId="0" fontId="194" fillId="40" borderId="113" xfId="79" applyFont="1" applyFill="1" applyBorder="1" applyAlignment="1" applyProtection="1">
      <alignment horizontal="right" indent="1"/>
      <protection locked="0"/>
    </xf>
    <xf numFmtId="0" fontId="194" fillId="0" borderId="132" xfId="77" applyFont="1" applyBorder="1" applyAlignment="1" applyProtection="1">
      <alignment horizontal="right" indent="1"/>
      <protection locked="0"/>
    </xf>
    <xf numFmtId="0" fontId="194" fillId="0" borderId="112" xfId="77" applyFont="1" applyBorder="1" applyAlignment="1" applyProtection="1">
      <alignment horizontal="right" indent="1"/>
      <protection locked="0"/>
    </xf>
    <xf numFmtId="0" fontId="194" fillId="0" borderId="132" xfId="79" applyFont="1" applyBorder="1" applyAlignment="1" applyProtection="1">
      <alignment horizontal="right" indent="1"/>
      <protection locked="0"/>
    </xf>
    <xf numFmtId="0" fontId="194" fillId="0" borderId="112" xfId="79" applyFont="1" applyBorder="1" applyAlignment="1" applyProtection="1">
      <alignment horizontal="right" indent="1"/>
      <protection locked="0"/>
    </xf>
    <xf numFmtId="0" fontId="194" fillId="0" borderId="0" xfId="79" applyFont="1" applyAlignment="1" applyProtection="1">
      <alignment horizontal="right" indent="1"/>
      <protection locked="0"/>
    </xf>
    <xf numFmtId="0" fontId="194" fillId="0" borderId="11" xfId="79" applyFont="1" applyBorder="1" applyAlignment="1" applyProtection="1">
      <alignment horizontal="right" indent="1"/>
      <protection locked="0"/>
    </xf>
    <xf numFmtId="0" fontId="194" fillId="0" borderId="144" xfId="77" applyFont="1" applyBorder="1" applyAlignment="1" applyProtection="1">
      <alignment horizontal="right" indent="1"/>
      <protection locked="0"/>
    </xf>
    <xf numFmtId="0" fontId="194" fillId="0" borderId="145" xfId="77" applyFont="1" applyBorder="1" applyAlignment="1" applyProtection="1">
      <alignment horizontal="right" indent="1"/>
      <protection locked="0"/>
    </xf>
    <xf numFmtId="0" fontId="194" fillId="0" borderId="144" xfId="79" applyFont="1" applyBorder="1" applyAlignment="1" applyProtection="1">
      <alignment horizontal="right" indent="1"/>
      <protection locked="0"/>
    </xf>
    <xf numFmtId="0" fontId="194" fillId="0" borderId="145" xfId="79" applyFont="1" applyBorder="1" applyAlignment="1" applyProtection="1">
      <alignment horizontal="right" indent="1"/>
      <protection locked="0"/>
    </xf>
    <xf numFmtId="0" fontId="75" fillId="0" borderId="0" xfId="0" applyFont="1" applyAlignment="1">
      <alignment horizontal="right"/>
    </xf>
    <xf numFmtId="0" fontId="75" fillId="16" borderId="0" xfId="0" applyFont="1" applyFill="1" applyAlignment="1">
      <alignment horizontal="right"/>
    </xf>
    <xf numFmtId="0" fontId="52" fillId="38" borderId="0" xfId="0" applyFont="1" applyFill="1" applyAlignment="1">
      <alignment/>
    </xf>
    <xf numFmtId="0" fontId="4" fillId="46" borderId="15" xfId="0" applyFont="1" applyFill="1" applyBorder="1" applyAlignment="1">
      <alignment/>
    </xf>
    <xf numFmtId="0" fontId="0" fillId="46" borderId="12" xfId="0" applyFill="1" applyBorder="1" applyAlignment="1">
      <alignment horizontal="center"/>
    </xf>
    <xf numFmtId="0" fontId="0" fillId="46" borderId="90" xfId="0" applyFill="1" applyBorder="1" applyAlignment="1">
      <alignment horizontal="right" vertical="center"/>
    </xf>
    <xf numFmtId="0" fontId="4" fillId="42" borderId="0" xfId="0" applyFont="1" applyFill="1" applyAlignment="1">
      <alignment/>
    </xf>
    <xf numFmtId="0" fontId="4" fillId="42" borderId="0" xfId="0" applyFont="1" applyFill="1" applyAlignment="1">
      <alignment horizontal="center"/>
    </xf>
    <xf numFmtId="0" fontId="8" fillId="42" borderId="0" xfId="0" applyFont="1" applyFill="1" applyAlignment="1">
      <alignment horizontal="center"/>
    </xf>
    <xf numFmtId="0" fontId="122" fillId="42" borderId="0" xfId="0" applyFont="1" applyFill="1" applyAlignment="1">
      <alignment/>
    </xf>
    <xf numFmtId="0" fontId="138" fillId="42" borderId="0" xfId="0" applyFont="1" applyFill="1" applyAlignment="1">
      <alignment horizontal="center"/>
    </xf>
    <xf numFmtId="0" fontId="139" fillId="42" borderId="0" xfId="0" applyFont="1" applyFill="1" applyAlignment="1">
      <alignment/>
    </xf>
    <xf numFmtId="0" fontId="8" fillId="42" borderId="0" xfId="0" applyFont="1" applyFill="1" applyAlignment="1" applyProtection="1">
      <alignment/>
      <protection locked="0"/>
    </xf>
    <xf numFmtId="0" fontId="15" fillId="13" borderId="0" xfId="0" applyFont="1" applyFill="1" applyAlignment="1">
      <alignment/>
    </xf>
    <xf numFmtId="0" fontId="15" fillId="1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13" borderId="0" xfId="0" applyFont="1" applyFill="1" applyAlignment="1">
      <alignment/>
    </xf>
    <xf numFmtId="0" fontId="141" fillId="13" borderId="0" xfId="0" applyFont="1" applyFill="1" applyAlignment="1">
      <alignment horizontal="center"/>
    </xf>
    <xf numFmtId="0" fontId="141" fillId="13" borderId="0" xfId="0" applyFont="1" applyFill="1" applyAlignment="1">
      <alignment horizontal="center" vertical="top"/>
    </xf>
    <xf numFmtId="0" fontId="142" fillId="47" borderId="12" xfId="82" applyFont="1" applyFill="1" applyBorder="1" applyAlignment="1" applyProtection="1">
      <alignment horizontal="left" vertical="center"/>
      <protection locked="0"/>
    </xf>
    <xf numFmtId="0" fontId="141" fillId="13" borderId="0" xfId="0" applyFont="1" applyFill="1" applyAlignment="1">
      <alignment horizontal="right" vertical="top" wrapText="1" indent="1"/>
    </xf>
    <xf numFmtId="0" fontId="23" fillId="10" borderId="17" xfId="82" applyFont="1" applyFill="1" applyBorder="1" applyAlignment="1">
      <alignment horizontal="right"/>
      <protection/>
    </xf>
    <xf numFmtId="0" fontId="23" fillId="10" borderId="10" xfId="82" applyFont="1" applyFill="1" applyBorder="1">
      <alignment/>
      <protection/>
    </xf>
    <xf numFmtId="0" fontId="0" fillId="10" borderId="16" xfId="82" applyFill="1" applyBorder="1">
      <alignment/>
      <protection/>
    </xf>
    <xf numFmtId="0" fontId="0" fillId="10" borderId="101" xfId="82" applyFill="1" applyBorder="1" applyAlignment="1">
      <alignment horizontal="right"/>
      <protection/>
    </xf>
    <xf numFmtId="0" fontId="143" fillId="10" borderId="0" xfId="0" applyFont="1" applyFill="1" applyAlignment="1">
      <alignment horizontal="center"/>
    </xf>
    <xf numFmtId="0" fontId="0" fillId="10" borderId="105" xfId="82" applyFill="1" applyBorder="1">
      <alignment/>
      <protection/>
    </xf>
    <xf numFmtId="0" fontId="144" fillId="10" borderId="0" xfId="0" applyFont="1" applyFill="1" applyAlignment="1">
      <alignment horizontal="center" vertical="top"/>
    </xf>
    <xf numFmtId="0" fontId="8" fillId="10" borderId="105" xfId="82" applyFont="1" applyFill="1" applyBorder="1">
      <alignment/>
      <protection/>
    </xf>
    <xf numFmtId="0" fontId="23" fillId="10" borderId="101" xfId="82" applyFont="1" applyFill="1" applyBorder="1" applyAlignment="1">
      <alignment horizontal="right"/>
      <protection/>
    </xf>
    <xf numFmtId="0" fontId="23" fillId="10" borderId="0" xfId="82" applyFont="1" applyFill="1" applyAlignment="1">
      <alignment horizontal="center"/>
      <protection/>
    </xf>
    <xf numFmtId="0" fontId="23" fillId="10" borderId="105" xfId="82" applyFont="1" applyFill="1" applyBorder="1" applyProtection="1">
      <alignment/>
      <protection locked="0"/>
    </xf>
    <xf numFmtId="0" fontId="20" fillId="0" borderId="10" xfId="0" applyFont="1" applyBorder="1" applyAlignment="1">
      <alignment/>
    </xf>
    <xf numFmtId="0" fontId="42" fillId="0" borderId="0" xfId="86" applyFont="1" applyAlignment="1">
      <alignment horizontal="left" vertical="top"/>
      <protection/>
    </xf>
    <xf numFmtId="0" fontId="124" fillId="38" borderId="0" xfId="83" applyFont="1" applyFill="1" applyAlignment="1">
      <alignment vertical="top"/>
      <protection/>
    </xf>
    <xf numFmtId="0" fontId="83" fillId="0" borderId="0" xfId="0" applyFont="1" applyAlignment="1">
      <alignment horizontal="right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37" fillId="0" borderId="146" xfId="80" applyFont="1" applyBorder="1" applyAlignment="1" applyProtection="1">
      <alignment horizontal="left"/>
      <protection locked="0"/>
    </xf>
    <xf numFmtId="0" fontId="0" fillId="0" borderId="0" xfId="80" applyAlignment="1">
      <alignment horizontal="left" vertical="top"/>
      <protection/>
    </xf>
    <xf numFmtId="0" fontId="87" fillId="0" borderId="0" xfId="0" applyFont="1" applyAlignment="1">
      <alignment horizontal="center" wrapText="1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top"/>
    </xf>
    <xf numFmtId="0" fontId="32" fillId="0" borderId="0" xfId="0" applyFont="1" applyAlignment="1">
      <alignment horizontal="left"/>
    </xf>
    <xf numFmtId="0" fontId="11" fillId="0" borderId="0" xfId="0" applyFont="1" applyAlignment="1">
      <alignment/>
    </xf>
    <xf numFmtId="0" fontId="25" fillId="0" borderId="0" xfId="77" applyFont="1">
      <alignment/>
      <protection/>
    </xf>
    <xf numFmtId="0" fontId="25" fillId="0" borderId="0" xfId="0" applyFont="1" applyAlignment="1">
      <alignment/>
    </xf>
    <xf numFmtId="0" fontId="132" fillId="0" borderId="0" xfId="77" applyFont="1">
      <alignment/>
      <protection/>
    </xf>
    <xf numFmtId="0" fontId="32" fillId="0" borderId="0" xfId="77" applyFont="1">
      <alignment/>
      <protection/>
    </xf>
    <xf numFmtId="0" fontId="52" fillId="47" borderId="0" xfId="0" applyFont="1" applyFill="1" applyAlignment="1">
      <alignment/>
    </xf>
    <xf numFmtId="0" fontId="195" fillId="47" borderId="0" xfId="0" applyFont="1" applyFill="1" applyAlignment="1">
      <alignment/>
    </xf>
    <xf numFmtId="0" fontId="196" fillId="0" borderId="0" xfId="0" applyFont="1" applyAlignment="1">
      <alignment horizontal="right" textRotation="90"/>
    </xf>
    <xf numFmtId="0" fontId="0" fillId="42" borderId="1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195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left" vertical="top" indent="1"/>
    </xf>
    <xf numFmtId="0" fontId="23" fillId="0" borderId="0" xfId="0" applyFont="1" applyAlignment="1">
      <alignment horizontal="left" vertical="top" indent="1"/>
    </xf>
    <xf numFmtId="0" fontId="23" fillId="0" borderId="0" xfId="0" applyFont="1" applyAlignment="1">
      <alignment vertical="top"/>
    </xf>
    <xf numFmtId="0" fontId="30" fillId="0" borderId="0" xfId="0" applyFont="1" applyAlignment="1">
      <alignment horizontal="center" vertical="center"/>
    </xf>
    <xf numFmtId="0" fontId="23" fillId="0" borderId="105" xfId="0" applyFont="1" applyBorder="1" applyAlignment="1">
      <alignment vertical="center"/>
    </xf>
    <xf numFmtId="0" fontId="0" fillId="48" borderId="147" xfId="0" applyFont="1" applyFill="1" applyBorder="1" applyAlignment="1">
      <alignment vertical="center"/>
    </xf>
    <xf numFmtId="0" fontId="0" fillId="48" borderId="148" xfId="0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49" xfId="0" applyBorder="1" applyAlignment="1">
      <alignment horizontal="center" vertical="top"/>
    </xf>
    <xf numFmtId="0" fontId="0" fillId="0" borderId="109" xfId="0" applyBorder="1" applyAlignment="1">
      <alignment horizontal="center" vertical="top"/>
    </xf>
    <xf numFmtId="0" fontId="197" fillId="0" borderId="0" xfId="0" applyFont="1" applyAlignment="1">
      <alignment/>
    </xf>
    <xf numFmtId="0" fontId="197" fillId="0" borderId="0" xfId="0" applyFont="1" applyAlignment="1">
      <alignment horizontal="left"/>
    </xf>
    <xf numFmtId="0" fontId="19" fillId="0" borderId="101" xfId="0" applyFont="1" applyBorder="1" applyAlignment="1">
      <alignment horizontal="center"/>
    </xf>
    <xf numFmtId="0" fontId="0" fillId="0" borderId="119" xfId="0" applyBorder="1" applyAlignment="1" applyProtection="1">
      <alignment horizontal="right"/>
      <protection hidden="1" locked="0"/>
    </xf>
    <xf numFmtId="0" fontId="0" fillId="0" borderId="113" xfId="0" applyFont="1" applyBorder="1" applyAlignment="1">
      <alignment horizontal="center"/>
    </xf>
    <xf numFmtId="0" fontId="198" fillId="0" borderId="0" xfId="0" applyFont="1" applyAlignment="1">
      <alignment/>
    </xf>
    <xf numFmtId="0" fontId="23" fillId="0" borderId="0" xfId="0" applyFont="1" applyAlignment="1">
      <alignment horizontal="right" vertical="top" indent="3"/>
    </xf>
    <xf numFmtId="0" fontId="0" fillId="48" borderId="92" xfId="0" applyFont="1" applyFill="1" applyBorder="1" applyAlignment="1">
      <alignment vertical="center"/>
    </xf>
    <xf numFmtId="0" fontId="0" fillId="48" borderId="110" xfId="0" applyFont="1" applyFill="1" applyBorder="1" applyAlignment="1">
      <alignment/>
    </xf>
    <xf numFmtId="0" fontId="0" fillId="0" borderId="149" xfId="0" applyBorder="1" applyAlignment="1" applyProtection="1">
      <alignment horizontal="center"/>
      <protection locked="0"/>
    </xf>
    <xf numFmtId="0" fontId="199" fillId="0" borderId="0" xfId="0" applyFont="1" applyAlignment="1">
      <alignment horizontal="center" vertical="center"/>
    </xf>
    <xf numFmtId="0" fontId="0" fillId="48" borderId="148" xfId="0" applyFont="1" applyFill="1" applyBorder="1" applyAlignment="1">
      <alignment horizontal="right" vertical="center"/>
    </xf>
    <xf numFmtId="0" fontId="5" fillId="38" borderId="0" xfId="0" applyFont="1" applyFill="1" applyAlignment="1">
      <alignment/>
    </xf>
    <xf numFmtId="20" fontId="52" fillId="23" borderId="15" xfId="77" applyNumberFormat="1" applyFont="1" applyFill="1" applyBorder="1" applyAlignment="1" applyProtection="1">
      <alignment horizontal="center"/>
      <protection hidden="1" locked="0"/>
    </xf>
    <xf numFmtId="20" fontId="52" fillId="40" borderId="90" xfId="77" applyNumberFormat="1" applyFont="1" applyFill="1" applyBorder="1" applyAlignment="1" applyProtection="1">
      <alignment horizontal="center"/>
      <protection hidden="1" locked="0"/>
    </xf>
    <xf numFmtId="20" fontId="52" fillId="40" borderId="105" xfId="77" applyNumberFormat="1" applyFont="1" applyFill="1" applyBorder="1" applyAlignment="1" applyProtection="1">
      <alignment horizontal="center"/>
      <protection hidden="1" locked="0"/>
    </xf>
    <xf numFmtId="20" fontId="52" fillId="40" borderId="101" xfId="77" applyNumberFormat="1" applyFont="1" applyFill="1" applyBorder="1" applyAlignment="1" applyProtection="1">
      <alignment horizontal="center"/>
      <protection hidden="1" locked="0"/>
    </xf>
    <xf numFmtId="20" fontId="52" fillId="40" borderId="16" xfId="77" applyNumberFormat="1" applyFont="1" applyFill="1" applyBorder="1" applyAlignment="1" applyProtection="1">
      <alignment horizontal="center"/>
      <protection hidden="1" locked="0"/>
    </xf>
    <xf numFmtId="20" fontId="52" fillId="40" borderId="17" xfId="77" applyNumberFormat="1" applyFont="1" applyFill="1" applyBorder="1" applyAlignment="1" applyProtection="1">
      <alignment horizontal="center"/>
      <protection hidden="1" locked="0"/>
    </xf>
    <xf numFmtId="0" fontId="23" fillId="0" borderId="0" xfId="77" applyFont="1">
      <alignment/>
      <protection/>
    </xf>
    <xf numFmtId="0" fontId="23" fillId="0" borderId="0" xfId="77" applyFont="1" applyAlignment="1">
      <alignment horizontal="left"/>
      <protection/>
    </xf>
    <xf numFmtId="0" fontId="23" fillId="0" borderId="0" xfId="77" applyFont="1" applyAlignment="1">
      <alignment horizontal="right"/>
      <protection/>
    </xf>
    <xf numFmtId="0" fontId="23" fillId="0" borderId="0" xfId="77" applyFont="1" applyAlignment="1">
      <alignment horizontal="center"/>
      <protection/>
    </xf>
    <xf numFmtId="0" fontId="23" fillId="0" borderId="0" xfId="77" applyFont="1" applyAlignment="1">
      <alignment horizontal="center" vertical="top"/>
      <protection/>
    </xf>
    <xf numFmtId="0" fontId="23" fillId="0" borderId="0" xfId="77" applyFont="1" applyAlignment="1">
      <alignment horizontal="left" vertical="top"/>
      <protection/>
    </xf>
    <xf numFmtId="0" fontId="73" fillId="0" borderId="0" xfId="77" applyFont="1" applyAlignment="1">
      <alignment wrapText="1"/>
      <protection/>
    </xf>
    <xf numFmtId="0" fontId="32" fillId="0" borderId="0" xfId="77" applyFont="1" applyAlignment="1">
      <alignment horizontal="left"/>
      <protection/>
    </xf>
    <xf numFmtId="0" fontId="200" fillId="0" borderId="0" xfId="68" applyFont="1" applyAlignment="1" applyProtection="1">
      <alignment/>
      <protection/>
    </xf>
    <xf numFmtId="0" fontId="8" fillId="0" borderId="0" xfId="77" applyFont="1">
      <alignment/>
      <protection/>
    </xf>
    <xf numFmtId="180" fontId="0" fillId="0" borderId="150" xfId="77" applyNumberFormat="1" applyBorder="1" applyAlignment="1">
      <alignment horizontal="center"/>
      <protection/>
    </xf>
    <xf numFmtId="180" fontId="4" fillId="0" borderId="151" xfId="77" applyNumberFormat="1" applyFont="1" applyBorder="1" applyAlignment="1">
      <alignment horizontal="center"/>
      <protection/>
    </xf>
    <xf numFmtId="180" fontId="4" fillId="0" borderId="152" xfId="77" applyNumberFormat="1" applyFont="1" applyBorder="1" applyAlignment="1">
      <alignment horizontal="center"/>
      <protection/>
    </xf>
    <xf numFmtId="0" fontId="19" fillId="0" borderId="0" xfId="77" applyFont="1">
      <alignment/>
      <protection/>
    </xf>
    <xf numFmtId="0" fontId="4" fillId="0" borderId="153" xfId="77" applyFont="1" applyBorder="1" applyAlignment="1">
      <alignment horizontal="right" vertical="center"/>
      <protection/>
    </xf>
    <xf numFmtId="0" fontId="4" fillId="0" borderId="154" xfId="77" applyFont="1" applyBorder="1" applyAlignment="1">
      <alignment horizontal="center" vertical="center"/>
      <protection/>
    </xf>
    <xf numFmtId="0" fontId="4" fillId="0" borderId="96" xfId="77" applyFont="1" applyBorder="1" applyAlignment="1">
      <alignment vertical="center"/>
      <protection/>
    </xf>
    <xf numFmtId="0" fontId="1" fillId="0" borderId="25" xfId="79" applyFont="1" applyBorder="1" applyAlignment="1" applyProtection="1">
      <alignment horizontal="center"/>
      <protection hidden="1" locked="0"/>
    </xf>
    <xf numFmtId="0" fontId="1" fillId="0" borderId="22" xfId="79" applyFont="1" applyBorder="1" applyAlignment="1" applyProtection="1">
      <alignment horizontal="center"/>
      <protection hidden="1" locked="0"/>
    </xf>
    <xf numFmtId="0" fontId="23" fillId="46" borderId="0" xfId="77" applyFont="1" applyFill="1">
      <alignment/>
      <protection/>
    </xf>
    <xf numFmtId="0" fontId="147" fillId="46" borderId="0" xfId="77" applyFont="1" applyFill="1">
      <alignment/>
      <protection/>
    </xf>
    <xf numFmtId="0" fontId="23" fillId="46" borderId="0" xfId="77" applyFont="1" applyFill="1" applyAlignment="1">
      <alignment horizontal="left"/>
      <protection/>
    </xf>
    <xf numFmtId="0" fontId="201" fillId="0" borderId="0" xfId="77" applyFont="1">
      <alignment/>
      <protection/>
    </xf>
    <xf numFmtId="180" fontId="201" fillId="0" borderId="0" xfId="77" applyNumberFormat="1" applyFont="1" applyAlignment="1">
      <alignment horizontal="left"/>
      <protection/>
    </xf>
    <xf numFmtId="0" fontId="201" fillId="46" borderId="0" xfId="77" applyFont="1" applyFill="1">
      <alignment/>
      <protection/>
    </xf>
    <xf numFmtId="0" fontId="23" fillId="46" borderId="0" xfId="77" applyFont="1" applyFill="1">
      <alignment/>
      <protection/>
    </xf>
    <xf numFmtId="0" fontId="0" fillId="0" borderId="0" xfId="0" applyFont="1" applyAlignment="1">
      <alignment vertical="center"/>
    </xf>
    <xf numFmtId="0" fontId="0" fillId="42" borderId="0" xfId="0" applyFill="1" applyBorder="1" applyAlignment="1">
      <alignment horizontal="center" vertical="center"/>
    </xf>
    <xf numFmtId="0" fontId="0" fillId="42" borderId="100" xfId="0" applyFill="1" applyBorder="1" applyAlignment="1">
      <alignment horizontal="center" vertical="center"/>
    </xf>
    <xf numFmtId="0" fontId="150" fillId="0" borderId="0" xfId="0" applyFont="1" applyAlignment="1">
      <alignment horizontal="right"/>
    </xf>
    <xf numFmtId="0" fontId="150" fillId="0" borderId="0" xfId="0" applyFont="1" applyAlignment="1">
      <alignment/>
    </xf>
    <xf numFmtId="0" fontId="202" fillId="0" borderId="0" xfId="77" applyFont="1" quotePrefix="1">
      <alignment/>
      <protection/>
    </xf>
    <xf numFmtId="0" fontId="42" fillId="0" borderId="0" xfId="77" applyFont="1" applyFill="1" applyProtection="1">
      <alignment/>
      <protection/>
    </xf>
    <xf numFmtId="0" fontId="203" fillId="0" borderId="0" xfId="77" applyFont="1" applyAlignment="1">
      <alignment horizontal="left" vertical="top" indent="1"/>
      <protection/>
    </xf>
    <xf numFmtId="0" fontId="23" fillId="0" borderId="0" xfId="77" applyFont="1" applyFill="1" applyBorder="1" applyAlignment="1" applyProtection="1">
      <alignment vertical="center"/>
      <protection/>
    </xf>
    <xf numFmtId="0" fontId="0" fillId="0" borderId="0" xfId="77" applyFont="1" applyAlignment="1">
      <alignment horizontal="right" vertical="center"/>
      <protection/>
    </xf>
    <xf numFmtId="186" fontId="25" fillId="49" borderId="155" xfId="77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86" fillId="0" borderId="0" xfId="77" applyFont="1">
      <alignment/>
      <protection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5" fillId="0" borderId="0" xfId="77" applyFont="1" applyAlignment="1">
      <alignment horizontal="right"/>
      <protection/>
    </xf>
    <xf numFmtId="0" fontId="25" fillId="0" borderId="0" xfId="77" applyFont="1" applyAlignment="1">
      <alignment horizontal="center"/>
      <protection/>
    </xf>
    <xf numFmtId="0" fontId="5" fillId="0" borderId="0" xfId="77" applyFont="1">
      <alignment/>
      <protection/>
    </xf>
    <xf numFmtId="0" fontId="1" fillId="0" borderId="0" xfId="77" applyFont="1" applyAlignment="1">
      <alignment horizontal="center"/>
      <protection/>
    </xf>
    <xf numFmtId="0" fontId="4" fillId="0" borderId="50" xfId="77" applyFont="1" applyBorder="1" applyAlignment="1">
      <alignment horizontal="centerContinuous"/>
      <protection/>
    </xf>
    <xf numFmtId="0" fontId="19" fillId="0" borderId="52" xfId="77" applyFont="1" applyBorder="1" applyAlignment="1">
      <alignment horizontal="centerContinuous"/>
      <protection/>
    </xf>
    <xf numFmtId="0" fontId="0" fillId="0" borderId="84" xfId="77" applyBorder="1" applyAlignment="1">
      <alignment horizontal="left" indent="1"/>
      <protection/>
    </xf>
    <xf numFmtId="0" fontId="0" fillId="0" borderId="86" xfId="77" applyBorder="1">
      <alignment/>
      <protection/>
    </xf>
    <xf numFmtId="0" fontId="0" fillId="0" borderId="17" xfId="77" applyBorder="1" applyAlignment="1">
      <alignment horizontal="center"/>
      <protection/>
    </xf>
    <xf numFmtId="0" fontId="15" fillId="0" borderId="0" xfId="0" applyFont="1" applyAlignment="1">
      <alignment horizontal="left" vertical="center"/>
    </xf>
    <xf numFmtId="0" fontId="4" fillId="0" borderId="27" xfId="77" applyFont="1" applyBorder="1" applyAlignment="1">
      <alignment horizontal="centerContinuous"/>
      <protection/>
    </xf>
    <xf numFmtId="0" fontId="0" fillId="0" borderId="29" xfId="77" applyBorder="1" applyAlignment="1">
      <alignment horizontal="centerContinuous"/>
      <protection/>
    </xf>
    <xf numFmtId="0" fontId="1" fillId="50" borderId="156" xfId="79" applyFont="1" applyFill="1" applyBorder="1" applyAlignment="1" applyProtection="1">
      <alignment horizontal="center"/>
      <protection hidden="1" locked="0"/>
    </xf>
    <xf numFmtId="0" fontId="1" fillId="50" borderId="157" xfId="79" applyFont="1" applyFill="1" applyBorder="1" applyAlignment="1" applyProtection="1">
      <alignment horizontal="center"/>
      <protection hidden="1" locked="0"/>
    </xf>
    <xf numFmtId="0" fontId="1" fillId="0" borderId="156" xfId="79" applyFont="1" applyFill="1" applyBorder="1" applyAlignment="1" applyProtection="1">
      <alignment horizontal="center"/>
      <protection hidden="1" locked="0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4" fillId="0" borderId="0" xfId="0" applyFont="1" applyAlignment="1">
      <alignment horizontal="right" vertical="top"/>
    </xf>
    <xf numFmtId="0" fontId="54" fillId="0" borderId="0" xfId="0" applyFont="1" applyAlignment="1">
      <alignment vertical="top"/>
    </xf>
    <xf numFmtId="0" fontId="19" fillId="0" borderId="0" xfId="0" applyFont="1" applyAlignment="1">
      <alignment horizontal="right" vertical="top"/>
    </xf>
    <xf numFmtId="0" fontId="52" fillId="0" borderId="0" xfId="0" applyFont="1" applyFill="1" applyAlignment="1">
      <alignment/>
    </xf>
    <xf numFmtId="0" fontId="52" fillId="51" borderId="0" xfId="0" applyFont="1" applyFill="1" applyAlignment="1">
      <alignment/>
    </xf>
    <xf numFmtId="0" fontId="195" fillId="0" borderId="0" xfId="0" applyFont="1" applyFill="1" applyAlignment="1">
      <alignment/>
    </xf>
    <xf numFmtId="0" fontId="195" fillId="51" borderId="0" xfId="0" applyFont="1" applyFill="1" applyAlignment="1">
      <alignment/>
    </xf>
    <xf numFmtId="0" fontId="75" fillId="47" borderId="0" xfId="0" applyFont="1" applyFill="1" applyAlignment="1">
      <alignment horizontal="right"/>
    </xf>
    <xf numFmtId="0" fontId="196" fillId="47" borderId="0" xfId="0" applyFont="1" applyFill="1" applyAlignment="1">
      <alignment horizontal="right" textRotation="90"/>
    </xf>
    <xf numFmtId="0" fontId="0" fillId="52" borderId="0" xfId="0" applyFill="1" applyAlignment="1">
      <alignment/>
    </xf>
    <xf numFmtId="0" fontId="0" fillId="0" borderId="118" xfId="0" applyBorder="1" applyAlignment="1">
      <alignment horizontal="center"/>
    </xf>
    <xf numFmtId="0" fontId="0" fillId="53" borderId="92" xfId="0" applyFont="1" applyFill="1" applyBorder="1" applyAlignment="1">
      <alignment horizontal="right" vertical="center"/>
    </xf>
    <xf numFmtId="0" fontId="0" fillId="53" borderId="110" xfId="0" applyFont="1" applyFill="1" applyBorder="1" applyAlignment="1">
      <alignment horizontal="right"/>
    </xf>
    <xf numFmtId="0" fontId="23" fillId="46" borderId="18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204" fillId="0" borderId="0" xfId="77" applyFont="1" applyAlignment="1">
      <alignment horizontal="right" indent="1"/>
      <protection/>
    </xf>
    <xf numFmtId="0" fontId="204" fillId="0" borderId="51" xfId="77" applyFont="1" applyBorder="1" applyAlignment="1">
      <alignment horizontal="center"/>
      <protection/>
    </xf>
    <xf numFmtId="0" fontId="205" fillId="0" borderId="0" xfId="77" applyFont="1" applyAlignment="1">
      <alignment horizontal="right" indent="1"/>
      <protection/>
    </xf>
    <xf numFmtId="0" fontId="204" fillId="0" borderId="0" xfId="77" applyFont="1">
      <alignment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8" fillId="0" borderId="0" xfId="0" applyFont="1" applyAlignment="1">
      <alignment horizontal="right" indent="1"/>
    </xf>
    <xf numFmtId="0" fontId="54" fillId="0" borderId="0" xfId="0" applyFont="1" applyAlignment="1">
      <alignment horizontal="right"/>
    </xf>
    <xf numFmtId="0" fontId="152" fillId="0" borderId="0" xfId="0" applyFont="1" applyAlignment="1">
      <alignment horizontal="right" vertical="top"/>
    </xf>
    <xf numFmtId="0" fontId="206" fillId="0" borderId="0" xfId="0" applyFont="1" applyAlignment="1">
      <alignment horizontal="right" vertical="center"/>
    </xf>
    <xf numFmtId="0" fontId="206" fillId="0" borderId="0" xfId="0" applyFont="1" applyAlignment="1">
      <alignment vertical="center"/>
    </xf>
    <xf numFmtId="0" fontId="1" fillId="0" borderId="157" xfId="79" applyFont="1" applyFill="1" applyBorder="1" applyAlignment="1" applyProtection="1">
      <alignment horizontal="center"/>
      <protection hidden="1" locked="0"/>
    </xf>
    <xf numFmtId="0" fontId="29" fillId="0" borderId="0" xfId="0" applyFont="1" applyAlignment="1">
      <alignment/>
    </xf>
    <xf numFmtId="0" fontId="207" fillId="0" borderId="0" xfId="77" applyFont="1">
      <alignment/>
      <protection/>
    </xf>
    <xf numFmtId="0" fontId="0" fillId="13" borderId="0" xfId="81" applyFont="1" applyFill="1" applyAlignment="1">
      <alignment horizontal="left" indent="1"/>
      <protection/>
    </xf>
    <xf numFmtId="0" fontId="208" fillId="0" borderId="0" xfId="77" applyFont="1" applyAlignment="1">
      <alignment horizontal="left" vertical="top" indent="1"/>
      <protection/>
    </xf>
    <xf numFmtId="0" fontId="2" fillId="50" borderId="0" xfId="0" applyFont="1" applyFill="1" applyAlignment="1">
      <alignment/>
    </xf>
    <xf numFmtId="0" fontId="0" fillId="54" borderId="0" xfId="0" applyFill="1" applyAlignment="1">
      <alignment/>
    </xf>
    <xf numFmtId="0" fontId="209" fillId="50" borderId="0" xfId="0" applyFont="1" applyFill="1" applyAlignment="1" applyProtection="1">
      <alignment horizontal="center"/>
      <protection hidden="1" locked="0"/>
    </xf>
    <xf numFmtId="0" fontId="0" fillId="0" borderId="0" xfId="0" applyFont="1" applyAlignment="1">
      <alignment horizontal="center"/>
    </xf>
    <xf numFmtId="0" fontId="19" fillId="38" borderId="0" xfId="0" applyFont="1" applyFill="1" applyAlignment="1">
      <alignment horizontal="left" indent="1"/>
    </xf>
    <xf numFmtId="0" fontId="210" fillId="38" borderId="0" xfId="0" applyFont="1" applyFill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127" fillId="0" borderId="0" xfId="78" applyFont="1" applyAlignment="1">
      <alignment horizontal="center" vertical="center"/>
      <protection/>
    </xf>
    <xf numFmtId="0" fontId="0" fillId="55" borderId="0" xfId="0" applyFill="1" applyAlignment="1">
      <alignment/>
    </xf>
    <xf numFmtId="0" fontId="9" fillId="42" borderId="0" xfId="0" applyFont="1" applyFill="1" applyAlignment="1">
      <alignment horizontal="center" vertical="center" wrapText="1"/>
    </xf>
    <xf numFmtId="0" fontId="137" fillId="42" borderId="0" xfId="0" applyFont="1" applyFill="1" applyAlignment="1">
      <alignment horizontal="center" wrapText="1"/>
    </xf>
    <xf numFmtId="0" fontId="137" fillId="42" borderId="0" xfId="0" applyFont="1" applyFill="1" applyAlignment="1">
      <alignment horizontal="center"/>
    </xf>
    <xf numFmtId="0" fontId="4" fillId="0" borderId="0" xfId="0" applyFont="1" applyAlignment="1">
      <alignment horizontal="right" indent="2"/>
    </xf>
    <xf numFmtId="0" fontId="0" fillId="19" borderId="15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19" borderId="54" xfId="0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9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right" indent="2"/>
    </xf>
    <xf numFmtId="0" fontId="0" fillId="10" borderId="15" xfId="0" applyFill="1" applyBorder="1" applyAlignment="1">
      <alignment horizontal="center" vertical="center"/>
    </xf>
    <xf numFmtId="0" fontId="0" fillId="10" borderId="90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23" fillId="0" borderId="0" xfId="0" applyFont="1" applyAlignment="1">
      <alignment horizontal="left" vertical="top" textRotation="90"/>
    </xf>
    <xf numFmtId="0" fontId="0" fillId="46" borderId="18" xfId="0" applyFill="1" applyBorder="1" applyAlignment="1">
      <alignment horizontal="center" vertical="top" textRotation="90"/>
    </xf>
    <xf numFmtId="0" fontId="0" fillId="46" borderId="14" xfId="0" applyFill="1" applyBorder="1" applyAlignment="1">
      <alignment horizontal="center" vertical="top" textRotation="90"/>
    </xf>
    <xf numFmtId="0" fontId="0" fillId="42" borderId="91" xfId="0" applyFont="1" applyFill="1" applyBorder="1" applyAlignment="1">
      <alignment horizontal="center" vertical="center"/>
    </xf>
    <xf numFmtId="0" fontId="0" fillId="42" borderId="100" xfId="0" applyFill="1" applyBorder="1" applyAlignment="1">
      <alignment horizontal="center" vertical="center"/>
    </xf>
    <xf numFmtId="0" fontId="0" fillId="42" borderId="158" xfId="0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6" borderId="159" xfId="0" applyFill="1" applyBorder="1" applyAlignment="1">
      <alignment horizontal="center" textRotation="90"/>
    </xf>
    <xf numFmtId="0" fontId="0" fillId="46" borderId="160" xfId="0" applyFill="1" applyBorder="1" applyAlignment="1">
      <alignment horizontal="center" textRotation="90"/>
    </xf>
    <xf numFmtId="0" fontId="0" fillId="46" borderId="161" xfId="0" applyFill="1" applyBorder="1" applyAlignment="1">
      <alignment horizontal="center" textRotation="90"/>
    </xf>
    <xf numFmtId="0" fontId="0" fillId="46" borderId="162" xfId="0" applyFill="1" applyBorder="1" applyAlignment="1">
      <alignment horizontal="center" textRotation="90"/>
    </xf>
    <xf numFmtId="0" fontId="0" fillId="46" borderId="18" xfId="0" applyFont="1" applyFill="1" applyBorder="1" applyAlignment="1">
      <alignment horizontal="center" vertical="center" textRotation="90" wrapText="1"/>
    </xf>
    <xf numFmtId="0" fontId="0" fillId="46" borderId="14" xfId="0" applyFont="1" applyFill="1" applyBorder="1" applyAlignment="1">
      <alignment horizontal="center" vertical="center" textRotation="90" wrapText="1"/>
    </xf>
    <xf numFmtId="0" fontId="0" fillId="53" borderId="163" xfId="0" applyFont="1" applyFill="1" applyBorder="1" applyAlignment="1">
      <alignment horizontal="center" vertical="center" textRotation="90" wrapText="1"/>
    </xf>
    <xf numFmtId="0" fontId="0" fillId="53" borderId="164" xfId="0" applyFont="1" applyFill="1" applyBorder="1" applyAlignment="1">
      <alignment horizontal="center" vertical="center" textRotation="90" wrapText="1"/>
    </xf>
    <xf numFmtId="0" fontId="0" fillId="53" borderId="94" xfId="0" applyFont="1" applyFill="1" applyBorder="1" applyAlignment="1">
      <alignment horizontal="center" vertical="center" textRotation="90" wrapText="1"/>
    </xf>
    <xf numFmtId="0" fontId="0" fillId="53" borderId="79" xfId="0" applyFont="1" applyFill="1" applyBorder="1" applyAlignment="1">
      <alignment horizontal="center" vertical="center" textRotation="90" wrapText="1"/>
    </xf>
    <xf numFmtId="0" fontId="70" fillId="0" borderId="15" xfId="0" applyFont="1" applyBorder="1" applyAlignment="1">
      <alignment horizontal="center" textRotation="90" wrapText="1"/>
    </xf>
    <xf numFmtId="0" fontId="70" fillId="0" borderId="12" xfId="0" applyFont="1" applyBorder="1" applyAlignment="1">
      <alignment horizontal="center" textRotation="90" wrapText="1"/>
    </xf>
    <xf numFmtId="0" fontId="70" fillId="0" borderId="105" xfId="0" applyFont="1" applyBorder="1" applyAlignment="1">
      <alignment horizontal="center" textRotation="90" wrapText="1"/>
    </xf>
    <xf numFmtId="0" fontId="70" fillId="0" borderId="0" xfId="0" applyFont="1" applyAlignment="1">
      <alignment horizontal="center" textRotation="90" wrapText="1"/>
    </xf>
    <xf numFmtId="0" fontId="4" fillId="0" borderId="12" xfId="0" applyFont="1" applyBorder="1" applyAlignment="1">
      <alignment horizontal="right" textRotation="90" wrapText="1"/>
    </xf>
    <xf numFmtId="0" fontId="4" fillId="0" borderId="90" xfId="0" applyFont="1" applyBorder="1" applyAlignment="1">
      <alignment horizontal="right" textRotation="90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6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29" fillId="0" borderId="0" xfId="0" applyFont="1" applyAlignment="1">
      <alignment horizontal="right" vertical="top"/>
    </xf>
    <xf numFmtId="0" fontId="53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horizontal="right" vertical="center"/>
    </xf>
    <xf numFmtId="0" fontId="18" fillId="0" borderId="0" xfId="0" applyFont="1" applyAlignment="1" quotePrefix="1">
      <alignment horizontal="right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center"/>
    </xf>
    <xf numFmtId="0" fontId="24" fillId="0" borderId="0" xfId="0" applyFont="1" applyAlignment="1" applyProtection="1">
      <alignment vertical="top" wrapText="1"/>
      <protection locked="0"/>
    </xf>
    <xf numFmtId="0" fontId="68" fillId="0" borderId="166" xfId="0" applyFont="1" applyBorder="1" applyAlignment="1">
      <alignment horizontal="center" vertical="center"/>
    </xf>
    <xf numFmtId="0" fontId="68" fillId="0" borderId="167" xfId="0" applyFont="1" applyBorder="1" applyAlignment="1">
      <alignment horizontal="center" vertical="center"/>
    </xf>
    <xf numFmtId="0" fontId="0" fillId="0" borderId="13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14" fontId="8" fillId="0" borderId="0" xfId="0" applyNumberFormat="1" applyFont="1" applyAlignment="1" applyProtection="1">
      <alignment horizontal="center"/>
      <protection locked="0"/>
    </xf>
    <xf numFmtId="14" fontId="8" fillId="0" borderId="10" xfId="0" applyNumberFormat="1" applyFont="1" applyBorder="1" applyAlignment="1" applyProtection="1">
      <alignment horizontal="center"/>
      <protection locked="0"/>
    </xf>
    <xf numFmtId="0" fontId="52" fillId="0" borderId="15" xfId="77" applyFont="1" applyBorder="1" applyAlignment="1">
      <alignment horizontal="left" vertical="center" indent="1"/>
      <protection/>
    </xf>
    <xf numFmtId="0" fontId="52" fillId="0" borderId="90" xfId="77" applyFont="1" applyBorder="1" applyAlignment="1">
      <alignment horizontal="left" vertical="center" indent="1"/>
      <protection/>
    </xf>
    <xf numFmtId="0" fontId="52" fillId="0" borderId="105" xfId="77" applyFont="1" applyBorder="1" applyAlignment="1">
      <alignment horizontal="left" vertical="center" indent="1"/>
      <protection/>
    </xf>
    <xf numFmtId="0" fontId="52" fillId="0" borderId="101" xfId="77" applyFont="1" applyBorder="1" applyAlignment="1">
      <alignment horizontal="left" vertical="center" indent="1"/>
      <protection/>
    </xf>
    <xf numFmtId="0" fontId="23" fillId="0" borderId="0" xfId="0" applyFont="1" applyAlignment="1">
      <alignment horizontal="center" vertical="center" wrapText="1"/>
    </xf>
    <xf numFmtId="187" fontId="20" fillId="0" borderId="0" xfId="0" applyNumberFormat="1" applyFont="1" applyBorder="1" applyAlignment="1">
      <alignment horizontal="center" vertical="center"/>
    </xf>
    <xf numFmtId="0" fontId="25" fillId="50" borderId="0" xfId="0" applyFont="1" applyFill="1" applyAlignment="1" applyProtection="1">
      <alignment vertical="center" wrapText="1"/>
      <protection locked="0"/>
    </xf>
    <xf numFmtId="0" fontId="25" fillId="56" borderId="166" xfId="77" applyFont="1" applyFill="1" applyBorder="1" applyAlignment="1" applyProtection="1">
      <alignment horizontal="center" vertical="center"/>
      <protection/>
    </xf>
    <xf numFmtId="0" fontId="25" fillId="56" borderId="167" xfId="77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/>
    </xf>
    <xf numFmtId="0" fontId="1" fillId="0" borderId="0" xfId="77" applyNumberFormat="1" applyFont="1" applyAlignment="1">
      <alignment horizontal="right"/>
      <protection/>
    </xf>
    <xf numFmtId="0" fontId="1" fillId="0" borderId="163" xfId="86" applyFont="1" applyBorder="1" applyAlignment="1">
      <alignment horizontal="center" textRotation="90"/>
      <protection/>
    </xf>
    <xf numFmtId="0" fontId="1" fillId="0" borderId="164" xfId="86" applyFont="1" applyBorder="1" applyAlignment="1">
      <alignment horizontal="center" textRotation="90"/>
      <protection/>
    </xf>
    <xf numFmtId="0" fontId="0" fillId="0" borderId="15" xfId="86" applyFont="1" applyBorder="1" applyAlignment="1">
      <alignment horizontal="left" vertical="center" wrapText="1" indent="1"/>
      <protection/>
    </xf>
    <xf numFmtId="0" fontId="0" fillId="0" borderId="12" xfId="86" applyFont="1" applyBorder="1" applyAlignment="1">
      <alignment horizontal="left" vertical="center" wrapText="1" indent="1"/>
      <protection/>
    </xf>
    <xf numFmtId="0" fontId="0" fillId="0" borderId="90" xfId="86" applyFont="1" applyBorder="1" applyAlignment="1">
      <alignment horizontal="left" vertical="center" wrapText="1" indent="1"/>
      <protection/>
    </xf>
    <xf numFmtId="0" fontId="43" fillId="0" borderId="50" xfId="86" applyFont="1" applyBorder="1" applyAlignment="1">
      <alignment horizontal="center" textRotation="90" wrapText="1"/>
      <protection/>
    </xf>
    <xf numFmtId="0" fontId="4" fillId="0" borderId="52" xfId="81" applyBorder="1" applyAlignment="1">
      <alignment horizontal="center" textRotation="90" wrapText="1"/>
      <protection/>
    </xf>
    <xf numFmtId="0" fontId="43" fillId="0" borderId="168" xfId="86" applyFont="1" applyBorder="1" applyAlignment="1">
      <alignment horizontal="left" wrapText="1" indent="1"/>
      <protection/>
    </xf>
    <xf numFmtId="0" fontId="43" fillId="0" borderId="51" xfId="86" applyFont="1" applyBorder="1" applyAlignment="1">
      <alignment horizontal="left" indent="1"/>
      <protection/>
    </xf>
    <xf numFmtId="0" fontId="43" fillId="0" borderId="52" xfId="86" applyFont="1" applyBorder="1" applyAlignment="1">
      <alignment horizontal="left" indent="1"/>
      <protection/>
    </xf>
    <xf numFmtId="0" fontId="4" fillId="0" borderId="169" xfId="86" applyFont="1" applyBorder="1" applyAlignment="1" applyProtection="1">
      <alignment horizontal="left" vertical="center" indent="1"/>
      <protection locked="0"/>
    </xf>
    <xf numFmtId="0" fontId="4" fillId="0" borderId="42" xfId="86" applyFont="1" applyBorder="1" applyAlignment="1" applyProtection="1">
      <alignment horizontal="left" vertical="center" indent="1"/>
      <protection locked="0"/>
    </xf>
    <xf numFmtId="0" fontId="4" fillId="0" borderId="60" xfId="86" applyFont="1" applyBorder="1" applyAlignment="1" applyProtection="1">
      <alignment horizontal="left" vertical="center" indent="1"/>
      <protection locked="0"/>
    </xf>
    <xf numFmtId="0" fontId="4" fillId="0" borderId="170" xfId="86" applyFont="1" applyBorder="1" applyAlignment="1" applyProtection="1">
      <alignment horizontal="left" vertical="center" indent="1"/>
      <protection locked="0"/>
    </xf>
    <xf numFmtId="0" fontId="4" fillId="0" borderId="171" xfId="86" applyFont="1" applyBorder="1" applyAlignment="1" applyProtection="1">
      <alignment horizontal="left" vertical="center" indent="1"/>
      <protection locked="0"/>
    </xf>
    <xf numFmtId="0" fontId="4" fillId="0" borderId="172" xfId="86" applyFont="1" applyBorder="1" applyAlignment="1" applyProtection="1">
      <alignment horizontal="left" vertical="center" indent="1"/>
      <protection locked="0"/>
    </xf>
    <xf numFmtId="0" fontId="5" fillId="0" borderId="140" xfId="86" applyFont="1" applyBorder="1" applyAlignment="1" applyProtection="1">
      <alignment horizontal="left" vertical="center" indent="1"/>
      <protection locked="0"/>
    </xf>
    <xf numFmtId="0" fontId="5" fillId="0" borderId="42" xfId="86" applyFont="1" applyBorder="1" applyAlignment="1" applyProtection="1">
      <alignment horizontal="left" vertical="center" indent="1"/>
      <protection locked="0"/>
    </xf>
    <xf numFmtId="0" fontId="5" fillId="0" borderId="60" xfId="86" applyFont="1" applyBorder="1" applyAlignment="1" applyProtection="1">
      <alignment horizontal="left" vertical="center" indent="1"/>
      <protection locked="0"/>
    </xf>
    <xf numFmtId="0" fontId="5" fillId="0" borderId="173" xfId="86" applyFont="1" applyBorder="1" applyAlignment="1" applyProtection="1">
      <alignment horizontal="left" vertical="center" indent="1"/>
      <protection locked="0"/>
    </xf>
    <xf numFmtId="0" fontId="5" fillId="0" borderId="171" xfId="86" applyFont="1" applyBorder="1" applyAlignment="1" applyProtection="1">
      <alignment horizontal="left" vertical="center" indent="1"/>
      <protection locked="0"/>
    </xf>
    <xf numFmtId="0" fontId="5" fillId="0" borderId="172" xfId="86" applyFont="1" applyBorder="1" applyAlignment="1" applyProtection="1">
      <alignment horizontal="left" vertical="center" indent="1"/>
      <protection locked="0"/>
    </xf>
    <xf numFmtId="0" fontId="0" fillId="0" borderId="114" xfId="80" applyBorder="1" applyAlignment="1" applyProtection="1">
      <alignment horizontal="center" vertical="center"/>
      <protection locked="0"/>
    </xf>
    <xf numFmtId="0" fontId="0" fillId="0" borderId="111" xfId="80" applyBorder="1" applyAlignment="1" applyProtection="1">
      <alignment horizontal="center" vertical="center"/>
      <protection locked="0"/>
    </xf>
    <xf numFmtId="0" fontId="0" fillId="0" borderId="115" xfId="80" applyBorder="1" applyAlignment="1" applyProtection="1">
      <alignment horizontal="center" vertical="center"/>
      <protection locked="0"/>
    </xf>
    <xf numFmtId="0" fontId="5" fillId="0" borderId="64" xfId="86" applyFont="1" applyBorder="1" applyAlignment="1" applyProtection="1">
      <alignment horizontal="left" vertical="center" indent="1"/>
      <protection locked="0"/>
    </xf>
    <xf numFmtId="0" fontId="5" fillId="0" borderId="174" xfId="86" applyFont="1" applyBorder="1" applyAlignment="1" applyProtection="1">
      <alignment horizontal="left" vertical="center" indent="1"/>
      <protection locked="0"/>
    </xf>
    <xf numFmtId="0" fontId="5" fillId="0" borderId="65" xfId="86" applyFont="1" applyBorder="1" applyAlignment="1" applyProtection="1">
      <alignment horizontal="left" vertical="center" indent="1"/>
      <protection locked="0"/>
    </xf>
    <xf numFmtId="0" fontId="4" fillId="0" borderId="175" xfId="86" applyFont="1" applyBorder="1" applyAlignment="1" applyProtection="1">
      <alignment horizontal="left" vertical="center" indent="1"/>
      <protection locked="0"/>
    </xf>
    <xf numFmtId="0" fontId="4" fillId="0" borderId="174" xfId="86" applyFont="1" applyBorder="1" applyAlignment="1" applyProtection="1">
      <alignment horizontal="left" vertical="center" indent="1"/>
      <protection locked="0"/>
    </xf>
    <xf numFmtId="0" fontId="4" fillId="0" borderId="65" xfId="86" applyFont="1" applyBorder="1" applyAlignment="1" applyProtection="1">
      <alignment horizontal="left" vertical="center" indent="1"/>
      <protection locked="0"/>
    </xf>
    <xf numFmtId="0" fontId="0" fillId="0" borderId="0" xfId="80" applyAlignment="1" applyProtection="1">
      <alignment horizontal="left" vertical="center" wrapText="1" indent="1"/>
      <protection locked="0"/>
    </xf>
    <xf numFmtId="0" fontId="4" fillId="0" borderId="75" xfId="86" applyFont="1" applyBorder="1" applyAlignment="1" applyProtection="1">
      <alignment horizontal="left" vertical="center" indent="1"/>
      <protection locked="0"/>
    </xf>
    <xf numFmtId="0" fontId="5" fillId="0" borderId="0" xfId="86" applyFont="1" applyAlignment="1" applyProtection="1">
      <alignment horizontal="left" vertical="center" indent="1"/>
      <protection locked="0"/>
    </xf>
    <xf numFmtId="0" fontId="5" fillId="0" borderId="46" xfId="86" applyFont="1" applyBorder="1" applyAlignment="1" applyProtection="1">
      <alignment horizontal="left" vertical="center" indent="1"/>
      <protection locked="0"/>
    </xf>
    <xf numFmtId="0" fontId="5" fillId="0" borderId="32" xfId="86" applyFont="1" applyBorder="1" applyAlignment="1" applyProtection="1">
      <alignment horizontal="left" vertical="center" indent="1"/>
      <protection locked="0"/>
    </xf>
    <xf numFmtId="0" fontId="5" fillId="0" borderId="44" xfId="86" applyFont="1" applyBorder="1" applyAlignment="1" applyProtection="1">
      <alignment horizontal="left" vertical="center" indent="1"/>
      <protection locked="0"/>
    </xf>
    <xf numFmtId="0" fontId="4" fillId="0" borderId="176" xfId="86" applyFont="1" applyBorder="1" applyAlignment="1" applyProtection="1">
      <alignment horizontal="left" vertical="center" indent="1"/>
      <protection locked="0"/>
    </xf>
    <xf numFmtId="0" fontId="4" fillId="0" borderId="32" xfId="86" applyFont="1" applyBorder="1" applyAlignment="1" applyProtection="1">
      <alignment horizontal="left" vertical="center" indent="1"/>
      <protection locked="0"/>
    </xf>
    <xf numFmtId="0" fontId="4" fillId="0" borderId="44" xfId="86" applyFont="1" applyBorder="1" applyAlignment="1" applyProtection="1">
      <alignment horizontal="left" vertical="center" indent="1"/>
      <protection locked="0"/>
    </xf>
    <xf numFmtId="0" fontId="127" fillId="0" borderId="0" xfId="78" applyFont="1" applyAlignment="1">
      <alignment horizontal="right" vertical="center"/>
      <protection/>
    </xf>
    <xf numFmtId="0" fontId="170" fillId="0" borderId="0" xfId="78" applyFont="1" applyAlignment="1">
      <alignment horizontal="right" vertical="top"/>
      <protection/>
    </xf>
  </cellXfs>
  <cellStyles count="8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 2" xfId="65"/>
    <cellStyle name="Hyperlink 3" xfId="66"/>
    <cellStyle name="Comma" xfId="67"/>
    <cellStyle name="Hyperlink" xfId="68"/>
    <cellStyle name="Neutral" xfId="69"/>
    <cellStyle name="Notiz" xfId="70"/>
    <cellStyle name="Percent" xfId="71"/>
    <cellStyle name="Schlecht" xfId="72"/>
    <cellStyle name="Standard 2" xfId="73"/>
    <cellStyle name="Standard 2 2" xfId="74"/>
    <cellStyle name="Standard 3" xfId="75"/>
    <cellStyle name="Standard 4" xfId="76"/>
    <cellStyle name="Standard__2006_H" xfId="77"/>
    <cellStyle name="Standard__2006_Vg" xfId="78"/>
    <cellStyle name="Standard_2007_Vk" xfId="79"/>
    <cellStyle name="Standard_Bed_V" xfId="80"/>
    <cellStyle name="Standard_Bed_V_1" xfId="81"/>
    <cellStyle name="Standard_Mappe1" xfId="82"/>
    <cellStyle name="Standard_Mappe3" xfId="83"/>
    <cellStyle name="Standard_neu" xfId="84"/>
    <cellStyle name="Standard_Seit 1" xfId="85"/>
    <cellStyle name="Standard_Seit 2+" xfId="86"/>
    <cellStyle name="Standard_SO_Bed02" xfId="87"/>
    <cellStyle name="Überschrift" xfId="88"/>
    <cellStyle name="Überschrift 1" xfId="89"/>
    <cellStyle name="Überschrift 2" xfId="90"/>
    <cellStyle name="Überschrift 3" xfId="91"/>
    <cellStyle name="Überschrift 4" xfId="92"/>
    <cellStyle name="Verknüpfte Zelle" xfId="93"/>
    <cellStyle name="Currency" xfId="94"/>
    <cellStyle name="Currency [0]" xfId="95"/>
    <cellStyle name="Warnender Text" xfId="96"/>
    <cellStyle name="Zelle überprüfen" xfId="97"/>
  </cellStyles>
  <dxfs count="210">
    <dxf>
      <font>
        <strike/>
      </font>
    </dxf>
    <dxf>
      <border>
        <left>
          <color indexed="63"/>
        </left>
        <right style="dotted"/>
        <top style="dotted"/>
        <bottom style="dotted"/>
      </border>
    </dxf>
    <dxf>
      <font>
        <strike/>
      </font>
    </dxf>
    <dxf>
      <border>
        <left>
          <color indexed="63"/>
        </left>
        <right style="dotted"/>
        <top style="dotted"/>
        <bottom style="dotted"/>
      </border>
    </dxf>
    <dxf>
      <font>
        <strike/>
      </font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border>
        <left>
          <color indexed="63"/>
        </left>
        <right style="dotted"/>
        <top style="dotted"/>
        <bottom style="dotted"/>
      </border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/>
      </font>
      <fill>
        <patternFill>
          <bgColor indexed="10"/>
        </patternFill>
      </fill>
    </dxf>
    <dxf>
      <border>
        <left style="dotted"/>
        <right>
          <color indexed="63"/>
        </right>
        <top style="dotted"/>
        <bottom style="dotted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</border>
    </dxf>
    <dxf>
      <fill>
        <patternFill>
          <bgColor indexed="41"/>
        </patternFill>
      </fill>
    </dxf>
    <dxf>
      <border>
        <right/>
      </border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border>
        <left style="hair"/>
        <right style="hair"/>
        <top style="hair"/>
        <bottom style="hair"/>
      </border>
    </dxf>
    <dxf>
      <border>
        <right style="hair"/>
      </border>
    </dxf>
    <dxf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ill>
        <patternFill>
          <bgColor rgb="FF66FFFF"/>
        </patternFill>
      </fill>
    </dxf>
    <dxf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ill>
        <patternFill>
          <bgColor rgb="FF1AFFFF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darkUp">
          <fgColor rgb="FFFFC000"/>
        </patternFill>
      </fill>
    </dxf>
    <dxf>
      <fill>
        <patternFill>
          <bgColor rgb="FFFF0000"/>
        </patternFill>
      </fill>
    </dxf>
    <dxf>
      <fill>
        <patternFill>
          <bgColor indexed="26"/>
        </patternFill>
      </fill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  <border>
        <left style="hair"/>
        <bottom style="hair"/>
      </border>
    </dxf>
    <dxf>
      <fill>
        <patternFill patternType="solid">
          <fgColor indexed="65"/>
          <bgColor indexed="26"/>
        </patternFill>
      </fill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  <border>
        <left style="hair"/>
        <bottom style="hair"/>
      </border>
    </dxf>
    <dxf>
      <fill>
        <patternFill patternType="solid">
          <fgColor indexed="65"/>
          <bgColor indexed="26"/>
        </patternFill>
      </fill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font>
        <name val="Cambria"/>
      </font>
      <fill>
        <patternFill patternType="gray0625"/>
      </fill>
      <border>
        <left style="thin"/>
        <right style="thin"/>
        <top style="thin"/>
        <bottom style="thin"/>
      </border>
    </dxf>
    <dxf>
      <border>
        <left>
          <color indexed="63"/>
        </left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/>
      </font>
      <fill>
        <patternFill>
          <bgColor indexed="10"/>
        </patternFill>
      </fill>
    </dxf>
    <dxf>
      <border>
        <left style="dotted"/>
        <right>
          <color indexed="63"/>
        </right>
        <top style="dotted"/>
        <bottom style="dotted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</border>
    </dxf>
    <dxf>
      <fill>
        <patternFill>
          <bgColor indexed="41"/>
        </patternFill>
      </fill>
    </dxf>
    <dxf>
      <border>
        <right/>
      </border>
    </dxf>
    <dxf>
      <border>
        <left/>
        <right/>
      </border>
    </dxf>
    <dxf>
      <fill>
        <patternFill>
          <bgColor indexed="43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border>
        <left>
          <color indexed="63"/>
        </left>
        <right style="dotted"/>
        <top style="dotted"/>
        <bottom style="dotted"/>
      </border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/>
      </font>
      <fill>
        <patternFill>
          <bgColor indexed="10"/>
        </patternFill>
      </fill>
    </dxf>
    <dxf>
      <border>
        <left style="dotted"/>
        <right>
          <color indexed="63"/>
        </right>
        <top style="dotted"/>
        <bottom style="dotted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>
        <left/>
        <right/>
      </border>
    </dxf>
    <dxf>
      <fill>
        <patternFill>
          <bgColor indexed="41"/>
        </patternFill>
      </fill>
    </dxf>
    <dxf>
      <border>
        <right/>
      </border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rgb="FFFFC000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border>
        <right style="hair"/>
      </border>
    </dxf>
    <dxf>
      <border>
        <right style="hair"/>
      </border>
    </dxf>
    <dxf>
      <font>
        <strike/>
      </font>
      <fill>
        <patternFill patternType="solid">
          <bgColor theme="9" tint="0.7999799847602844"/>
        </patternFill>
      </fill>
    </dxf>
    <dxf>
      <border>
        <left style="dashed"/>
        <right style="dashed"/>
      </border>
    </dxf>
    <dxf>
      <border>
        <left style="dashed"/>
        <right style="dashed"/>
      </border>
    </dxf>
    <dxf>
      <fill>
        <patternFill>
          <bgColor theme="9" tint="0.3999499976634979"/>
        </patternFill>
      </fill>
    </dxf>
    <dxf>
      <border>
        <left style="hair"/>
        <right style="hair"/>
        <top style="hair"/>
        <bottom>
          <color indexed="63"/>
        </bottom>
      </border>
    </dxf>
    <dxf>
      <border>
        <left style="dashed"/>
        <bottom style="thin"/>
      </border>
    </dxf>
    <dxf>
      <border>
        <left style="dashed"/>
        <bottom style="thin"/>
      </border>
    </dxf>
    <dxf>
      <border>
        <left style="dashed"/>
        <bottom style="thin"/>
      </border>
    </dxf>
    <dxf>
      <border>
        <left style="dashed"/>
        <bottom style="thin"/>
      </border>
    </dxf>
    <dxf>
      <border>
        <bottom style="hair"/>
      </border>
    </dxf>
    <dxf>
      <border>
        <left style="hair"/>
        <right style="hair"/>
        <top style="hair"/>
        <bottom>
          <color indexed="63"/>
        </bottom>
      </border>
    </dxf>
    <dxf>
      <border>
        <right style="hair"/>
      </border>
    </dxf>
    <dxf>
      <border>
        <right style="hair"/>
      </border>
    </dxf>
    <dxf>
      <border>
        <right style="hair"/>
      </border>
    </dxf>
    <dxf>
      <border>
        <right style="hair"/>
      </border>
    </dxf>
    <dxf>
      <fill>
        <patternFill>
          <bgColor indexed="14"/>
        </patternFill>
      </fill>
    </dxf>
    <dxf>
      <fill>
        <patternFill>
          <bgColor rgb="FFFF0000"/>
        </patternFill>
      </fill>
    </dxf>
    <dxf>
      <border>
        <left style="dashed"/>
        <right style="dashed"/>
      </border>
    </dxf>
    <dxf>
      <border>
        <right style="hair"/>
      </border>
    </dxf>
    <dxf>
      <fill>
        <patternFill>
          <bgColor indexed="43"/>
        </patternFill>
      </fill>
    </dxf>
    <dxf>
      <fill>
        <patternFill>
          <bgColor indexed="43"/>
        </patternFill>
      </fill>
      <border>
        <right style="hair"/>
      </border>
    </dxf>
    <dxf>
      <border>
        <right style="hair"/>
      </border>
    </dxf>
    <dxf>
      <fill>
        <patternFill>
          <bgColor indexed="42"/>
        </patternFill>
      </fill>
      <border>
        <right style="hair"/>
      </border>
    </dxf>
    <dxf>
      <border>
        <left style="dashed"/>
        <right style="dashed"/>
      </border>
    </dxf>
    <dxf>
      <border>
        <right style="hair"/>
      </border>
    </dxf>
    <dxf>
      <fill>
        <patternFill>
          <bgColor indexed="42"/>
        </patternFill>
      </fill>
    </dxf>
    <dxf>
      <border>
        <left>
          <color indexed="63"/>
        </left>
        <right style="hair"/>
        <top style="hair"/>
        <bottom>
          <color indexed="63"/>
        </bottom>
      </border>
    </dxf>
    <dxf>
      <border>
        <left style="hair"/>
        <right>
          <color indexed="63"/>
        </right>
        <top style="hair"/>
        <bottom>
          <color indexed="63"/>
        </bottom>
      </border>
    </dxf>
    <dxf>
      <border>
        <left style="hair">
          <color rgb="FF000000"/>
        </left>
        <right>
          <color rgb="FF000000"/>
        </right>
        <top style="hair">
          <color rgb="FF000000"/>
        </top>
        <bottom>
          <color rgb="FF000000"/>
        </bottom>
      </border>
    </dxf>
    <dxf>
      <border>
        <left>
          <color rgb="FF000000"/>
        </left>
        <right style="hair">
          <color rgb="FF000000"/>
        </right>
        <top style="hair">
          <color rgb="FF000000"/>
        </top>
        <bottom>
          <color rgb="FF000000"/>
        </bottom>
      </border>
    </dxf>
    <dxf>
      <border>
        <right style="hair">
          <color rgb="FF000000"/>
        </right>
      </border>
    </dxf>
    <dxf>
      <border>
        <left style="dashed">
          <color rgb="FF000000"/>
        </left>
        <right style="dashed">
          <color rgb="FF000000"/>
        </right>
      </border>
    </dxf>
    <dxf>
      <fill>
        <patternFill>
          <bgColor rgb="FFCCFFCC"/>
        </patternFill>
      </fill>
      <border>
        <right style="hair">
          <color rgb="FF000000"/>
        </right>
      </border>
    </dxf>
    <dxf>
      <fill>
        <patternFill>
          <bgColor rgb="FFFFFF99"/>
        </patternFill>
      </fill>
      <border>
        <right style="hair">
          <color rgb="FF000000"/>
        </right>
      </border>
    </dxf>
    <dxf>
      <border>
        <left style="hair">
          <color rgb="FF000000"/>
        </left>
        <right style="hair">
          <color rgb="FF000000"/>
        </right>
        <top style="hair">
          <color rgb="FF000000"/>
        </top>
        <bottom>
          <color rgb="FF000000"/>
        </bottom>
      </border>
    </dxf>
    <dxf>
      <border>
        <bottom style="hair">
          <color rgb="FF000000"/>
        </bottom>
      </border>
    </dxf>
    <dxf>
      <border>
        <left style="dashed">
          <color rgb="FF000000"/>
        </left>
        <bottom style="thin">
          <color rgb="FF000000"/>
        </bottom>
      </border>
    </dxf>
    <dxf>
      <font>
        <strike/>
      </font>
      <fill>
        <patternFill patternType="solid">
          <bgColor theme="9" tint="0.7999799847602844"/>
        </patternFill>
      </fill>
      <border/>
    </dxf>
    <dxf>
      <border>
        <left style="dotted">
          <color rgb="FF000000"/>
        </left>
        <right>
          <color rgb="FF000000"/>
        </right>
        <top style="dotted"/>
        <bottom style="dotted">
          <color rgb="FF000000"/>
        </bottom>
      </border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font>
        <strike/>
      </font>
      <border/>
    </dxf>
    <dxf>
      <fill>
        <patternFill patternType="gray0625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CC"/>
        </patternFill>
      </fill>
      <border>
        <left style="hair">
          <color rgb="FF000000"/>
        </left>
        <bottom style="hair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2</xdr:col>
      <xdr:colOff>1981200</xdr:colOff>
      <xdr:row>16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2457450" y="2314575"/>
          <a:ext cx="3571875" cy="1885950"/>
        </a:xfrm>
        <a:prstGeom prst="rect">
          <a:avLst/>
        </a:prstGeom>
        <a:solidFill>
          <a:srgbClr val="FFFFFF">
            <a:alpha val="80000"/>
          </a:srgbClr>
        </a:solidFill>
        <a:ln w="0" cmpd="sng">
          <a:noFill/>
        </a:ln>
      </xdr:spPr>
      <xdr:txBody>
        <a:bodyPr vertOverflow="clip" wrap="square" lIns="0" tIns="32004" rIns="45720" bIns="32004" anchor="ctr"/>
        <a:p>
          <a:pPr algn="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Wurde irrtümlich eine falsche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Auswahl getroffen, muss die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Datei (aus der Mustervorlage)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neu geöffnet werden 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20</xdr:row>
      <xdr:rowOff>0</xdr:rowOff>
    </xdr:from>
    <xdr:ext cx="1133475" cy="257175"/>
    <xdr:sp>
      <xdr:nvSpPr>
        <xdr:cNvPr id="1" name="Text Box 2"/>
        <xdr:cNvSpPr txBox="1">
          <a:spLocks noChangeArrowheads="1"/>
        </xdr:cNvSpPr>
      </xdr:nvSpPr>
      <xdr:spPr>
        <a:xfrm>
          <a:off x="657225" y="1514475"/>
          <a:ext cx="1133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r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Sprach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klasse:</a:t>
          </a:r>
        </a:p>
      </xdr:txBody>
    </xdr:sp>
    <xdr:clientData/>
  </xdr:oneCellAnchor>
  <xdr:twoCellAnchor>
    <xdr:from>
      <xdr:col>19</xdr:col>
      <xdr:colOff>38100</xdr:colOff>
      <xdr:row>22</xdr:row>
      <xdr:rowOff>0</xdr:rowOff>
    </xdr:from>
    <xdr:to>
      <xdr:col>24</xdr:col>
      <xdr:colOff>219075</xdr:colOff>
      <xdr:row>24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724650" y="1733550"/>
          <a:ext cx="1990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/>
        <a:p>
          <a:pPr algn="r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Berufsvorbereitung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sklasse: </a:t>
          </a:r>
        </a:p>
      </xdr:txBody>
    </xdr:sp>
    <xdr:clientData/>
  </xdr:twoCellAnchor>
  <xdr:oneCellAnchor>
    <xdr:from>
      <xdr:col>6</xdr:col>
      <xdr:colOff>123825</xdr:colOff>
      <xdr:row>25</xdr:row>
      <xdr:rowOff>9525</xdr:rowOff>
    </xdr:from>
    <xdr:ext cx="1066800" cy="209550"/>
    <xdr:sp>
      <xdr:nvSpPr>
        <xdr:cNvPr id="3" name="Text Box 4"/>
        <xdr:cNvSpPr txBox="1">
          <a:spLocks noChangeArrowheads="1"/>
        </xdr:cNvSpPr>
      </xdr:nvSpPr>
      <xdr:spPr>
        <a:xfrm>
          <a:off x="2171700" y="1952625"/>
          <a:ext cx="1066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Krankenhaus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: </a:t>
          </a:r>
        </a:p>
      </xdr:txBody>
    </xdr:sp>
    <xdr:clientData/>
  </xdr:oneCellAnchor>
  <xdr:oneCellAnchor>
    <xdr:from>
      <xdr:col>4</xdr:col>
      <xdr:colOff>47625</xdr:colOff>
      <xdr:row>26</xdr:row>
      <xdr:rowOff>0</xdr:rowOff>
    </xdr:from>
    <xdr:ext cx="1781175" cy="257175"/>
    <xdr:sp>
      <xdr:nvSpPr>
        <xdr:cNvPr id="4" name="Text Box 4"/>
        <xdr:cNvSpPr txBox="1">
          <a:spLocks noChangeArrowheads="1"/>
        </xdr:cNvSpPr>
      </xdr:nvSpPr>
      <xdr:spPr>
        <a:xfrm>
          <a:off x="1143000" y="2162175"/>
          <a:ext cx="1781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r">
            <a:defRPr/>
          </a:pPr>
          <a:r>
            <a:rPr lang="en-US" cap="none" sz="1100" b="1" i="0" u="sng" baseline="0">
              <a:solidFill>
                <a:srgbClr val="800000"/>
              </a:solidFill>
              <a:latin typeface="Arial"/>
              <a:ea typeface="Arial"/>
              <a:cs typeface="Arial"/>
            </a:rPr>
            <a:t>Alle weiteren Klassen: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266700</xdr:colOff>
      <xdr:row>52</xdr:row>
      <xdr:rowOff>714375</xdr:rowOff>
    </xdr:from>
    <xdr:ext cx="2695575" cy="1695450"/>
    <xdr:sp>
      <xdr:nvSpPr>
        <xdr:cNvPr id="2" name="Text Box 2"/>
        <xdr:cNvSpPr txBox="1">
          <a:spLocks noChangeArrowheads="1"/>
        </xdr:cNvSpPr>
      </xdr:nvSpPr>
      <xdr:spPr>
        <a:xfrm>
          <a:off x="6076950" y="7639050"/>
          <a:ext cx="2695575" cy="1695450"/>
        </a:xfrm>
        <a:prstGeom prst="rect">
          <a:avLst/>
        </a:prstGeom>
        <a:solidFill>
          <a:srgbClr val="FF99CC">
            <a:alpha val="75000"/>
          </a:srgbClr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Teilung in Werken
</a:t>
          </a:r>
          <a:r>
            <a:rPr lang="en-US" cap="none" sz="14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/ Werkerziehung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... bei 8 oder 9 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Schülern: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bei </a:t>
          </a:r>
          <a:r>
            <a:rPr lang="en-US" cap="none" sz="13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erschwerten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Umständen !!  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Zustimmung einholen der FI f.WeX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(bzw. LSI Kompatscher bei WeTech in der Sekundarstufe)</a:t>
          </a:r>
        </a:p>
      </xdr:txBody>
    </xdr:sp>
    <xdr:clientData fLocksWithSheet="0" fPrintsWithSheet="0"/>
  </xdr:one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7" name="AutoShape 5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8" name="AutoShape 6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83</xdr:row>
      <xdr:rowOff>66675</xdr:rowOff>
    </xdr:from>
    <xdr:to>
      <xdr:col>9</xdr:col>
      <xdr:colOff>238125</xdr:colOff>
      <xdr:row>91</xdr:row>
      <xdr:rowOff>85725</xdr:rowOff>
    </xdr:to>
    <xdr:sp>
      <xdr:nvSpPr>
        <xdr:cNvPr id="9" name="Text 22"/>
        <xdr:cNvSpPr>
          <a:spLocks/>
        </xdr:cNvSpPr>
      </xdr:nvSpPr>
      <xdr:spPr>
        <a:xfrm>
          <a:off x="1152525" y="11925300"/>
          <a:ext cx="2847975" cy="1466850"/>
        </a:xfrm>
        <a:prstGeom prst="round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...mit diesem Textfeld (und Pfeil)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lassen sich bei Bedarf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zusätzliche Kommentare anbringen:
</a:t>
          </a:r>
          <a:r>
            <a:rPr lang="en-US" cap="none" sz="11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Text (über Anklicken) eintragen und
</a:t>
          </a:r>
          <a:r>
            <a:rPr lang="en-US" cap="none" sz="11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das Feld in den druckbaren Bereich
</a:t>
          </a:r>
          <a:r>
            <a:rPr lang="en-US" cap="none" sz="11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(= bis T83) hineinziehen</a:t>
          </a:r>
        </a:p>
      </xdr:txBody>
    </xdr:sp>
    <xdr:clientData fLocksWithSheet="0"/>
  </xdr:twoCellAnchor>
  <xdr:twoCellAnchor>
    <xdr:from>
      <xdr:col>0</xdr:col>
      <xdr:colOff>342900</xdr:colOff>
      <xdr:row>85</xdr:row>
      <xdr:rowOff>142875</xdr:rowOff>
    </xdr:from>
    <xdr:to>
      <xdr:col>3</xdr:col>
      <xdr:colOff>38100</xdr:colOff>
      <xdr:row>88</xdr:row>
      <xdr:rowOff>76200</xdr:rowOff>
    </xdr:to>
    <xdr:sp>
      <xdr:nvSpPr>
        <xdr:cNvPr id="10" name="Line 10"/>
        <xdr:cNvSpPr>
          <a:spLocks/>
        </xdr:cNvSpPr>
      </xdr:nvSpPr>
      <xdr:spPr>
        <a:xfrm flipV="1">
          <a:off x="342900" y="12363450"/>
          <a:ext cx="10763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76200</xdr:colOff>
      <xdr:row>54</xdr:row>
      <xdr:rowOff>0</xdr:rowOff>
    </xdr:from>
    <xdr:ext cx="2847975" cy="1790700"/>
    <xdr:sp>
      <xdr:nvSpPr>
        <xdr:cNvPr id="2" name="Text Box 2"/>
        <xdr:cNvSpPr txBox="1">
          <a:spLocks noChangeArrowheads="1"/>
        </xdr:cNvSpPr>
      </xdr:nvSpPr>
      <xdr:spPr>
        <a:xfrm>
          <a:off x="5886450" y="9801225"/>
          <a:ext cx="2847975" cy="1790700"/>
        </a:xfrm>
        <a:prstGeom prst="rect">
          <a:avLst/>
        </a:prstGeom>
        <a:solidFill>
          <a:srgbClr val="FF99CC">
            <a:alpha val="75000"/>
          </a:srgbClr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Teilung in Werken
</a:t>
          </a:r>
          <a:r>
            <a:rPr lang="en-US" cap="none" sz="14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/ Werkerziehung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... bei 8 oder 9 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Schülern: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bei </a:t>
          </a:r>
          <a:r>
            <a:rPr lang="en-US" cap="none" sz="13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erschwerten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Umständen !!  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Zustimmung einholen der FI f.WeX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(bzw. LSI Kopatscher bei WeTech in der Sekundarstufe)</a:t>
          </a:r>
        </a:p>
      </xdr:txBody>
    </xdr:sp>
    <xdr:clientData fLocksWithSheet="0" fPrintsWithSheet="0"/>
  </xdr:one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7" name="AutoShape 5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8" name="AutoShape 6"/>
        <xdr:cNvSpPr>
          <a:spLocks/>
        </xdr:cNvSpPr>
      </xdr:nvSpPr>
      <xdr:spPr>
        <a:xfrm>
          <a:off x="6457950" y="3438525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83</xdr:row>
      <xdr:rowOff>76200</xdr:rowOff>
    </xdr:from>
    <xdr:to>
      <xdr:col>9</xdr:col>
      <xdr:colOff>238125</xdr:colOff>
      <xdr:row>91</xdr:row>
      <xdr:rowOff>76200</xdr:rowOff>
    </xdr:to>
    <xdr:sp>
      <xdr:nvSpPr>
        <xdr:cNvPr id="9" name="Text 22"/>
        <xdr:cNvSpPr>
          <a:spLocks/>
        </xdr:cNvSpPr>
      </xdr:nvSpPr>
      <xdr:spPr>
        <a:xfrm>
          <a:off x="1152525" y="16583025"/>
          <a:ext cx="2847975" cy="1447800"/>
        </a:xfrm>
        <a:prstGeom prst="round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...mit diesem Textfeld (und Pfeil)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lassen sich bei Bedarf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zusätzliche Kommentare anbringen:
</a:t>
          </a:r>
          <a:r>
            <a:rPr lang="en-US" cap="none" sz="11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Text (über Anklicken) eintragen und
</a:t>
          </a:r>
          <a:r>
            <a:rPr lang="en-US" cap="none" sz="11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das Feld in den druckbaren Bereich
</a:t>
          </a:r>
          <a:r>
            <a:rPr lang="en-US" cap="none" sz="11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(= bis T83) hineinziehen</a:t>
          </a:r>
        </a:p>
      </xdr:txBody>
    </xdr:sp>
    <xdr:clientData fLocksWithSheet="0"/>
  </xdr:twoCellAnchor>
  <xdr:twoCellAnchor>
    <xdr:from>
      <xdr:col>0</xdr:col>
      <xdr:colOff>342900</xdr:colOff>
      <xdr:row>85</xdr:row>
      <xdr:rowOff>142875</xdr:rowOff>
    </xdr:from>
    <xdr:to>
      <xdr:col>3</xdr:col>
      <xdr:colOff>38100</xdr:colOff>
      <xdr:row>88</xdr:row>
      <xdr:rowOff>76200</xdr:rowOff>
    </xdr:to>
    <xdr:sp>
      <xdr:nvSpPr>
        <xdr:cNvPr id="10" name="Line 10"/>
        <xdr:cNvSpPr>
          <a:spLocks/>
        </xdr:cNvSpPr>
      </xdr:nvSpPr>
      <xdr:spPr>
        <a:xfrm flipV="1">
          <a:off x="342900" y="17011650"/>
          <a:ext cx="10763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6457950" y="2781300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76200</xdr:colOff>
      <xdr:row>54</xdr:row>
      <xdr:rowOff>0</xdr:rowOff>
    </xdr:from>
    <xdr:ext cx="2847975" cy="1771650"/>
    <xdr:sp>
      <xdr:nvSpPr>
        <xdr:cNvPr id="2" name="Text Box 4"/>
        <xdr:cNvSpPr txBox="1">
          <a:spLocks noChangeArrowheads="1"/>
        </xdr:cNvSpPr>
      </xdr:nvSpPr>
      <xdr:spPr>
        <a:xfrm>
          <a:off x="5886450" y="7810500"/>
          <a:ext cx="2847975" cy="1771650"/>
        </a:xfrm>
        <a:prstGeom prst="rect">
          <a:avLst/>
        </a:prstGeom>
        <a:solidFill>
          <a:srgbClr val="FF99CC">
            <a:alpha val="75000"/>
          </a:srgbClr>
        </a:solidFill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Teilung in Werken
</a:t>
          </a:r>
          <a:r>
            <a:rPr lang="en-US" cap="none" sz="14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/ Werkerziehung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... bei 8 oder 9 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Schülern: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bei </a:t>
          </a:r>
          <a:r>
            <a:rPr lang="en-US" cap="none" sz="13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erschwerten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Umständen !!  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Zustimmung einholen der FI f.WeX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(bzw. LSI Kompatscher bei WeTech in der Sekundarstufe)</a:t>
          </a:r>
        </a:p>
      </xdr:txBody>
    </xdr:sp>
    <xdr:clientData fLocksWithSheet="0" fPrintsWithSheet="0"/>
  </xdr:one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3" name="AutoShape 7"/>
        <xdr:cNvSpPr>
          <a:spLocks/>
        </xdr:cNvSpPr>
      </xdr:nvSpPr>
      <xdr:spPr>
        <a:xfrm>
          <a:off x="6457950" y="2781300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4" name="AutoShape 8"/>
        <xdr:cNvSpPr>
          <a:spLocks/>
        </xdr:cNvSpPr>
      </xdr:nvSpPr>
      <xdr:spPr>
        <a:xfrm>
          <a:off x="6457950" y="2781300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6457950" y="2781300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6457950" y="2781300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7" name="AutoShape 5"/>
        <xdr:cNvSpPr>
          <a:spLocks/>
        </xdr:cNvSpPr>
      </xdr:nvSpPr>
      <xdr:spPr>
        <a:xfrm>
          <a:off x="6457950" y="2781300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16</xdr:row>
      <xdr:rowOff>0</xdr:rowOff>
    </xdr:from>
    <xdr:to>
      <xdr:col>16</xdr:col>
      <xdr:colOff>57150</xdr:colOff>
      <xdr:row>19</xdr:row>
      <xdr:rowOff>47625</xdr:rowOff>
    </xdr:to>
    <xdr:sp>
      <xdr:nvSpPr>
        <xdr:cNvPr id="8" name="AutoShape 6"/>
        <xdr:cNvSpPr>
          <a:spLocks/>
        </xdr:cNvSpPr>
      </xdr:nvSpPr>
      <xdr:spPr>
        <a:xfrm>
          <a:off x="6457950" y="2781300"/>
          <a:ext cx="180975" cy="619125"/>
        </a:xfrm>
        <a:prstGeom prst="leftBrace">
          <a:avLst>
            <a:gd name="adj" fmla="val -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83</xdr:row>
      <xdr:rowOff>76200</xdr:rowOff>
    </xdr:from>
    <xdr:to>
      <xdr:col>9</xdr:col>
      <xdr:colOff>238125</xdr:colOff>
      <xdr:row>91</xdr:row>
      <xdr:rowOff>76200</xdr:rowOff>
    </xdr:to>
    <xdr:sp>
      <xdr:nvSpPr>
        <xdr:cNvPr id="9" name="Text 22"/>
        <xdr:cNvSpPr>
          <a:spLocks/>
        </xdr:cNvSpPr>
      </xdr:nvSpPr>
      <xdr:spPr>
        <a:xfrm>
          <a:off x="1152525" y="12753975"/>
          <a:ext cx="2847975" cy="1447800"/>
        </a:xfrm>
        <a:prstGeom prst="round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...mit diesem Textfeld (und Pfeil)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lassen sich bei Bedarf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zusätzliche Kommentare anbringen:
</a:t>
          </a:r>
          <a:r>
            <a:rPr lang="en-US" cap="none" sz="11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Text (über Anklicken) eintragen und
</a:t>
          </a:r>
          <a:r>
            <a:rPr lang="en-US" cap="none" sz="11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das Feld in den druckbaren Bereich
</a:t>
          </a:r>
          <a:r>
            <a:rPr lang="en-US" cap="none" sz="11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(= bis T83) hineinziehen</a:t>
          </a:r>
        </a:p>
      </xdr:txBody>
    </xdr:sp>
    <xdr:clientData fLocksWithSheet="0"/>
  </xdr:twoCellAnchor>
  <xdr:twoCellAnchor>
    <xdr:from>
      <xdr:col>0</xdr:col>
      <xdr:colOff>342900</xdr:colOff>
      <xdr:row>85</xdr:row>
      <xdr:rowOff>142875</xdr:rowOff>
    </xdr:from>
    <xdr:to>
      <xdr:col>3</xdr:col>
      <xdr:colOff>38100</xdr:colOff>
      <xdr:row>88</xdr:row>
      <xdr:rowOff>76200</xdr:rowOff>
    </xdr:to>
    <xdr:sp>
      <xdr:nvSpPr>
        <xdr:cNvPr id="10" name="Line 27"/>
        <xdr:cNvSpPr>
          <a:spLocks/>
        </xdr:cNvSpPr>
      </xdr:nvSpPr>
      <xdr:spPr>
        <a:xfrm flipV="1">
          <a:off x="342900" y="13182600"/>
          <a:ext cx="10763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266700</xdr:colOff>
      <xdr:row>13</xdr:row>
      <xdr:rowOff>219075</xdr:rowOff>
    </xdr:from>
    <xdr:ext cx="2000250" cy="400050"/>
    <xdr:sp fLocksText="0">
      <xdr:nvSpPr>
        <xdr:cNvPr id="1" name="Text Box 1"/>
        <xdr:cNvSpPr txBox="1">
          <a:spLocks noChangeArrowheads="1"/>
        </xdr:cNvSpPr>
      </xdr:nvSpPr>
      <xdr:spPr>
        <a:xfrm>
          <a:off x="10401300" y="2895600"/>
          <a:ext cx="2000250" cy="4000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Anm.:  Hier keine Betreuung,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 Unterricht stattfindet!</a:t>
          </a:r>
        </a:p>
      </xdr:txBody>
    </xdr:sp>
    <xdr:clientData fLocksWithSheet="0"/>
  </xdr:oneCellAnchor>
  <xdr:oneCellAnchor>
    <xdr:from>
      <xdr:col>27</xdr:col>
      <xdr:colOff>266700</xdr:colOff>
      <xdr:row>15</xdr:row>
      <xdr:rowOff>219075</xdr:rowOff>
    </xdr:from>
    <xdr:ext cx="3533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401300" y="3352800"/>
          <a:ext cx="3533775" cy="2190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 16:00 bleiben dann nur mehr einzelne Schüler da!</a:t>
          </a:r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88"/>
        <xdr:cNvSpPr txBox="1">
          <a:spLocks noChangeArrowheads="1"/>
        </xdr:cNvSpPr>
      </xdr:nvSpPr>
      <xdr:spPr>
        <a:xfrm>
          <a:off x="47625" y="0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" name="Text 89"/>
        <xdr:cNvSpPr txBox="1">
          <a:spLocks noChangeArrowheads="1"/>
        </xdr:cNvSpPr>
      </xdr:nvSpPr>
      <xdr:spPr>
        <a:xfrm>
          <a:off x="47625" y="12163425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19050</xdr:colOff>
      <xdr:row>5</xdr:row>
      <xdr:rowOff>76200</xdr:rowOff>
    </xdr:from>
    <xdr:to>
      <xdr:col>0</xdr:col>
      <xdr:colOff>457200</xdr:colOff>
      <xdr:row>5</xdr:row>
      <xdr:rowOff>266700</xdr:rowOff>
    </xdr:to>
    <xdr:sp>
      <xdr:nvSpPr>
        <xdr:cNvPr id="3" name="Text 93"/>
        <xdr:cNvSpPr txBox="1">
          <a:spLocks noChangeArrowheads="1"/>
        </xdr:cNvSpPr>
      </xdr:nvSpPr>
      <xdr:spPr>
        <a:xfrm>
          <a:off x="19050" y="2143125"/>
          <a:ext cx="4381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Leiter: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4" name="Text 96"/>
        <xdr:cNvSpPr txBox="1">
          <a:spLocks noChangeArrowheads="1"/>
        </xdr:cNvSpPr>
      </xdr:nvSpPr>
      <xdr:spPr>
        <a:xfrm>
          <a:off x="47625" y="12163425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5" name="Text 97"/>
        <xdr:cNvSpPr txBox="1">
          <a:spLocks noChangeArrowheads="1"/>
        </xdr:cNvSpPr>
      </xdr:nvSpPr>
      <xdr:spPr>
        <a:xfrm>
          <a:off x="47625" y="12163425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6" name="Text 98"/>
        <xdr:cNvSpPr txBox="1">
          <a:spLocks noChangeArrowheads="1"/>
        </xdr:cNvSpPr>
      </xdr:nvSpPr>
      <xdr:spPr>
        <a:xfrm>
          <a:off x="47625" y="12163425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7" name="Text 99"/>
        <xdr:cNvSpPr txBox="1">
          <a:spLocks noChangeArrowheads="1"/>
        </xdr:cNvSpPr>
      </xdr:nvSpPr>
      <xdr:spPr>
        <a:xfrm>
          <a:off x="47625" y="12163425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" name="Text 100"/>
        <xdr:cNvSpPr txBox="1">
          <a:spLocks noChangeArrowheads="1"/>
        </xdr:cNvSpPr>
      </xdr:nvSpPr>
      <xdr:spPr>
        <a:xfrm>
          <a:off x="47625" y="12163425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Anzahl bzw. allfälligen Namensvorschlag angeben !! ] </a:t>
          </a:r>
        </a:p>
      </xdr:txBody>
    </xdr:sp>
    <xdr:clientData/>
  </xdr:twoCellAnchor>
  <xdr:twoCellAnchor>
    <xdr:from>
      <xdr:col>0</xdr:col>
      <xdr:colOff>47625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9" name="Text 101"/>
        <xdr:cNvSpPr txBox="1">
          <a:spLocks noChangeArrowheads="1"/>
        </xdr:cNvSpPr>
      </xdr:nvSpPr>
      <xdr:spPr>
        <a:xfrm>
          <a:off x="47625" y="12344400"/>
          <a:ext cx="2457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Anzahl bzw. allfälligen Namensvorschlag angeben !! ] </a:t>
          </a:r>
        </a:p>
      </xdr:txBody>
    </xdr:sp>
    <xdr:clientData/>
  </xdr:twoCellAnchor>
  <xdr:oneCellAnchor>
    <xdr:from>
      <xdr:col>11</xdr:col>
      <xdr:colOff>190500</xdr:colOff>
      <xdr:row>2</xdr:row>
      <xdr:rowOff>247650</xdr:rowOff>
    </xdr:from>
    <xdr:ext cx="1114425" cy="180975"/>
    <xdr:sp>
      <xdr:nvSpPr>
        <xdr:cNvPr id="10" name="Text 111"/>
        <xdr:cNvSpPr txBox="1">
          <a:spLocks noChangeArrowheads="1"/>
        </xdr:cNvSpPr>
      </xdr:nvSpPr>
      <xdr:spPr>
        <a:xfrm>
          <a:off x="5848350" y="809625"/>
          <a:ext cx="1114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WoStunden  in … </a:t>
          </a:r>
        </a:p>
      </xdr:txBody>
    </xdr:sp>
    <xdr:clientData/>
  </xdr:oneCellAnchor>
  <xdr:oneCellAnchor>
    <xdr:from>
      <xdr:col>8</xdr:col>
      <xdr:colOff>142875</xdr:colOff>
      <xdr:row>3</xdr:row>
      <xdr:rowOff>38100</xdr:rowOff>
    </xdr:from>
    <xdr:ext cx="552450" cy="171450"/>
    <xdr:sp>
      <xdr:nvSpPr>
        <xdr:cNvPr id="11" name="Text 111"/>
        <xdr:cNvSpPr txBox="1">
          <a:spLocks noChangeArrowheads="1"/>
        </xdr:cNvSpPr>
      </xdr:nvSpPr>
      <xdr:spPr>
        <a:xfrm>
          <a:off x="4962525" y="923925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Einsatz</a:t>
          </a:r>
        </a:p>
      </xdr:txBody>
    </xdr:sp>
    <xdr:clientData/>
  </xdr:oneCellAnchor>
  <xdr:oneCellAnchor>
    <xdr:from>
      <xdr:col>3</xdr:col>
      <xdr:colOff>266700</xdr:colOff>
      <xdr:row>0</xdr:row>
      <xdr:rowOff>9525</xdr:rowOff>
    </xdr:from>
    <xdr:ext cx="3771900" cy="533400"/>
    <xdr:sp>
      <xdr:nvSpPr>
        <xdr:cNvPr id="12" name="Text Box 15"/>
        <xdr:cNvSpPr txBox="1">
          <a:spLocks noChangeArrowheads="1"/>
        </xdr:cNvSpPr>
      </xdr:nvSpPr>
      <xdr:spPr>
        <a:xfrm>
          <a:off x="3343275" y="9525"/>
          <a:ext cx="3771900" cy="5334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mehr als 33 Lehrpersonen ist dieses Blatt vor dem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Ausfüllen zu kopieren:  unten am Bildschirm auf Karteireiter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Blattes rechts Mausklicken, Verschieben/kopieren ...</a:t>
          </a:r>
        </a:p>
      </xdr:txBody>
    </xdr:sp>
    <xdr:clientData fLocksWithSheet="0" fPrintsWithSheet="0"/>
  </xdr:oneCellAnchor>
  <xdr:twoCellAnchor>
    <xdr:from>
      <xdr:col>0</xdr:col>
      <xdr:colOff>276225</xdr:colOff>
      <xdr:row>6</xdr:row>
      <xdr:rowOff>238125</xdr:rowOff>
    </xdr:from>
    <xdr:to>
      <xdr:col>1</xdr:col>
      <xdr:colOff>95250</xdr:colOff>
      <xdr:row>10</xdr:row>
      <xdr:rowOff>57150</xdr:rowOff>
    </xdr:to>
    <xdr:sp>
      <xdr:nvSpPr>
        <xdr:cNvPr id="13" name="AutoShape 16"/>
        <xdr:cNvSpPr>
          <a:spLocks/>
        </xdr:cNvSpPr>
      </xdr:nvSpPr>
      <xdr:spPr>
        <a:xfrm>
          <a:off x="276225" y="2600325"/>
          <a:ext cx="2324100" cy="1000125"/>
        </a:xfrm>
        <a:prstGeom prst="leftArrowCallout">
          <a:avLst>
            <a:gd name="adj1" fmla="val -17685"/>
            <a:gd name="adj2" fmla="val -36870"/>
            <a:gd name="adj3" fmla="val -31722"/>
            <a:gd name="adj4" fmla="val -6564"/>
          </a:avLst>
        </a:prstGeom>
        <a:solidFill>
          <a:srgbClr val="FFFF00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4000" tIns="46800" rIns="54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Die Lehrernamen (in Spalte A) sind nach jetzigem Stand anzuführen, </a:t>
          </a:r>
        </a:p>
      </xdr:txBody>
    </xdr:sp>
    <xdr:clientData fLocksWithSheet="0" fPrintsWithSheet="0"/>
  </xdr:twoCellAnchor>
  <xdr:twoCellAnchor>
    <xdr:from>
      <xdr:col>1</xdr:col>
      <xdr:colOff>95250</xdr:colOff>
      <xdr:row>6</xdr:row>
      <xdr:rowOff>238125</xdr:rowOff>
    </xdr:from>
    <xdr:to>
      <xdr:col>11</xdr:col>
      <xdr:colOff>152400</xdr:colOff>
      <xdr:row>10</xdr:row>
      <xdr:rowOff>57150</xdr:rowOff>
    </xdr:to>
    <xdr:sp>
      <xdr:nvSpPr>
        <xdr:cNvPr id="14" name="AutoShape 17"/>
        <xdr:cNvSpPr>
          <a:spLocks/>
        </xdr:cNvSpPr>
      </xdr:nvSpPr>
      <xdr:spPr>
        <a:xfrm>
          <a:off x="2600325" y="2600325"/>
          <a:ext cx="3209925" cy="1000125"/>
        </a:xfrm>
        <a:prstGeom prst="rightArrowCallout">
          <a:avLst>
            <a:gd name="adj1" fmla="val 10060"/>
            <a:gd name="adj2" fmla="val -36870"/>
            <a:gd name="adj3" fmla="val 35754"/>
            <a:gd name="adj4" fmla="val -6731"/>
          </a:avLst>
        </a:prstGeom>
        <a:solidFill>
          <a:srgbClr val="008000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4000" tIns="46800" rIns="90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alle weiteren Angaben (rechts davon) bitte 
</a:t>
          </a:r>
          <a:r>
            <a:rPr lang="en-US" cap="none" sz="1200" b="1" i="0" u="none" baseline="0">
              <a:solidFill>
                <a:srgbClr val="000000"/>
              </a:solidFill>
            </a:rPr>
            <a:t>auf das nächste Schuljahr ausrichten!</a:t>
          </a:r>
        </a:p>
      </xdr:txBody>
    </xdr:sp>
    <xdr:clientData fLocksWithSheet="0"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23</xdr:row>
      <xdr:rowOff>752475</xdr:rowOff>
    </xdr:from>
    <xdr:to>
      <xdr:col>2</xdr:col>
      <xdr:colOff>0</xdr:colOff>
      <xdr:row>24</xdr:row>
      <xdr:rowOff>9525</xdr:rowOff>
    </xdr:to>
    <xdr:sp>
      <xdr:nvSpPr>
        <xdr:cNvPr id="1" name="Text 88"/>
        <xdr:cNvSpPr txBox="1">
          <a:spLocks noChangeArrowheads="1"/>
        </xdr:cNvSpPr>
      </xdr:nvSpPr>
      <xdr:spPr>
        <a:xfrm>
          <a:off x="295275" y="7143750"/>
          <a:ext cx="20478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 Anzahl bzw. allfälligen Namensvorschlag angeben !! ] </a:t>
          </a:r>
        </a:p>
      </xdr:txBody>
    </xdr:sp>
    <xdr:clientData/>
  </xdr:twoCellAnchor>
  <xdr:twoCellAnchor>
    <xdr:from>
      <xdr:col>13</xdr:col>
      <xdr:colOff>19050</xdr:colOff>
      <xdr:row>41</xdr:row>
      <xdr:rowOff>0</xdr:rowOff>
    </xdr:from>
    <xdr:to>
      <xdr:col>13</xdr:col>
      <xdr:colOff>514350</xdr:colOff>
      <xdr:row>41</xdr:row>
      <xdr:rowOff>0</xdr:rowOff>
    </xdr:to>
    <xdr:sp>
      <xdr:nvSpPr>
        <xdr:cNvPr id="2" name="Text 61"/>
        <xdr:cNvSpPr txBox="1">
          <a:spLocks noChangeArrowheads="1"/>
        </xdr:cNvSpPr>
      </xdr:nvSpPr>
      <xdr:spPr>
        <a:xfrm>
          <a:off x="6629400" y="113919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0" rIns="36576" bIns="27432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Wochenstunden an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Schulen</a:t>
          </a:r>
        </a:p>
      </xdr:txBody>
    </xdr:sp>
    <xdr:clientData/>
  </xdr:twoCellAnchor>
  <xdr:twoCellAnchor>
    <xdr:from>
      <xdr:col>0</xdr:col>
      <xdr:colOff>38100</xdr:colOff>
      <xdr:row>41</xdr:row>
      <xdr:rowOff>0</xdr:rowOff>
    </xdr:from>
    <xdr:to>
      <xdr:col>1</xdr:col>
      <xdr:colOff>114300</xdr:colOff>
      <xdr:row>41</xdr:row>
      <xdr:rowOff>0</xdr:rowOff>
    </xdr:to>
    <xdr:sp>
      <xdr:nvSpPr>
        <xdr:cNvPr id="3" name="Text 96"/>
        <xdr:cNvSpPr txBox="1">
          <a:spLocks noChangeArrowheads="1"/>
        </xdr:cNvSpPr>
      </xdr:nvSpPr>
      <xdr:spPr>
        <a:xfrm>
          <a:off x="38100" y="1139190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Leiter:</a:t>
          </a:r>
        </a:p>
      </xdr:txBody>
    </xdr:sp>
    <xdr:clientData/>
  </xdr:twoCellAnchor>
  <xdr:twoCellAnchor>
    <xdr:from>
      <xdr:col>9</xdr:col>
      <xdr:colOff>190500</xdr:colOff>
      <xdr:row>2</xdr:row>
      <xdr:rowOff>28575</xdr:rowOff>
    </xdr:from>
    <xdr:to>
      <xdr:col>12</xdr:col>
      <xdr:colOff>85725</xdr:colOff>
      <xdr:row>2</xdr:row>
      <xdr:rowOff>361950</xdr:rowOff>
    </xdr:to>
    <xdr:sp>
      <xdr:nvSpPr>
        <xdr:cNvPr id="4" name="Text 111"/>
        <xdr:cNvSpPr txBox="1">
          <a:spLocks noChangeArrowheads="1"/>
        </xdr:cNvSpPr>
      </xdr:nvSpPr>
      <xdr:spPr>
        <a:xfrm>
          <a:off x="5200650" y="828675"/>
          <a:ext cx="13716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Unterricht</a:t>
          </a:r>
        </a:p>
      </xdr:txBody>
    </xdr:sp>
    <xdr:clientData/>
  </xdr:twoCellAnchor>
  <xdr:oneCellAnchor>
    <xdr:from>
      <xdr:col>3</xdr:col>
      <xdr:colOff>9525</xdr:colOff>
      <xdr:row>2</xdr:row>
      <xdr:rowOff>66675</xdr:rowOff>
    </xdr:from>
    <xdr:ext cx="1409700" cy="228600"/>
    <xdr:sp>
      <xdr:nvSpPr>
        <xdr:cNvPr id="5" name="Text 111"/>
        <xdr:cNvSpPr txBox="1">
          <a:spLocks noChangeArrowheads="1"/>
        </xdr:cNvSpPr>
      </xdr:nvSpPr>
      <xdr:spPr>
        <a:xfrm>
          <a:off x="2600325" y="866775"/>
          <a:ext cx="14097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Wochenstunden  in ...</a:t>
          </a:r>
        </a:p>
      </xdr:txBody>
    </xdr:sp>
    <xdr:clientData/>
  </xdr:oneCellAnchor>
  <xdr:oneCellAnchor>
    <xdr:from>
      <xdr:col>0</xdr:col>
      <xdr:colOff>0</xdr:colOff>
      <xdr:row>29</xdr:row>
      <xdr:rowOff>123825</xdr:rowOff>
    </xdr:from>
    <xdr:ext cx="1409700" cy="342900"/>
    <xdr:sp>
      <xdr:nvSpPr>
        <xdr:cNvPr id="6" name="Textfeld 6"/>
        <xdr:cNvSpPr txBox="1">
          <a:spLocks noChangeArrowheads="1"/>
        </xdr:cNvSpPr>
      </xdr:nvSpPr>
      <xdr:spPr>
        <a:xfrm>
          <a:off x="0" y="8658225"/>
          <a:ext cx="1409700" cy="342900"/>
        </a:xfrm>
        <a:prstGeom prst="rect">
          <a:avLst/>
        </a:prstGeom>
        <a:solidFill>
          <a:srgbClr val="FFFFFF"/>
        </a:solidFill>
        <a:ln w="3175" cmpd="sng">
          <a:solidFill>
            <a:srgbClr val="BCBCBC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1" u="sng" baseline="0">
              <a:solidFill>
                <a:srgbClr val="000000"/>
              </a:solidFill>
            </a:rPr>
            <a:t>Anmerkungen: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2.vobs.at/ftp-pub/allgemein/formulare/GTS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2.vobs.at/ftp-pub/allgemein/formulare/GTS.PDF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S22"/>
  <sheetViews>
    <sheetView showGridLines="0" showRowColHeaders="0" showZeros="0" tabSelected="1" zoomScale="115" zoomScaleNormal="115" zoomScalePageLayoutView="0" workbookViewId="0" topLeftCell="A1">
      <selection activeCell="B6" sqref="B6"/>
    </sheetView>
  </sheetViews>
  <sheetFormatPr defaultColWidth="0" defaultRowHeight="14.25" zeroHeight="1"/>
  <cols>
    <col min="1" max="1" width="32.125" style="0" customWidth="1"/>
    <col min="2" max="2" width="21.00390625" style="21" customWidth="1"/>
    <col min="3" max="3" width="32.125" style="0" customWidth="1"/>
    <col min="4" max="4" width="11.00390625" style="0" customWidth="1"/>
    <col min="5" max="21" width="3.75390625" style="0" hidden="1" customWidth="1"/>
    <col min="22" max="16384" width="0" style="0" hidden="1" customWidth="1"/>
  </cols>
  <sheetData>
    <row r="1" spans="1:19" s="15" customFormat="1" ht="18">
      <c r="A1" s="630"/>
      <c r="B1" s="629"/>
      <c r="C1" s="628"/>
      <c r="D1" s="85" t="s">
        <v>377</v>
      </c>
      <c r="S1" s="15" t="s">
        <v>325</v>
      </c>
    </row>
    <row r="2" spans="1:4" s="1" customFormat="1" ht="20.25">
      <c r="A2" s="625"/>
      <c r="B2" s="624" t="s">
        <v>86</v>
      </c>
      <c r="C2" s="623"/>
      <c r="D2" s="85" t="s">
        <v>378</v>
      </c>
    </row>
    <row r="3" spans="1:4" s="559" customFormat="1" ht="18">
      <c r="A3" s="627"/>
      <c r="B3" s="626" t="s">
        <v>87</v>
      </c>
      <c r="C3" s="623"/>
      <c r="D3" s="86" t="str">
        <f>LEFT(D2,4)</f>
        <v>2020</v>
      </c>
    </row>
    <row r="4" spans="1:4" s="15" customFormat="1" ht="18">
      <c r="A4" s="625"/>
      <c r="B4" s="624" t="s">
        <v>324</v>
      </c>
      <c r="C4" s="623"/>
      <c r="D4" s="16"/>
    </row>
    <row r="5" spans="1:3" s="16" customFormat="1" ht="14.25">
      <c r="A5" s="622"/>
      <c r="B5" s="621"/>
      <c r="C5" s="620"/>
    </row>
    <row r="6" spans="1:4" s="613" customFormat="1" ht="45" customHeight="1">
      <c r="A6" s="619" t="s">
        <v>323</v>
      </c>
      <c r="B6" s="618" t="s">
        <v>322</v>
      </c>
      <c r="C6" s="615"/>
      <c r="D6" s="614"/>
    </row>
    <row r="7" spans="1:4" s="613" customFormat="1" ht="20.25">
      <c r="A7" s="615"/>
      <c r="B7" s="617" t="s">
        <v>321</v>
      </c>
      <c r="C7" s="615"/>
      <c r="D7" s="614"/>
    </row>
    <row r="8" spans="1:4" s="613" customFormat="1" ht="20.25">
      <c r="A8" s="615"/>
      <c r="B8" s="616" t="s">
        <v>320</v>
      </c>
      <c r="C8" s="615"/>
      <c r="D8" s="614"/>
    </row>
    <row r="9" spans="1:3" s="16" customFormat="1" ht="8.25">
      <c r="A9" s="611"/>
      <c r="B9" s="612"/>
      <c r="C9" s="611"/>
    </row>
    <row r="10" spans="1:2" s="16" customFormat="1" ht="8.25">
      <c r="A10" s="17"/>
      <c r="B10" s="18"/>
    </row>
    <row r="11" spans="1:2" s="16" customFormat="1" ht="34.5">
      <c r="A11" s="19" t="s">
        <v>151</v>
      </c>
      <c r="B11" s="20"/>
    </row>
    <row r="12" spans="1:2" s="16" customFormat="1" ht="8.25">
      <c r="A12" s="18"/>
      <c r="B12" s="18"/>
    </row>
    <row r="13" spans="1:2" s="16" customFormat="1" ht="34.5">
      <c r="A13" s="45" t="s">
        <v>150</v>
      </c>
      <c r="B13" s="20"/>
    </row>
    <row r="14" spans="1:2" s="16" customFormat="1" ht="8.25">
      <c r="A14" s="18"/>
      <c r="B14" s="18"/>
    </row>
    <row r="15" spans="1:2" s="16" customFormat="1" ht="34.5">
      <c r="A15" s="46" t="s">
        <v>152</v>
      </c>
      <c r="B15" s="20"/>
    </row>
    <row r="16" s="16" customFormat="1" ht="20.25">
      <c r="B16" s="1"/>
    </row>
    <row r="17" spans="1:3" s="6" customFormat="1" ht="18" hidden="1">
      <c r="A17" s="610"/>
      <c r="B17" s="605"/>
      <c r="C17" s="604"/>
    </row>
    <row r="18" spans="1:3" s="559" customFormat="1" ht="70.5" customHeight="1" hidden="1">
      <c r="A18" s="784" t="s">
        <v>319</v>
      </c>
      <c r="B18" s="784"/>
      <c r="C18" s="784"/>
    </row>
    <row r="19" spans="1:3" s="559" customFormat="1" ht="38.25" customHeight="1" hidden="1">
      <c r="A19" s="609"/>
      <c r="B19" s="608" t="s">
        <v>0</v>
      </c>
      <c r="C19" s="607"/>
    </row>
    <row r="20" spans="1:3" s="559" customFormat="1" ht="36" customHeight="1" hidden="1">
      <c r="A20" s="785" t="s">
        <v>318</v>
      </c>
      <c r="B20" s="786"/>
      <c r="C20" s="786"/>
    </row>
    <row r="21" spans="1:3" s="6" customFormat="1" ht="18" hidden="1">
      <c r="A21" s="606"/>
      <c r="B21" s="605"/>
      <c r="C21" s="604"/>
    </row>
    <row r="22" ht="14.25">
      <c r="A22" s="17"/>
    </row>
  </sheetData>
  <sheetProtection sheet="1" objects="1" scenarios="1"/>
  <mergeCells count="2">
    <mergeCell ref="A18:C18"/>
    <mergeCell ref="A20:C20"/>
  </mergeCells>
  <printOptions horizontalCentered="1"/>
  <pageMargins left="0.7086614173228347" right="0.6299212598425197" top="0.984251968503937" bottom="0.984251968503937" header="0.35433070866141736" footer="0.35433070866141736"/>
  <pageSetup blackAndWhite="1" fitToHeight="1" fitToWidth="1" horizontalDpi="600" verticalDpi="600" orientation="portrait" paperSize="9" scale="95" r:id="rId3"/>
  <headerFooter alignWithMargins="0">
    <oddFooter>&amp;C&amp;9&amp;A &amp;P  ( von:  &amp;F )</oddFooter>
  </headerFooter>
  <rowBreaks count="1" manualBreakCount="1">
    <brk id="41" max="6553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5"/>
  </sheetPr>
  <dimension ref="A1:H48"/>
  <sheetViews>
    <sheetView showGridLines="0" showRowColHeaders="0" showZeros="0" zoomScalePageLayoutView="0" workbookViewId="0" topLeftCell="A1">
      <selection activeCell="H4" sqref="H4"/>
    </sheetView>
  </sheetViews>
  <sheetFormatPr defaultColWidth="0" defaultRowHeight="14.25" zeroHeight="1"/>
  <cols>
    <col min="1" max="1" width="4.25390625" style="363" customWidth="1"/>
    <col min="2" max="3" width="9.00390625" style="363" customWidth="1"/>
    <col min="4" max="5" width="10.75390625" style="363" customWidth="1"/>
    <col min="6" max="6" width="12.375" style="363" customWidth="1"/>
    <col min="7" max="7" width="11.00390625" style="363" customWidth="1"/>
    <col min="8" max="8" width="4.625" style="363" customWidth="1"/>
    <col min="9" max="9" width="5.00390625" style="363" hidden="1" customWidth="1"/>
    <col min="10" max="16" width="0" style="363" hidden="1" customWidth="1"/>
    <col min="17" max="17" width="5.00390625" style="363" hidden="1" customWidth="1"/>
    <col min="18" max="16384" width="0" style="363" hidden="1" customWidth="1"/>
  </cols>
  <sheetData>
    <row r="1" spans="1:8" ht="33">
      <c r="A1" s="360" t="s">
        <v>140</v>
      </c>
      <c r="B1" s="361"/>
      <c r="C1" s="362"/>
      <c r="D1" s="362"/>
      <c r="E1" s="362"/>
      <c r="F1" s="362"/>
      <c r="G1" s="362"/>
      <c r="H1" s="362"/>
    </row>
    <row r="2" spans="1:8" ht="12.75">
      <c r="A2" s="362"/>
      <c r="B2" s="362"/>
      <c r="C2" s="362"/>
      <c r="D2" s="362"/>
      <c r="E2" s="362"/>
      <c r="F2" s="362"/>
      <c r="G2" s="362"/>
      <c r="H2" s="362"/>
    </row>
    <row r="3" spans="1:8" ht="12.75">
      <c r="A3" s="364"/>
      <c r="B3" s="362"/>
      <c r="C3" s="362"/>
      <c r="D3" s="362"/>
      <c r="E3" s="362"/>
      <c r="F3" s="362"/>
      <c r="G3" s="362"/>
      <c r="H3" s="362"/>
    </row>
    <row r="4" spans="1:8" ht="12.75">
      <c r="A4" s="369"/>
      <c r="B4" s="369"/>
      <c r="C4" s="369"/>
      <c r="D4" s="369"/>
      <c r="E4" s="369"/>
      <c r="F4" s="369"/>
      <c r="G4" s="369"/>
      <c r="H4" s="369"/>
    </row>
    <row r="5" spans="1:8" ht="15">
      <c r="A5" s="370" t="s">
        <v>371</v>
      </c>
      <c r="B5" s="371"/>
      <c r="C5" s="371"/>
      <c r="D5" s="371"/>
      <c r="E5" s="371"/>
      <c r="F5" s="371"/>
      <c r="G5" s="371"/>
      <c r="H5" s="371"/>
    </row>
    <row r="6" spans="1:8" ht="8.25" customHeight="1">
      <c r="A6" s="372"/>
      <c r="B6" s="371"/>
      <c r="C6" s="371"/>
      <c r="D6" s="371"/>
      <c r="E6" s="371"/>
      <c r="F6" s="371"/>
      <c r="G6" s="371"/>
      <c r="H6" s="371"/>
    </row>
    <row r="7" spans="1:8" s="368" customFormat="1" ht="14.25">
      <c r="A7" s="373" t="s">
        <v>136</v>
      </c>
      <c r="B7" s="371"/>
      <c r="C7" s="371"/>
      <c r="D7" s="371"/>
      <c r="E7" s="371"/>
      <c r="F7" s="371"/>
      <c r="G7" s="371"/>
      <c r="H7" s="371"/>
    </row>
    <row r="8" spans="1:8" ht="14.25">
      <c r="A8" s="373" t="s">
        <v>372</v>
      </c>
      <c r="B8" s="374"/>
      <c r="C8" s="374"/>
      <c r="D8" s="374"/>
      <c r="E8" s="374"/>
      <c r="F8" s="374"/>
      <c r="G8" s="374"/>
      <c r="H8" s="374"/>
    </row>
    <row r="9" spans="1:8" ht="15">
      <c r="A9" s="773" t="s">
        <v>383</v>
      </c>
      <c r="B9" s="371"/>
      <c r="C9" s="374"/>
      <c r="D9" s="374"/>
      <c r="E9" s="374"/>
      <c r="F9" s="374"/>
      <c r="G9" s="374"/>
      <c r="H9" s="374"/>
    </row>
    <row r="10" spans="1:8" ht="14.25">
      <c r="A10" s="773" t="s">
        <v>373</v>
      </c>
      <c r="B10" s="371"/>
      <c r="C10" s="374"/>
      <c r="D10" s="374"/>
      <c r="E10" s="374"/>
      <c r="F10" s="374"/>
      <c r="G10" s="374"/>
      <c r="H10" s="374"/>
    </row>
    <row r="11" spans="1:8" ht="4.5" customHeight="1">
      <c r="A11" s="374"/>
      <c r="B11" s="374"/>
      <c r="C11" s="374"/>
      <c r="D11" s="374"/>
      <c r="E11" s="374"/>
      <c r="F11" s="374"/>
      <c r="G11" s="374"/>
      <c r="H11" s="374"/>
    </row>
    <row r="12" spans="1:8" ht="14.25">
      <c r="A12" s="373"/>
      <c r="B12" s="571" t="s">
        <v>296</v>
      </c>
      <c r="C12" s="374"/>
      <c r="D12" s="374"/>
      <c r="E12" s="374"/>
      <c r="F12" s="374"/>
      <c r="G12" s="374"/>
      <c r="H12" s="374"/>
    </row>
    <row r="13" spans="1:8" ht="14.25">
      <c r="A13" s="373"/>
      <c r="B13" s="403" t="s">
        <v>298</v>
      </c>
      <c r="C13" s="374"/>
      <c r="D13" s="374"/>
      <c r="E13" s="374"/>
      <c r="F13" s="374"/>
      <c r="G13" s="374"/>
      <c r="H13" s="374"/>
    </row>
    <row r="14" spans="1:8" ht="14.25">
      <c r="A14" s="373"/>
      <c r="B14" s="403" t="s">
        <v>299</v>
      </c>
      <c r="C14" s="374"/>
      <c r="D14" s="374"/>
      <c r="E14" s="374"/>
      <c r="F14" s="374"/>
      <c r="G14" s="374"/>
      <c r="H14" s="374"/>
    </row>
    <row r="15" spans="1:8" ht="14.25">
      <c r="A15" s="373"/>
      <c r="B15" s="403"/>
      <c r="C15" s="374"/>
      <c r="D15" s="374"/>
      <c r="E15" s="374"/>
      <c r="F15" s="374"/>
      <c r="G15" s="374"/>
      <c r="H15" s="572" t="s">
        <v>297</v>
      </c>
    </row>
    <row r="16" spans="1:8" ht="14.25">
      <c r="A16" s="373"/>
      <c r="B16" s="403"/>
      <c r="C16" s="374"/>
      <c r="D16" s="374"/>
      <c r="E16" s="374"/>
      <c r="F16" s="374"/>
      <c r="G16" s="374"/>
      <c r="H16" s="374"/>
    </row>
    <row r="17" spans="1:8" ht="18">
      <c r="A17" s="404"/>
      <c r="B17" s="371"/>
      <c r="C17" s="409" t="s">
        <v>342</v>
      </c>
      <c r="D17" s="410" t="s">
        <v>369</v>
      </c>
      <c r="E17" s="374"/>
      <c r="F17" s="374"/>
      <c r="G17" s="374"/>
      <c r="H17" s="374"/>
    </row>
    <row r="18" spans="1:8" s="368" customFormat="1" ht="18">
      <c r="A18" s="404"/>
      <c r="B18" s="374"/>
      <c r="C18" s="374"/>
      <c r="D18" s="374"/>
      <c r="E18" s="374"/>
      <c r="F18" s="374"/>
      <c r="G18" s="374"/>
      <c r="H18" s="374"/>
    </row>
    <row r="19" spans="1:8" s="368" customFormat="1" ht="12.75" hidden="1">
      <c r="A19" s="389"/>
      <c r="B19" s="366"/>
      <c r="C19" s="366"/>
      <c r="D19" s="366"/>
      <c r="E19" s="366"/>
      <c r="F19" s="366"/>
      <c r="G19" s="366"/>
      <c r="H19" s="366"/>
    </row>
    <row r="20" spans="1:8" ht="15" hidden="1">
      <c r="A20" s="400" t="s">
        <v>162</v>
      </c>
      <c r="B20" s="367"/>
      <c r="C20" s="367"/>
      <c r="D20" s="367"/>
      <c r="E20" s="367"/>
      <c r="F20" s="367"/>
      <c r="G20" s="367"/>
      <c r="H20" s="367"/>
    </row>
    <row r="21" spans="1:8" s="368" customFormat="1" ht="18" hidden="1">
      <c r="A21" s="401"/>
      <c r="B21" s="402" t="s">
        <v>163</v>
      </c>
      <c r="C21" s="367"/>
      <c r="D21" s="367"/>
      <c r="E21" s="367"/>
      <c r="F21" s="367"/>
      <c r="G21" s="367"/>
      <c r="H21" s="367"/>
    </row>
    <row r="22" spans="1:8" s="368" customFormat="1" ht="12.75" hidden="1">
      <c r="A22" s="365"/>
      <c r="B22" s="366"/>
      <c r="C22" s="366"/>
      <c r="D22" s="366"/>
      <c r="E22" s="366"/>
      <c r="F22" s="366"/>
      <c r="G22" s="366"/>
      <c r="H22" s="366"/>
    </row>
    <row r="23" spans="1:8" s="368" customFormat="1" ht="12.75" hidden="1">
      <c r="A23" s="365" t="s">
        <v>141</v>
      </c>
      <c r="B23" s="366"/>
      <c r="C23" s="366"/>
      <c r="D23" s="366"/>
      <c r="E23" s="366"/>
      <c r="F23" s="366"/>
      <c r="G23" s="366"/>
      <c r="H23" s="366"/>
    </row>
    <row r="24" spans="1:8" s="368" customFormat="1" ht="9" customHeight="1" hidden="1">
      <c r="A24" s="365"/>
      <c r="B24" s="366"/>
      <c r="C24" s="366"/>
      <c r="D24" s="366"/>
      <c r="E24" s="366"/>
      <c r="F24" s="366"/>
      <c r="G24" s="366"/>
      <c r="H24" s="366"/>
    </row>
    <row r="25" spans="1:8" s="368" customFormat="1" ht="12.75" hidden="1">
      <c r="A25" s="365" t="s">
        <v>143</v>
      </c>
      <c r="B25" s="366"/>
      <c r="C25" s="366"/>
      <c r="D25" s="366"/>
      <c r="E25" s="366"/>
      <c r="F25" s="366"/>
      <c r="G25" s="366"/>
      <c r="H25" s="366"/>
    </row>
    <row r="26" spans="1:8" s="368" customFormat="1" ht="15" hidden="1">
      <c r="A26" s="365" t="s">
        <v>142</v>
      </c>
      <c r="B26" s="384"/>
      <c r="C26" s="366"/>
      <c r="D26" s="366"/>
      <c r="E26" s="366"/>
      <c r="F26" s="366"/>
      <c r="G26" s="366"/>
      <c r="H26" s="366"/>
    </row>
    <row r="27" spans="1:8" s="383" customFormat="1" ht="13.5" hidden="1">
      <c r="A27" s="365"/>
      <c r="B27" s="394" t="s">
        <v>157</v>
      </c>
      <c r="C27" s="382"/>
      <c r="D27" s="382"/>
      <c r="E27" s="382"/>
      <c r="F27" s="382"/>
      <c r="G27" s="382"/>
      <c r="H27" s="366"/>
    </row>
    <row r="28" spans="1:8" s="383" customFormat="1" ht="13.5" hidden="1">
      <c r="A28" s="392"/>
      <c r="B28" s="394" t="s">
        <v>158</v>
      </c>
      <c r="C28" s="382"/>
      <c r="D28" s="382"/>
      <c r="E28" s="382"/>
      <c r="F28" s="382"/>
      <c r="G28" s="382"/>
      <c r="H28" s="393"/>
    </row>
    <row r="29" spans="1:8" s="368" customFormat="1" ht="12.75" hidden="1">
      <c r="A29" s="365" t="s">
        <v>156</v>
      </c>
      <c r="B29" s="366"/>
      <c r="C29" s="366"/>
      <c r="D29" s="366"/>
      <c r="E29" s="366"/>
      <c r="F29" s="366"/>
      <c r="G29" s="366"/>
      <c r="H29" s="366"/>
    </row>
    <row r="30" spans="1:8" s="368" customFormat="1" ht="12.75" hidden="1">
      <c r="A30" s="365"/>
      <c r="B30" s="366" t="s">
        <v>155</v>
      </c>
      <c r="C30" s="366"/>
      <c r="D30" s="366"/>
      <c r="E30" s="366"/>
      <c r="F30" s="366"/>
      <c r="G30" s="366"/>
      <c r="H30" s="366"/>
    </row>
    <row r="31" spans="1:8" s="368" customFormat="1" ht="9" customHeight="1" hidden="1">
      <c r="A31" s="365"/>
      <c r="B31" s="366"/>
      <c r="C31" s="366"/>
      <c r="D31" s="366"/>
      <c r="E31" s="366"/>
      <c r="F31" s="366"/>
      <c r="G31" s="366"/>
      <c r="H31" s="366"/>
    </row>
    <row r="32" spans="1:8" s="368" customFormat="1" ht="12.75" hidden="1">
      <c r="A32" s="365" t="s">
        <v>145</v>
      </c>
      <c r="B32" s="366"/>
      <c r="C32" s="366"/>
      <c r="D32" s="366"/>
      <c r="E32" s="366"/>
      <c r="F32" s="366"/>
      <c r="G32" s="366"/>
      <c r="H32" s="366"/>
    </row>
    <row r="33" spans="1:8" s="368" customFormat="1" ht="12.75" hidden="1">
      <c r="A33" s="365"/>
      <c r="B33" s="366" t="s">
        <v>144</v>
      </c>
      <c r="C33" s="366"/>
      <c r="D33" s="366"/>
      <c r="E33" s="366"/>
      <c r="F33" s="366"/>
      <c r="G33" s="366"/>
      <c r="H33" s="366"/>
    </row>
    <row r="34" spans="1:8" ht="12.75" hidden="1">
      <c r="A34" s="366"/>
      <c r="B34" s="366" t="s">
        <v>146</v>
      </c>
      <c r="C34" s="366"/>
      <c r="D34" s="366"/>
      <c r="E34" s="366"/>
      <c r="F34" s="366"/>
      <c r="G34" s="366"/>
      <c r="H34" s="366"/>
    </row>
    <row r="35" spans="1:8" ht="12.75" hidden="1">
      <c r="A35" s="366"/>
      <c r="B35" s="366"/>
      <c r="C35" s="366"/>
      <c r="D35" s="366"/>
      <c r="E35" s="366"/>
      <c r="F35" s="366"/>
      <c r="G35" s="366"/>
      <c r="H35" s="366"/>
    </row>
    <row r="36" spans="1:8" ht="12.75">
      <c r="A36" s="375"/>
      <c r="B36" s="376"/>
      <c r="C36" s="376"/>
      <c r="D36" s="376"/>
      <c r="E36" s="376"/>
      <c r="F36" s="376"/>
      <c r="G36" s="376"/>
      <c r="H36" s="376"/>
    </row>
    <row r="37" spans="1:8" ht="14.25" hidden="1">
      <c r="A37" s="411" t="s">
        <v>167</v>
      </c>
      <c r="B37" s="412"/>
      <c r="C37" s="376"/>
      <c r="D37" s="376"/>
      <c r="E37" s="416" t="s">
        <v>168</v>
      </c>
      <c r="F37" s="376"/>
      <c r="G37" s="376"/>
      <c r="H37" s="376"/>
    </row>
    <row r="38" spans="1:8" ht="15" hidden="1">
      <c r="A38" s="413"/>
      <c r="B38" s="414" t="s">
        <v>169</v>
      </c>
      <c r="C38" s="376"/>
      <c r="D38" s="376"/>
      <c r="E38" s="376"/>
      <c r="F38" s="376"/>
      <c r="G38" s="376"/>
      <c r="H38" s="376"/>
    </row>
    <row r="39" spans="1:8" ht="14.25" hidden="1">
      <c r="A39" s="377"/>
      <c r="B39" s="376"/>
      <c r="C39" s="376"/>
      <c r="D39" s="376"/>
      <c r="E39" s="376"/>
      <c r="F39" s="376"/>
      <c r="G39" s="415" t="s">
        <v>170</v>
      </c>
      <c r="H39" s="376"/>
    </row>
    <row r="40" spans="1:8" ht="14.25">
      <c r="A40" s="377" t="s">
        <v>260</v>
      </c>
      <c r="B40" s="376"/>
      <c r="C40" s="376"/>
      <c r="D40" s="376"/>
      <c r="E40" s="376"/>
      <c r="F40" s="376"/>
      <c r="G40" s="376"/>
      <c r="H40" s="376"/>
    </row>
    <row r="41" spans="1:8" ht="14.25">
      <c r="A41" s="377"/>
      <c r="B41" s="378" t="s">
        <v>137</v>
      </c>
      <c r="C41" s="376"/>
      <c r="D41" s="376"/>
      <c r="E41" s="376"/>
      <c r="F41" s="376"/>
      <c r="G41" s="376"/>
      <c r="H41" s="376"/>
    </row>
    <row r="42" spans="1:8" ht="14.25">
      <c r="A42" s="377"/>
      <c r="B42" s="378" t="s">
        <v>138</v>
      </c>
      <c r="C42" s="376"/>
      <c r="D42" s="376"/>
      <c r="E42" s="376"/>
      <c r="F42" s="376"/>
      <c r="G42" s="376"/>
      <c r="H42" s="376"/>
    </row>
    <row r="43" spans="1:8" ht="12.75">
      <c r="A43" s="376"/>
      <c r="B43" s="376"/>
      <c r="C43" s="376"/>
      <c r="D43" s="376"/>
      <c r="E43" s="376"/>
      <c r="F43" s="376"/>
      <c r="G43" s="376"/>
      <c r="H43" s="379" t="s">
        <v>139</v>
      </c>
    </row>
    <row r="44" spans="1:8" ht="12.75">
      <c r="A44" s="376"/>
      <c r="B44" s="376"/>
      <c r="C44" s="376"/>
      <c r="D44" s="376"/>
      <c r="E44" s="376"/>
      <c r="F44" s="376"/>
      <c r="G44" s="376"/>
      <c r="H44" s="379"/>
    </row>
    <row r="45" spans="1:8" ht="18">
      <c r="A45" s="380"/>
      <c r="B45" s="376" t="s">
        <v>153</v>
      </c>
      <c r="C45" s="376"/>
      <c r="D45" s="376"/>
      <c r="E45" s="376"/>
      <c r="F45" s="376"/>
      <c r="G45" s="376"/>
      <c r="H45" s="376"/>
    </row>
    <row r="46" spans="1:8" ht="23.25">
      <c r="A46" s="390"/>
      <c r="B46" s="376"/>
      <c r="C46" s="376"/>
      <c r="D46" s="376"/>
      <c r="E46" s="376"/>
      <c r="F46" s="376"/>
      <c r="G46" s="391" t="s">
        <v>154</v>
      </c>
      <c r="H46" s="376"/>
    </row>
    <row r="47" spans="1:8" ht="12.75">
      <c r="A47" s="376"/>
      <c r="B47" s="381" t="s">
        <v>343</v>
      </c>
      <c r="C47" s="376"/>
      <c r="D47" s="376"/>
      <c r="E47" s="376"/>
      <c r="F47" s="376"/>
      <c r="G47" s="376"/>
      <c r="H47" s="376"/>
    </row>
    <row r="48" spans="1:8" ht="12.75">
      <c r="A48" s="375"/>
      <c r="B48" s="376"/>
      <c r="C48" s="376"/>
      <c r="D48" s="376"/>
      <c r="E48" s="376"/>
      <c r="F48" s="376"/>
      <c r="G48" s="376"/>
      <c r="H48" s="376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</sheetData>
  <sheetProtection sheet="1" objects="1" scenarios="1"/>
  <hyperlinks>
    <hyperlink ref="D17" r:id="rId1" display="http://www2.vobs.at/ftp-pub/allgemein/formulare/GTS.PDF"/>
  </hyperlinks>
  <printOptions horizontalCentered="1"/>
  <pageMargins left="0.7086614173228347" right="0.6299212598425197" top="0.8661417322834646" bottom="0.7874015748031497" header="0.5118110236220472" footer="0.5118110236220472"/>
  <pageSetup blackAndWhite="1" horizontalDpi="600" verticalDpi="600" orientation="portrait" paperSize="9" scale="110" r:id="rId2"/>
  <headerFooter alignWithMargins="0">
    <oddFooter>&amp;L&amp;D&amp;R&amp;F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46"/>
  </sheetPr>
  <dimension ref="A1:BR54"/>
  <sheetViews>
    <sheetView showGridLines="0" showZeros="0" zoomScale="85" zoomScaleNormal="85" zoomScalePageLayoutView="0" workbookViewId="0" topLeftCell="A1">
      <pane xSplit="2" ySplit="21" topLeftCell="C2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20" sqref="F20"/>
    </sheetView>
  </sheetViews>
  <sheetFormatPr defaultColWidth="11.00390625" defaultRowHeight="14.25" zeroHeight="1"/>
  <cols>
    <col min="1" max="2" width="3.75390625" style="0" customWidth="1"/>
    <col min="3" max="3" width="4.125" style="0" bestFit="1" customWidth="1"/>
    <col min="4" max="4" width="2.75390625" style="0" customWidth="1"/>
    <col min="5" max="5" width="8.625" style="0" bestFit="1" customWidth="1"/>
    <col min="6" max="7" width="3.875" style="0" customWidth="1"/>
    <col min="8" max="27" width="4.75390625" style="0" customWidth="1"/>
    <col min="28" max="29" width="4.75390625" style="0" hidden="1" customWidth="1"/>
    <col min="30" max="30" width="0.875" style="0" customWidth="1"/>
    <col min="31" max="33" width="7.50390625" style="0" customWidth="1"/>
    <col min="34" max="34" width="8.25390625" style="0" customWidth="1"/>
    <col min="35" max="35" width="9.125" style="0" customWidth="1"/>
    <col min="36" max="36" width="5.625" style="0" customWidth="1"/>
    <col min="37" max="37" width="4.75390625" style="0" hidden="1" customWidth="1"/>
    <col min="38" max="39" width="5.625" style="0" hidden="1" customWidth="1"/>
    <col min="40" max="40" width="2.50390625" style="0" customWidth="1"/>
    <col min="41" max="43" width="5.00390625" style="0" hidden="1" customWidth="1"/>
    <col min="44" max="44" width="2.375" style="0" customWidth="1"/>
    <col min="45" max="45" width="6.125" style="0" customWidth="1"/>
    <col min="46" max="46" width="4.50390625" style="0" customWidth="1"/>
    <col min="47" max="48" width="2.625" style="0" customWidth="1"/>
    <col min="49" max="59" width="2.875" style="0" customWidth="1"/>
    <col min="60" max="60" width="4.50390625" style="0" customWidth="1"/>
    <col min="61" max="63" width="5.50390625" style="0" customWidth="1"/>
    <col min="64" max="67" width="5.00390625" style="0" customWidth="1"/>
    <col min="68" max="70" width="7.50390625" style="0" customWidth="1"/>
  </cols>
  <sheetData>
    <row r="1" spans="6:60" ht="20.25">
      <c r="F1" s="418" t="s">
        <v>172</v>
      </c>
      <c r="G1" s="418"/>
      <c r="P1" s="675">
        <f>IF(AND(G12&lt;&gt;"",C4&lt;(E8*3)+1),"Ressourcen nur für 3 DFöKl. !",IF(AND(G11&lt;&gt;"",C4&lt;(E8*2)+1),"Ressourcen nur für 2 DFöKl. !",IF(AND(G10&lt;&gt;"",C4&lt;(E8*1)+1),"Ressourcen nur für 1 DFöKl. !",IF(AND(G9&lt;&gt;"",C4&lt;D8)," Zuwenig für 1 DFöKlasse!",))))</f>
        <v>0</v>
      </c>
      <c r="AN1" s="419" t="str">
        <f>"…der Schüler  im SJ "&amp;Einleitung!D2</f>
        <v>…der Schüler  im SJ 2020/2021</v>
      </c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  <c r="BD1" s="420"/>
      <c r="BE1" s="420"/>
      <c r="BF1" s="420"/>
      <c r="BG1" s="420"/>
      <c r="BH1" s="420"/>
    </row>
    <row r="2" spans="1:60" ht="6" customHeight="1">
      <c r="A2" s="783"/>
      <c r="B2" s="783"/>
      <c r="AR2" s="420"/>
      <c r="AS2" s="420"/>
      <c r="AT2" s="420"/>
      <c r="AU2" s="420"/>
      <c r="AV2" s="420"/>
      <c r="AW2" s="420"/>
      <c r="AX2" s="420"/>
      <c r="AY2" s="420"/>
      <c r="AZ2" s="420"/>
      <c r="BA2" s="420"/>
      <c r="BB2" s="420"/>
      <c r="BC2" s="420"/>
      <c r="BD2" s="420"/>
      <c r="BE2" s="420"/>
      <c r="BF2" s="420"/>
      <c r="BG2" s="420"/>
      <c r="BH2" s="420"/>
    </row>
    <row r="3" spans="1:64" ht="14.25" customHeight="1" hidden="1">
      <c r="A3" s="655">
        <f>IF($C4&gt;0,A4+A16,)</f>
        <v>0</v>
      </c>
      <c r="B3" s="655">
        <f>IF($C4&gt;0,B4+B16,)</f>
        <v>0</v>
      </c>
      <c r="C3" s="656">
        <f>IF($C4&gt;0,C4+C16,)</f>
        <v>0</v>
      </c>
      <c r="D3" s="656"/>
      <c r="F3" s="657" t="str">
        <f>BI3&amp;" Kl."</f>
        <v>0 Kl.</v>
      </c>
      <c r="H3" s="657">
        <f>SUM(H4,H16)</f>
        <v>0</v>
      </c>
      <c r="AE3" s="671">
        <f>SUM(AE4,AE14)</f>
        <v>0</v>
      </c>
      <c r="AJ3" s="574">
        <f>SUM(AJ9:AJ47)</f>
        <v>0</v>
      </c>
      <c r="AR3" s="575" t="str">
        <f>AN48</f>
        <v>ASO  . . .</v>
      </c>
      <c r="AS3" s="420"/>
      <c r="AT3" s="420"/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633">
        <f>SUBTOTAL(109,F9:F12)+BI16</f>
        <v>0</v>
      </c>
      <c r="BL3">
        <f>(100-0)/100</f>
        <v>1</v>
      </c>
    </row>
    <row r="4" spans="1:60" ht="14.25" customHeight="1">
      <c r="A4" s="658">
        <f>SUM(A9:A12)</f>
        <v>0</v>
      </c>
      <c r="B4" s="658">
        <f>SUM(B9:B12)</f>
        <v>0</v>
      </c>
      <c r="C4" s="659">
        <f>SUM(C9:C12)</f>
        <v>0</v>
      </c>
      <c r="H4" s="787">
        <f>SUM(H9:I12)</f>
        <v>0</v>
      </c>
      <c r="I4" s="787"/>
      <c r="AE4" s="422">
        <f>SUM(AE9:AE12)</f>
        <v>0</v>
      </c>
      <c r="AJ4" s="777">
        <f>AR4</f>
        <v>0</v>
      </c>
      <c r="AL4" s="778" t="s">
        <v>375</v>
      </c>
      <c r="AR4" s="779">
        <f>IF(AND(AJ3&gt;0,OR(,ISNUMBER(SEARCH("Langenegg",AR3)),AR3=802641,AR3=802651,AR3=802661)),"N",)</f>
        <v>0</v>
      </c>
      <c r="AS4" s="780" t="s">
        <v>376</v>
      </c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0"/>
      <c r="BE4" s="420"/>
      <c r="BF4" s="420"/>
      <c r="BG4" s="420"/>
      <c r="BH4" s="420"/>
    </row>
    <row r="5" spans="44:60" ht="6" customHeight="1" hidden="1"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  <c r="BC5" s="420"/>
      <c r="BD5" s="420"/>
      <c r="BE5" s="420"/>
      <c r="BF5" s="420"/>
      <c r="BG5" s="420"/>
      <c r="BH5" s="420"/>
    </row>
    <row r="6" spans="1:60" ht="14.25" customHeight="1" hidden="1">
      <c r="A6" s="433"/>
      <c r="B6" s="434" t="s">
        <v>178</v>
      </c>
      <c r="C6" s="6"/>
      <c r="D6" s="788" t="s">
        <v>337</v>
      </c>
      <c r="E6" s="789"/>
      <c r="F6" s="789"/>
      <c r="G6" s="790"/>
      <c r="H6" s="435"/>
      <c r="I6" s="438"/>
      <c r="K6" s="660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76" t="s">
        <v>339</v>
      </c>
      <c r="AE6" s="672" t="s">
        <v>338</v>
      </c>
      <c r="AJ6" s="755" t="s">
        <v>352</v>
      </c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0"/>
      <c r="BE6" s="420"/>
      <c r="BF6" s="420"/>
      <c r="BG6" s="420"/>
      <c r="BH6" s="420"/>
    </row>
    <row r="7" spans="1:60" ht="14.25" customHeight="1" hidden="1">
      <c r="A7" s="444" t="s">
        <v>195</v>
      </c>
      <c r="B7" s="445" t="s">
        <v>196</v>
      </c>
      <c r="C7" s="662" t="s">
        <v>197</v>
      </c>
      <c r="D7" s="791"/>
      <c r="E7" s="792"/>
      <c r="F7" s="792"/>
      <c r="G7" s="793"/>
      <c r="H7" s="663" t="s">
        <v>195</v>
      </c>
      <c r="I7" s="664" t="s">
        <v>196</v>
      </c>
      <c r="AE7" s="673" t="s">
        <v>286</v>
      </c>
      <c r="AJ7" s="756" t="s">
        <v>366</v>
      </c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20"/>
      <c r="BE7" s="420"/>
      <c r="BF7" s="420"/>
      <c r="BG7" s="420"/>
      <c r="BH7" s="420"/>
    </row>
    <row r="8" spans="4:60" ht="3.75" customHeight="1" hidden="1">
      <c r="D8" s="665">
        <v>8</v>
      </c>
      <c r="E8" s="666">
        <v>25</v>
      </c>
      <c r="AE8" s="453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  <c r="BE8" s="420"/>
      <c r="BF8" s="420"/>
      <c r="BG8" s="420"/>
      <c r="BH8" s="420"/>
    </row>
    <row r="9" spans="1:61" ht="15" customHeight="1" hidden="1">
      <c r="A9" s="422">
        <f aca="true" t="shared" si="0" ref="A9:B12">H9</f>
        <v>0</v>
      </c>
      <c r="B9" s="667">
        <f t="shared" si="0"/>
        <v>0</v>
      </c>
      <c r="C9" s="565">
        <f>A9+B9</f>
        <v>0</v>
      </c>
      <c r="D9" s="421"/>
      <c r="E9" s="454"/>
      <c r="F9" s="668">
        <f>IF(C9&gt;0,1,"")</f>
      </c>
      <c r="G9" s="669">
        <f>IF(F9=1,"DF1","")</f>
      </c>
      <c r="H9" s="457"/>
      <c r="I9" s="458"/>
      <c r="AE9" s="674"/>
      <c r="AF9" s="670">
        <f>C9</f>
        <v>0</v>
      </c>
      <c r="AJ9" s="462"/>
      <c r="AK9" s="21">
        <f>IF(AL9="g","N",AL9)</f>
      </c>
      <c r="AL9" s="21">
        <f>IF(AND(C9=0,AJ9=0),"",IF(C9=AJ9,"J",IF(AND(C9&gt;0,AJ9&gt;0),"g","N")))</f>
      </c>
      <c r="AN9" s="493">
        <f>F9&amp;G9</f>
      </c>
      <c r="AR9" s="677"/>
      <c r="AS9" s="465">
        <f>IF(C9&gt;0,1,)</f>
        <v>0</v>
      </c>
      <c r="AT9" s="441">
        <v>0</v>
      </c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12">
        <f>IF(C9&gt;0,,"")</f>
      </c>
    </row>
    <row r="10" spans="1:61" ht="15" customHeight="1" hidden="1">
      <c r="A10" s="422">
        <f t="shared" si="0"/>
        <v>0</v>
      </c>
      <c r="B10" s="422">
        <f t="shared" si="0"/>
        <v>0</v>
      </c>
      <c r="C10" s="565">
        <f>A10+B10</f>
        <v>0</v>
      </c>
      <c r="D10" s="421"/>
      <c r="E10" s="454"/>
      <c r="F10" s="668">
        <f>IF(C10&gt;0,1,"")</f>
      </c>
      <c r="G10" s="669">
        <f>IF(F10=1,"DF2","")</f>
      </c>
      <c r="H10" s="457"/>
      <c r="I10" s="458"/>
      <c r="AE10" s="674"/>
      <c r="AF10" s="670">
        <f>C10</f>
        <v>0</v>
      </c>
      <c r="AJ10" s="462"/>
      <c r="AK10" s="21">
        <f>IF(AL10="g","N",AL10)</f>
      </c>
      <c r="AL10" s="21">
        <f>IF(AND(C10=0,AJ10=0),"",IF(C10=AJ10,"J",IF(AND(C10&gt;0,AJ10&gt;0),"g","N")))</f>
      </c>
      <c r="AN10" s="493">
        <f>F10&amp;G10</f>
      </c>
      <c r="AR10" s="677"/>
      <c r="AS10" s="465">
        <f>IF(C10&gt;0,1,)</f>
        <v>0</v>
      </c>
      <c r="AT10" s="441">
        <v>0</v>
      </c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12">
        <f>IF(C10&gt;0,,"")</f>
      </c>
    </row>
    <row r="11" spans="1:61" ht="15" customHeight="1" hidden="1">
      <c r="A11" s="422">
        <f t="shared" si="0"/>
        <v>0</v>
      </c>
      <c r="B11" s="422">
        <f t="shared" si="0"/>
        <v>0</v>
      </c>
      <c r="C11" s="565">
        <f>A11+B11</f>
        <v>0</v>
      </c>
      <c r="D11" s="421"/>
      <c r="E11" s="454"/>
      <c r="F11" s="668">
        <f>IF(C11&gt;0,1,"")</f>
      </c>
      <c r="G11" s="669">
        <f>IF(F11=1,"DF3","")</f>
      </c>
      <c r="H11" s="457"/>
      <c r="I11" s="458"/>
      <c r="AE11" s="674"/>
      <c r="AF11" s="670">
        <f>C11</f>
        <v>0</v>
      </c>
      <c r="AJ11" s="462"/>
      <c r="AK11" s="21">
        <f>IF(AL11="g","N",AL11)</f>
      </c>
      <c r="AL11" s="21">
        <f>IF(AND(C11=0,AJ11=0),"",IF(C11=AJ11,"J",IF(AND(C11&gt;0,AJ11&gt;0),"g","N")))</f>
      </c>
      <c r="AN11" s="493">
        <f>F11&amp;G11</f>
      </c>
      <c r="AR11" s="677"/>
      <c r="AS11" s="465">
        <f>IF(C11&gt;0,1,)</f>
        <v>0</v>
      </c>
      <c r="AT11" s="441">
        <v>0</v>
      </c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12">
        <f>IF(C11&gt;0,,"")</f>
      </c>
    </row>
    <row r="12" spans="1:61" ht="15" customHeight="1" hidden="1">
      <c r="A12" s="422">
        <f t="shared" si="0"/>
        <v>0</v>
      </c>
      <c r="B12" s="422">
        <f t="shared" si="0"/>
        <v>0</v>
      </c>
      <c r="C12" s="565">
        <f>A12+B12</f>
        <v>0</v>
      </c>
      <c r="D12" s="421"/>
      <c r="E12" s="454"/>
      <c r="F12" s="668">
        <f>IF(C12&gt;0,1,"")</f>
      </c>
      <c r="G12" s="669">
        <f>IF(F12=1,"DF4","")</f>
      </c>
      <c r="H12" s="457"/>
      <c r="I12" s="458"/>
      <c r="AE12" s="674"/>
      <c r="AF12" s="670">
        <f>C12</f>
        <v>0</v>
      </c>
      <c r="AJ12" s="462"/>
      <c r="AK12" s="21">
        <f>IF(AL12="g","N",AL12)</f>
      </c>
      <c r="AL12" s="21">
        <f>IF(AND(C12=0,AJ12=0),"",IF(C12=AJ12,"J",IF(AND(C12&gt;0,AJ12&gt;0),"g","N")))</f>
      </c>
      <c r="AN12" s="493">
        <f>F12&amp;G12</f>
      </c>
      <c r="AR12" s="677"/>
      <c r="AS12" s="465">
        <f>IF(C12&gt;0,1,)</f>
        <v>0</v>
      </c>
      <c r="AT12" s="441">
        <v>0</v>
      </c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12">
        <f>IF(C12&gt;0,,"")</f>
      </c>
    </row>
    <row r="13" spans="44:60" ht="14.25" customHeight="1" hidden="1"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0"/>
      <c r="BF13" s="420"/>
      <c r="BG13" s="420"/>
      <c r="BH13" s="420"/>
    </row>
    <row r="14" spans="8:70" ht="13.5" customHeight="1">
      <c r="H14" s="421">
        <f>IF(H16&gt;0,COUNTIF($AT$22:$AT$49,RIGHT(H18,1))&amp;" Kl",)</f>
        <v>0</v>
      </c>
      <c r="J14" s="421">
        <f>IF(J16&gt;0,COUNTIF($AT$22:$AT$49,RIGHT(J18,1))&amp;" Kl",)</f>
        <v>0</v>
      </c>
      <c r="L14" s="421">
        <f>IF(L16&gt;0,COUNTIF($AT$22:$AT$49,RIGHT(L18,1))&amp;" Kl",)</f>
        <v>0</v>
      </c>
      <c r="N14" s="421">
        <f>IF(N16&gt;0,COUNTIF($AT$22:$AT$49,RIGHT(N18,1))&amp;" Kl",)</f>
        <v>0</v>
      </c>
      <c r="P14" s="421">
        <f>IF(P16&gt;0,COUNTIF($AT$22:$AT$49,RIGHT(P18,1))&amp;" Kl",)</f>
        <v>0</v>
      </c>
      <c r="R14" s="421">
        <f>IF(R16&gt;0,COUNTIF($AT$22:$AT$49,RIGHT(R18,1))&amp;" Kl",)</f>
        <v>0</v>
      </c>
      <c r="T14" s="421">
        <f>IF(T16&gt;0,COUNTIF($AT$22:$AT$49,RIGHT(T18,1))&amp;" Kl",)</f>
        <v>0</v>
      </c>
      <c r="V14" s="421">
        <f>IF(V16&gt;0,COUNTIF($AT$22:$AT$49,RIGHT(V18,1))&amp;" Kl",)</f>
        <v>0</v>
      </c>
      <c r="X14" s="421">
        <f>IF(X16&gt;0,COUNTIF($AT$22:$AT$49,RIGHT(X18,1))&amp;" Kl",)</f>
        <v>0</v>
      </c>
      <c r="Z14" s="421">
        <f>IF(Z16&gt;0,COUNTIF($AT$22:$AT$49,RIGHT(Z18,1))&amp;" Kl",)</f>
        <v>0</v>
      </c>
      <c r="AB14" s="421">
        <f>IF(AB16&gt;0,COUNTIF($AT$22:$AT$49,RIGHT(AB18,1))&amp;" Kl",)</f>
        <v>0</v>
      </c>
      <c r="AE14" s="794">
        <f aca="true" t="shared" si="1" ref="AE14:AM14">SUM(AE22:AE49)</f>
        <v>0</v>
      </c>
      <c r="AF14" s="794">
        <f>SUM(AF22:AF49)</f>
        <v>0</v>
      </c>
      <c r="AG14" s="794">
        <f>SUM(AG22:AG49)</f>
        <v>0</v>
      </c>
      <c r="AH14" s="794">
        <f t="shared" si="1"/>
        <v>0</v>
      </c>
      <c r="AI14" s="794">
        <f t="shared" si="1"/>
        <v>0</v>
      </c>
      <c r="AJ14" s="813" t="s">
        <v>367</v>
      </c>
      <c r="AM14" s="423">
        <f t="shared" si="1"/>
        <v>0</v>
      </c>
      <c r="AO14" s="422">
        <f>SUM(AO22:AO49)</f>
        <v>0</v>
      </c>
      <c r="AP14" s="422">
        <f>SUM(AP22:AP49)</f>
        <v>0</v>
      </c>
      <c r="AQ14" s="422">
        <f>SUM(AQ22:AQ49)</f>
        <v>0</v>
      </c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P14" s="753" t="s">
        <v>349</v>
      </c>
      <c r="BQ14" s="753" t="s">
        <v>350</v>
      </c>
      <c r="BR14" s="753" t="s">
        <v>238</v>
      </c>
    </row>
    <row r="15" spans="3:70" ht="9" customHeight="1">
      <c r="C15" s="12"/>
      <c r="F15" s="800" t="str">
        <f>AT16&amp;" Kl."</f>
        <v>0 Kl.</v>
      </c>
      <c r="G15" s="424"/>
      <c r="H15" s="21"/>
      <c r="I15" s="425">
        <f>IF(AW16&gt;0,AW16&amp;"i ",)</f>
        <v>0</v>
      </c>
      <c r="J15" s="21"/>
      <c r="K15" s="425">
        <f>IF(AX16&gt;0,AX16&amp;"i ",)</f>
        <v>0</v>
      </c>
      <c r="L15" s="21"/>
      <c r="M15" s="425">
        <f>IF(AY16&gt;0,AY16&amp;"i ",)</f>
        <v>0</v>
      </c>
      <c r="N15" s="21"/>
      <c r="O15" s="425">
        <f>IF(AZ16&gt;0,AZ16&amp;"i ",)</f>
        <v>0</v>
      </c>
      <c r="P15" s="21"/>
      <c r="Q15" s="425">
        <f>IF(BA16&gt;0,BA16&amp;"i ",)</f>
        <v>0</v>
      </c>
      <c r="R15" s="21"/>
      <c r="S15" s="425">
        <f>IF(BB16&gt;0,BB16&amp;"i ",)</f>
        <v>0</v>
      </c>
      <c r="T15" s="21"/>
      <c r="U15" s="425">
        <f>IF(BC16&gt;0,BC16&amp;"i ",)</f>
        <v>0</v>
      </c>
      <c r="V15" s="21"/>
      <c r="W15" s="425">
        <f>IF(BD16&gt;0,BD16&amp;"i ",)</f>
        <v>0</v>
      </c>
      <c r="X15" s="21"/>
      <c r="Y15" s="425">
        <f>IF(BE16&gt;0,BE16&amp;"i ",)</f>
        <v>0</v>
      </c>
      <c r="Z15" s="21"/>
      <c r="AA15" s="425">
        <f>IF(BF16&gt;0,BF16&amp;"i ",)</f>
        <v>0</v>
      </c>
      <c r="AB15" s="21"/>
      <c r="AC15" s="425">
        <f>IF(BG16&gt;0,BG16&amp;"i ",)</f>
        <v>0</v>
      </c>
      <c r="AE15" s="794"/>
      <c r="AF15" s="794"/>
      <c r="AG15" s="794"/>
      <c r="AH15" s="794"/>
      <c r="AI15" s="794"/>
      <c r="AJ15" s="814"/>
      <c r="AL15" s="757" t="s">
        <v>358</v>
      </c>
      <c r="AM15" s="811" t="s">
        <v>173</v>
      </c>
      <c r="AO15" s="426"/>
      <c r="AP15" s="426"/>
      <c r="AQ15" s="426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P15" s="420"/>
      <c r="BQ15" s="420" t="s">
        <v>351</v>
      </c>
      <c r="BR15" s="420"/>
    </row>
    <row r="16" spans="1:70" s="3" customFormat="1" ht="17.25" customHeight="1">
      <c r="A16" s="347">
        <f>SUM(A22:A49)</f>
        <v>0</v>
      </c>
      <c r="B16" s="347">
        <f>SUM(B22:B49)</f>
        <v>0</v>
      </c>
      <c r="C16" s="427">
        <f>SUM(C22:C49)</f>
        <v>0</v>
      </c>
      <c r="F16" s="800"/>
      <c r="G16" s="424"/>
      <c r="H16" s="795">
        <f>SUM(H22:I49)</f>
        <v>0</v>
      </c>
      <c r="I16" s="795"/>
      <c r="J16" s="795">
        <f>SUM(J22:K49)</f>
        <v>0</v>
      </c>
      <c r="K16" s="795"/>
      <c r="L16" s="795">
        <f>SUM(L22:M49)</f>
        <v>0</v>
      </c>
      <c r="M16" s="795"/>
      <c r="N16" s="795">
        <f>SUM(N22:O49)</f>
        <v>0</v>
      </c>
      <c r="O16" s="795"/>
      <c r="P16" s="795">
        <f>SUM(P22:Q49)</f>
        <v>0</v>
      </c>
      <c r="Q16" s="795"/>
      <c r="R16" s="795">
        <f>SUM(R22:S49)</f>
        <v>0</v>
      </c>
      <c r="S16" s="795"/>
      <c r="T16" s="795">
        <f>SUM(T22:U49)</f>
        <v>0</v>
      </c>
      <c r="U16" s="795"/>
      <c r="V16" s="795">
        <f>SUM(V22:W49)</f>
        <v>0</v>
      </c>
      <c r="W16" s="795"/>
      <c r="X16" s="795">
        <f>SUM(X22:Y49)</f>
        <v>0</v>
      </c>
      <c r="Y16" s="795"/>
      <c r="Z16" s="795">
        <f>SUM(Z22:AA49)</f>
        <v>0</v>
      </c>
      <c r="AA16" s="795"/>
      <c r="AB16" s="795">
        <f>SUM(AB22:AC49)</f>
        <v>0</v>
      </c>
      <c r="AC16" s="795"/>
      <c r="AE16" s="417"/>
      <c r="AF16" s="654">
        <f>SUM(AF14:AG15)</f>
        <v>0</v>
      </c>
      <c r="AG16" s="574"/>
      <c r="AH16" s="428"/>
      <c r="AI16" s="428"/>
      <c r="AJ16" s="814"/>
      <c r="AK16"/>
      <c r="AL16" s="6"/>
      <c r="AM16" s="811"/>
      <c r="AO16" s="601"/>
      <c r="AP16" s="602"/>
      <c r="AQ16" s="603" t="s">
        <v>174</v>
      </c>
      <c r="AR16" s="429"/>
      <c r="AS16" s="429"/>
      <c r="AT16" s="544">
        <f>BI16</f>
        <v>0</v>
      </c>
      <c r="AU16" s="429"/>
      <c r="AV16" s="429"/>
      <c r="AW16" s="430">
        <f aca="true" t="shared" si="2" ref="AW16:BH16">SUM(AW22:AW49)</f>
        <v>0</v>
      </c>
      <c r="AX16" s="430">
        <f t="shared" si="2"/>
        <v>0</v>
      </c>
      <c r="AY16" s="430">
        <f t="shared" si="2"/>
        <v>0</v>
      </c>
      <c r="AZ16" s="430">
        <f t="shared" si="2"/>
        <v>0</v>
      </c>
      <c r="BA16" s="430">
        <f t="shared" si="2"/>
        <v>0</v>
      </c>
      <c r="BB16" s="430">
        <f t="shared" si="2"/>
        <v>0</v>
      </c>
      <c r="BC16" s="430">
        <f t="shared" si="2"/>
        <v>0</v>
      </c>
      <c r="BD16" s="430">
        <f t="shared" si="2"/>
        <v>0</v>
      </c>
      <c r="BE16" s="430">
        <f t="shared" si="2"/>
        <v>0</v>
      </c>
      <c r="BF16" s="430">
        <f t="shared" si="2"/>
        <v>0</v>
      </c>
      <c r="BG16" s="430">
        <f t="shared" si="2"/>
        <v>0</v>
      </c>
      <c r="BH16" s="430">
        <f t="shared" si="2"/>
        <v>0</v>
      </c>
      <c r="BI16" s="633">
        <f>26-COUNTBLANK(BI22:BI47)</f>
        <v>0</v>
      </c>
      <c r="BL16" s="6"/>
      <c r="BM16" s="6"/>
      <c r="BN16" s="6"/>
      <c r="BO16" s="6"/>
      <c r="BP16" s="420"/>
      <c r="BQ16" s="420"/>
      <c r="BR16" s="420"/>
    </row>
    <row r="17" spans="6:60" ht="6" customHeight="1">
      <c r="F17" s="431">
        <f>28-COUNTBLANK(BI22:BI49)</f>
        <v>0</v>
      </c>
      <c r="G17" s="424"/>
      <c r="I17" s="432"/>
      <c r="Q17" s="432"/>
      <c r="Y17" s="432"/>
      <c r="AE17" s="803" t="s">
        <v>357</v>
      </c>
      <c r="AF17" s="804"/>
      <c r="AG17" s="804"/>
      <c r="AH17" s="804"/>
      <c r="AI17" s="712"/>
      <c r="AJ17" s="815"/>
      <c r="AK17" s="753">
        <f>SUMIF(AL22:AL47,"g",AJ22:AJ47)+SUMIF(AL9:AL12,"g",AJ9:AJ12)</f>
        <v>0</v>
      </c>
      <c r="AL17" s="753">
        <f>COUNTIF(AL22:AL47,"g")+COUNTIF(AL9:AL12,"g")</f>
        <v>0</v>
      </c>
      <c r="AM17" s="811"/>
      <c r="AO17" s="807" t="s">
        <v>175</v>
      </c>
      <c r="AP17" s="809" t="s">
        <v>176</v>
      </c>
      <c r="AQ17" s="801" t="s">
        <v>177</v>
      </c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</row>
    <row r="18" spans="1:60" ht="14.25">
      <c r="A18" s="433"/>
      <c r="B18" s="434" t="s">
        <v>178</v>
      </c>
      <c r="C18" s="3"/>
      <c r="D18" s="3"/>
      <c r="E18" s="3"/>
      <c r="F18" s="796" t="s">
        <v>7</v>
      </c>
      <c r="G18" s="797"/>
      <c r="H18" s="435" t="s">
        <v>179</v>
      </c>
      <c r="I18" s="436"/>
      <c r="J18" s="437" t="s">
        <v>180</v>
      </c>
      <c r="K18" s="438"/>
      <c r="L18" s="435" t="s">
        <v>181</v>
      </c>
      <c r="M18" s="438"/>
      <c r="N18" s="435" t="s">
        <v>182</v>
      </c>
      <c r="O18" s="438"/>
      <c r="P18" s="435" t="s">
        <v>183</v>
      </c>
      <c r="Q18" s="436"/>
      <c r="R18" s="437" t="s">
        <v>184</v>
      </c>
      <c r="S18" s="438"/>
      <c r="T18" s="435" t="s">
        <v>185</v>
      </c>
      <c r="U18" s="438"/>
      <c r="V18" s="435" t="s">
        <v>186</v>
      </c>
      <c r="W18" s="438"/>
      <c r="X18" s="435" t="s">
        <v>187</v>
      </c>
      <c r="Y18" s="436"/>
      <c r="Z18" s="437" t="s">
        <v>188</v>
      </c>
      <c r="AA18" s="438"/>
      <c r="AB18" s="435" t="s">
        <v>189</v>
      </c>
      <c r="AC18" s="438"/>
      <c r="AE18" s="805"/>
      <c r="AF18" s="806"/>
      <c r="AG18" s="806"/>
      <c r="AH18" s="806"/>
      <c r="AI18" s="711" t="s">
        <v>190</v>
      </c>
      <c r="AJ18" s="815"/>
      <c r="AK18" s="753">
        <f>SUMIF(AL22:AL47,"J",AJ22:AJ47)</f>
        <v>0</v>
      </c>
      <c r="AL18" s="753">
        <f>COUNTIF(AL22:AL47,"J")</f>
        <v>0</v>
      </c>
      <c r="AM18" s="811"/>
      <c r="AO18" s="807"/>
      <c r="AP18" s="809"/>
      <c r="AQ18" s="801"/>
      <c r="AR18" s="420"/>
      <c r="AS18" s="439" t="s">
        <v>191</v>
      </c>
      <c r="AT18" s="440" t="s">
        <v>192</v>
      </c>
      <c r="AU18" s="441"/>
      <c r="AV18" s="441"/>
      <c r="AW18" s="442" t="s">
        <v>193</v>
      </c>
      <c r="AX18" s="429"/>
      <c r="AY18" s="429"/>
      <c r="AZ18" s="429"/>
      <c r="BA18" s="429"/>
      <c r="BB18" s="429"/>
      <c r="BC18" s="429"/>
      <c r="BD18" s="429"/>
      <c r="BE18" s="429"/>
      <c r="BF18" s="429"/>
      <c r="BG18" s="420"/>
      <c r="BH18" s="443" t="s">
        <v>194</v>
      </c>
    </row>
    <row r="19" spans="1:60" ht="14.25">
      <c r="A19" s="444" t="s">
        <v>195</v>
      </c>
      <c r="B19" s="445" t="s">
        <v>196</v>
      </c>
      <c r="C19" s="446" t="s">
        <v>197</v>
      </c>
      <c r="D19" s="447"/>
      <c r="E19" s="447"/>
      <c r="F19" s="798"/>
      <c r="G19" s="799"/>
      <c r="H19" s="448" t="s">
        <v>195</v>
      </c>
      <c r="I19" s="449" t="s">
        <v>196</v>
      </c>
      <c r="J19" s="450" t="s">
        <v>195</v>
      </c>
      <c r="K19" s="451" t="s">
        <v>196</v>
      </c>
      <c r="L19" s="448" t="s">
        <v>195</v>
      </c>
      <c r="M19" s="451" t="s">
        <v>196</v>
      </c>
      <c r="N19" s="448" t="s">
        <v>195</v>
      </c>
      <c r="O19" s="451" t="s">
        <v>196</v>
      </c>
      <c r="P19" s="448" t="s">
        <v>195</v>
      </c>
      <c r="Q19" s="449" t="s">
        <v>196</v>
      </c>
      <c r="R19" s="450" t="s">
        <v>195</v>
      </c>
      <c r="S19" s="451" t="s">
        <v>196</v>
      </c>
      <c r="T19" s="448" t="s">
        <v>195</v>
      </c>
      <c r="U19" s="451" t="s">
        <v>196</v>
      </c>
      <c r="V19" s="448" t="s">
        <v>195</v>
      </c>
      <c r="W19" s="451" t="s">
        <v>196</v>
      </c>
      <c r="X19" s="448" t="s">
        <v>195</v>
      </c>
      <c r="Y19" s="449" t="s">
        <v>196</v>
      </c>
      <c r="Z19" s="450" t="s">
        <v>195</v>
      </c>
      <c r="AA19" s="451" t="s">
        <v>196</v>
      </c>
      <c r="AB19" s="448" t="s">
        <v>195</v>
      </c>
      <c r="AC19" s="451" t="s">
        <v>196</v>
      </c>
      <c r="AE19" s="561" t="s">
        <v>286</v>
      </c>
      <c r="AF19" s="651" t="s">
        <v>344</v>
      </c>
      <c r="AG19" s="651" t="s">
        <v>345</v>
      </c>
      <c r="AH19" s="452" t="s">
        <v>199</v>
      </c>
      <c r="AI19" s="452" t="s">
        <v>200</v>
      </c>
      <c r="AJ19" s="816"/>
      <c r="AK19" s="753">
        <f>SUMIF(AL22:AL47,"N",AJ22:AJ47)+SUMIF(AL9:AL12,"N",AJ9:AJ12)</f>
        <v>0</v>
      </c>
      <c r="AL19" s="753">
        <f>COUNTIF(AL22:AL47,"N")+COUNTIF(AL9:AL12,"N")</f>
        <v>0</v>
      </c>
      <c r="AM19" s="812"/>
      <c r="AO19" s="808"/>
      <c r="AP19" s="810"/>
      <c r="AQ19" s="802"/>
      <c r="AR19" s="420"/>
      <c r="AS19" s="439" t="s">
        <v>201</v>
      </c>
      <c r="AT19" s="440" t="s">
        <v>24</v>
      </c>
      <c r="AU19" s="441"/>
      <c r="AV19" s="441"/>
      <c r="AW19" s="430">
        <v>0</v>
      </c>
      <c r="AX19" s="430">
        <v>1</v>
      </c>
      <c r="AY19" s="430">
        <v>2</v>
      </c>
      <c r="AZ19" s="430">
        <v>3</v>
      </c>
      <c r="BA19" s="430">
        <v>4</v>
      </c>
      <c r="BB19" s="430">
        <v>5</v>
      </c>
      <c r="BC19" s="430">
        <v>6</v>
      </c>
      <c r="BD19" s="430">
        <v>7</v>
      </c>
      <c r="BE19" s="430">
        <v>8</v>
      </c>
      <c r="BF19" s="430">
        <v>9</v>
      </c>
      <c r="BG19" s="430">
        <v>10</v>
      </c>
      <c r="BH19" s="443" t="s">
        <v>202</v>
      </c>
    </row>
    <row r="20" spans="1:59" ht="4.5" customHeight="1">
      <c r="A20" s="564"/>
      <c r="B20" s="564"/>
      <c r="C20" s="565"/>
      <c r="D20" s="6"/>
      <c r="E20" s="6"/>
      <c r="AE20" s="453"/>
      <c r="AF20" s="453"/>
      <c r="AG20" s="453"/>
      <c r="AH20" s="453"/>
      <c r="AI20" s="453"/>
      <c r="AR20" s="420"/>
      <c r="AS20" s="566"/>
      <c r="AT20" s="567"/>
      <c r="AU20" s="567"/>
      <c r="AV20" s="567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</row>
    <row r="21" spans="1:70" ht="12.75" customHeight="1" hidden="1">
      <c r="A21" s="6" t="s">
        <v>203</v>
      </c>
      <c r="B21" s="6" t="s">
        <v>204</v>
      </c>
      <c r="C21" s="565" t="s">
        <v>205</v>
      </c>
      <c r="D21" s="6" t="s">
        <v>206</v>
      </c>
      <c r="E21" s="6" t="s">
        <v>207</v>
      </c>
      <c r="F21" s="6" t="s">
        <v>208</v>
      </c>
      <c r="G21" s="6" t="s">
        <v>209</v>
      </c>
      <c r="H21" s="6" t="s">
        <v>210</v>
      </c>
      <c r="I21" s="6" t="s">
        <v>211</v>
      </c>
      <c r="J21" s="6" t="s">
        <v>212</v>
      </c>
      <c r="K21" s="6" t="s">
        <v>213</v>
      </c>
      <c r="L21" s="6" t="s">
        <v>214</v>
      </c>
      <c r="M21" s="6" t="s">
        <v>215</v>
      </c>
      <c r="N21" s="6" t="s">
        <v>216</v>
      </c>
      <c r="O21" s="6" t="s">
        <v>217</v>
      </c>
      <c r="P21" s="6" t="s">
        <v>218</v>
      </c>
      <c r="Q21" s="6" t="s">
        <v>219</v>
      </c>
      <c r="R21" s="6" t="s">
        <v>220</v>
      </c>
      <c r="S21" s="6" t="s">
        <v>221</v>
      </c>
      <c r="T21" s="6" t="s">
        <v>222</v>
      </c>
      <c r="U21" s="6" t="s">
        <v>223</v>
      </c>
      <c r="V21" s="6" t="s">
        <v>224</v>
      </c>
      <c r="W21" s="6" t="s">
        <v>225</v>
      </c>
      <c r="X21" s="6" t="s">
        <v>226</v>
      </c>
      <c r="Y21" s="6" t="s">
        <v>227</v>
      </c>
      <c r="Z21" s="6" t="s">
        <v>228</v>
      </c>
      <c r="AA21" s="6" t="s">
        <v>229</v>
      </c>
      <c r="AB21" s="6" t="s">
        <v>230</v>
      </c>
      <c r="AC21" s="6" t="s">
        <v>231</v>
      </c>
      <c r="AD21" s="6" t="s">
        <v>232</v>
      </c>
      <c r="AE21" s="568" t="s">
        <v>198</v>
      </c>
      <c r="AF21" s="568" t="s">
        <v>233</v>
      </c>
      <c r="AG21" s="568" t="s">
        <v>335</v>
      </c>
      <c r="AH21" s="568" t="s">
        <v>234</v>
      </c>
      <c r="AI21" s="568" t="s">
        <v>235</v>
      </c>
      <c r="AJ21" s="6" t="s">
        <v>349</v>
      </c>
      <c r="AK21" s="6" t="s">
        <v>350</v>
      </c>
      <c r="AL21" s="6" t="s">
        <v>236</v>
      </c>
      <c r="AM21" s="6" t="s">
        <v>237</v>
      </c>
      <c r="AN21" s="6" t="s">
        <v>238</v>
      </c>
      <c r="AO21" s="6" t="s">
        <v>239</v>
      </c>
      <c r="AP21" s="6" t="s">
        <v>240</v>
      </c>
      <c r="AQ21" s="6" t="s">
        <v>241</v>
      </c>
      <c r="AR21" s="420" t="s">
        <v>285</v>
      </c>
      <c r="AS21" s="420" t="s">
        <v>288</v>
      </c>
      <c r="AT21" s="420" t="s">
        <v>289</v>
      </c>
      <c r="AU21" s="420" t="s">
        <v>290</v>
      </c>
      <c r="AV21" s="420" t="s">
        <v>291</v>
      </c>
      <c r="AW21" s="420" t="s">
        <v>292</v>
      </c>
      <c r="AX21" s="420" t="s">
        <v>293</v>
      </c>
      <c r="AY21" s="420" t="s">
        <v>294</v>
      </c>
      <c r="AZ21" s="420"/>
      <c r="BA21" s="420"/>
      <c r="BB21" s="420"/>
      <c r="BC21" s="420"/>
      <c r="BD21" s="420"/>
      <c r="BE21" s="420"/>
      <c r="BF21" s="420"/>
      <c r="BG21" s="420"/>
      <c r="BI21" t="s">
        <v>326</v>
      </c>
      <c r="BJ21" t="s">
        <v>330</v>
      </c>
      <c r="BK21" s="559" t="s">
        <v>331</v>
      </c>
      <c r="BL21" s="559" t="s">
        <v>379</v>
      </c>
      <c r="BM21" s="559" t="s">
        <v>380</v>
      </c>
      <c r="BN21" s="559"/>
      <c r="BO21" s="559"/>
      <c r="BP21" s="6" t="s">
        <v>349</v>
      </c>
      <c r="BQ21" s="6" t="s">
        <v>350</v>
      </c>
      <c r="BR21" s="6" t="s">
        <v>238</v>
      </c>
    </row>
    <row r="22" spans="1:70" ht="17.25" customHeight="1">
      <c r="A22" s="422">
        <f aca="true" t="shared" si="3" ref="A22:B27">H22+J22+L22+N22+P22+R22+T22+V22+X22+Z22+AB22</f>
        <v>0</v>
      </c>
      <c r="B22" s="422">
        <f t="shared" si="3"/>
        <v>0</v>
      </c>
      <c r="C22" s="325">
        <f aca="true" t="shared" si="4" ref="C22:C27">A22+B22</f>
        <v>0</v>
      </c>
      <c r="D22" s="421">
        <f aca="true" t="shared" si="5" ref="D22:D27">IF(AS22&lt;2,,"m. "&amp;AS22)</f>
        <v>0</v>
      </c>
      <c r="E22" s="454">
        <f aca="true" t="shared" si="6" ref="E22:E27">IF(OR(AO22&gt;C22/2,AP22&gt;C22/2,AQ22&gt;C22/2),"#",)</f>
        <v>0</v>
      </c>
      <c r="F22" s="455"/>
      <c r="G22" s="456"/>
      <c r="H22" s="457"/>
      <c r="I22" s="458"/>
      <c r="J22" s="457"/>
      <c r="K22" s="458"/>
      <c r="AE22" s="459"/>
      <c r="AF22" s="460"/>
      <c r="AG22" s="460"/>
      <c r="AH22" s="460"/>
      <c r="AI22" s="461"/>
      <c r="AJ22" s="462"/>
      <c r="AK22" s="21">
        <f>IF(AL22="g","N",AL22)</f>
      </c>
      <c r="AL22" s="781">
        <f>IF(AND(C22=0,AJ22=0),"",IF(AND(C22=AJ22,AJ$4&lt;&gt;"N"),"J",IF(AND(C22&gt;0,AJ22&gt;0,AJ22&lt;&gt;C22),"g","N")))</f>
      </c>
      <c r="AN22" s="463">
        <f aca="true" t="shared" si="7" ref="AN22:AN27">F22&amp;G22</f>
      </c>
      <c r="AR22" s="464"/>
      <c r="AS22" s="465">
        <f aca="true" t="shared" si="8" ref="AS22:AS27">IF(C22&gt;0,(IF(SUM(H22:I22)&gt;0,1,)+IF(SUM(J22:K22)&gt;0,1,)+IF(SUM(L22:M22)&gt;0,1,)+IF(SUM(N22:O22)&gt;0,1,)+IF(SUM(P22:Q22)&gt;0,1,)+IF(SUM(R22:S22)&gt;0,1,)+IF(SUM(T22:U22)&gt;0,1,)+IF(SUM(V22:W22)&gt;0,1,)+IF(SUM(X22:Y22)&gt;0,1,)+IF(SUM(Z22:AA22)&gt;0,1,)+IF(SUM(AB22:AC22)&gt;0,1,)),)</f>
        <v>0</v>
      </c>
      <c r="AT22" s="441">
        <f aca="true" t="shared" si="9" ref="AT22:AT27">IF(C22&gt;0,AU22+AV22,)</f>
        <v>0</v>
      </c>
      <c r="AU22" s="466">
        <f aca="true" t="shared" si="10" ref="AU22:AU27">IF(SUM(Z22:AC22)&gt;0,9,IF(SUM(X22:Y22)&gt;0,8,IF(SUM(V22:W22)&gt;0,7,IF(SUM(T22:U22)&gt;0,6,IF(SUM(R22:S22)&gt;0,5,)))))</f>
        <v>0</v>
      </c>
      <c r="AV22" s="466" t="str">
        <f aca="true" t="shared" si="11" ref="AV22:AV27">IF(AU22&gt;0,0,IF(SUM(P22:Q22)&gt;0,4,IF(SUM(N22:O22)&gt;0,3,IF(SUM(L22:M22)&gt;0,2,IF(SUM(J22:K22)&gt;0,1,"0")))))</f>
        <v>0</v>
      </c>
      <c r="AW22" s="430">
        <f aca="true" t="shared" si="12" ref="AW22:BG27">IF($AT22=AW$19,$AH22,)</f>
        <v>0</v>
      </c>
      <c r="AX22" s="430">
        <f t="shared" si="12"/>
        <v>0</v>
      </c>
      <c r="AY22" s="430">
        <f t="shared" si="12"/>
        <v>0</v>
      </c>
      <c r="AZ22" s="430">
        <f t="shared" si="12"/>
        <v>0</v>
      </c>
      <c r="BA22" s="430">
        <f t="shared" si="12"/>
        <v>0</v>
      </c>
      <c r="BB22" s="430">
        <f t="shared" si="12"/>
        <v>0</v>
      </c>
      <c r="BC22" s="430">
        <f t="shared" si="12"/>
        <v>0</v>
      </c>
      <c r="BD22" s="430">
        <f t="shared" si="12"/>
        <v>0</v>
      </c>
      <c r="BE22" s="430">
        <f t="shared" si="12"/>
        <v>0</v>
      </c>
      <c r="BF22" s="430">
        <f t="shared" si="12"/>
        <v>0</v>
      </c>
      <c r="BG22" s="430">
        <f t="shared" si="12"/>
        <v>0</v>
      </c>
      <c r="BH22" s="467"/>
      <c r="BI22" s="12">
        <f aca="true" t="shared" si="13" ref="BI22:BI47">IF(C22&gt;0,AU22+AV22,"")</f>
      </c>
      <c r="BJ22" t="s">
        <v>327</v>
      </c>
      <c r="BP22" s="754"/>
      <c r="BQ22" s="21"/>
      <c r="BR22" s="463"/>
    </row>
    <row r="23" spans="1:61" ht="16.5" customHeight="1" hidden="1">
      <c r="A23" s="422">
        <f t="shared" si="3"/>
        <v>0</v>
      </c>
      <c r="B23" s="422">
        <f t="shared" si="3"/>
        <v>0</v>
      </c>
      <c r="C23" s="325">
        <f t="shared" si="4"/>
        <v>0</v>
      </c>
      <c r="D23" s="421">
        <f t="shared" si="5"/>
        <v>0</v>
      </c>
      <c r="E23" s="454">
        <f t="shared" si="6"/>
        <v>0</v>
      </c>
      <c r="F23" s="468"/>
      <c r="G23" s="469"/>
      <c r="P23" s="635"/>
      <c r="Q23" s="636"/>
      <c r="R23" s="635"/>
      <c r="S23" s="636"/>
      <c r="AE23" s="459"/>
      <c r="AF23" s="460"/>
      <c r="AG23" s="460"/>
      <c r="AH23" s="460"/>
      <c r="AI23" s="461"/>
      <c r="AJ23" s="462"/>
      <c r="AK23" s="21">
        <f>IF(AL23="g","N",AL23)</f>
      </c>
      <c r="AL23" s="781">
        <f aca="true" t="shared" si="14" ref="AL23:AL47">IF(AND(C23=0,AJ23=0),"",IF(AND(C23=AJ23,AJ$4&lt;&gt;"N"),"J",IF(AND(C23&gt;0,AJ23&gt;0,AJ23&lt;&gt;C23),"g","N")))</f>
      </c>
      <c r="AN23" s="463">
        <f t="shared" si="7"/>
      </c>
      <c r="AR23" s="464"/>
      <c r="AS23" s="465">
        <f t="shared" si="8"/>
        <v>0</v>
      </c>
      <c r="AT23" s="441">
        <f t="shared" si="9"/>
        <v>0</v>
      </c>
      <c r="AU23" s="466">
        <f t="shared" si="10"/>
        <v>0</v>
      </c>
      <c r="AV23" s="466" t="str">
        <f t="shared" si="11"/>
        <v>0</v>
      </c>
      <c r="AW23" s="430">
        <f t="shared" si="12"/>
        <v>0</v>
      </c>
      <c r="AX23" s="430">
        <f t="shared" si="12"/>
        <v>0</v>
      </c>
      <c r="AY23" s="430">
        <f t="shared" si="12"/>
        <v>0</v>
      </c>
      <c r="AZ23" s="430">
        <f t="shared" si="12"/>
        <v>0</v>
      </c>
      <c r="BA23" s="430">
        <f t="shared" si="12"/>
        <v>0</v>
      </c>
      <c r="BB23" s="430">
        <f t="shared" si="12"/>
        <v>0</v>
      </c>
      <c r="BC23" s="430">
        <f t="shared" si="12"/>
        <v>0</v>
      </c>
      <c r="BD23" s="430">
        <f t="shared" si="12"/>
        <v>0</v>
      </c>
      <c r="BE23" s="430">
        <f t="shared" si="12"/>
        <v>0</v>
      </c>
      <c r="BF23" s="430">
        <f t="shared" si="12"/>
        <v>0</v>
      </c>
      <c r="BG23" s="430">
        <f t="shared" si="12"/>
        <v>0</v>
      </c>
      <c r="BH23" s="467"/>
      <c r="BI23" s="12">
        <f t="shared" si="13"/>
      </c>
    </row>
    <row r="24" spans="1:61" ht="16.5" customHeight="1" hidden="1">
      <c r="A24" s="422">
        <f t="shared" si="3"/>
        <v>0</v>
      </c>
      <c r="B24" s="422">
        <f t="shared" si="3"/>
        <v>0</v>
      </c>
      <c r="C24" s="325">
        <f t="shared" si="4"/>
        <v>0</v>
      </c>
      <c r="D24" s="421">
        <f t="shared" si="5"/>
        <v>0</v>
      </c>
      <c r="E24" s="454">
        <f t="shared" si="6"/>
        <v>0</v>
      </c>
      <c r="F24" s="468"/>
      <c r="G24" s="456"/>
      <c r="Z24" s="457"/>
      <c r="AA24" s="458"/>
      <c r="AE24" s="459"/>
      <c r="AF24" s="460"/>
      <c r="AG24" s="460"/>
      <c r="AH24" s="460"/>
      <c r="AI24" s="470"/>
      <c r="AJ24" s="462"/>
      <c r="AK24" s="21">
        <f aca="true" t="shared" si="15" ref="AK24:AK47">IF(AL24="g","N",AL24)</f>
      </c>
      <c r="AL24" s="781">
        <f t="shared" si="14"/>
      </c>
      <c r="AN24" s="463">
        <f t="shared" si="7"/>
      </c>
      <c r="AR24" s="464"/>
      <c r="AS24" s="465">
        <f t="shared" si="8"/>
        <v>0</v>
      </c>
      <c r="AT24" s="441">
        <f t="shared" si="9"/>
        <v>0</v>
      </c>
      <c r="AU24" s="466">
        <f t="shared" si="10"/>
        <v>0</v>
      </c>
      <c r="AV24" s="466" t="str">
        <f t="shared" si="11"/>
        <v>0</v>
      </c>
      <c r="AW24" s="430">
        <f t="shared" si="12"/>
        <v>0</v>
      </c>
      <c r="AX24" s="430">
        <f t="shared" si="12"/>
        <v>0</v>
      </c>
      <c r="AY24" s="430">
        <f t="shared" si="12"/>
        <v>0</v>
      </c>
      <c r="AZ24" s="430">
        <f t="shared" si="12"/>
        <v>0</v>
      </c>
      <c r="BA24" s="430">
        <f t="shared" si="12"/>
        <v>0</v>
      </c>
      <c r="BB24" s="430">
        <f t="shared" si="12"/>
        <v>0</v>
      </c>
      <c r="BC24" s="430">
        <f t="shared" si="12"/>
        <v>0</v>
      </c>
      <c r="BD24" s="430">
        <f t="shared" si="12"/>
        <v>0</v>
      </c>
      <c r="BE24" s="430">
        <f t="shared" si="12"/>
        <v>0</v>
      </c>
      <c r="BF24" s="430">
        <f t="shared" si="12"/>
        <v>0</v>
      </c>
      <c r="BG24" s="430">
        <f t="shared" si="12"/>
        <v>0</v>
      </c>
      <c r="BH24" s="467"/>
      <c r="BI24" s="12">
        <f t="shared" si="13"/>
      </c>
    </row>
    <row r="25" spans="1:61" ht="16.5">
      <c r="A25" s="422">
        <f t="shared" si="3"/>
        <v>0</v>
      </c>
      <c r="B25" s="422">
        <f t="shared" si="3"/>
        <v>0</v>
      </c>
      <c r="C25" s="325">
        <f t="shared" si="4"/>
        <v>0</v>
      </c>
      <c r="D25" s="421">
        <f t="shared" si="5"/>
        <v>0</v>
      </c>
      <c r="E25" s="454">
        <f t="shared" si="6"/>
        <v>0</v>
      </c>
      <c r="F25" s="468"/>
      <c r="G25" s="456"/>
      <c r="Z25" s="457"/>
      <c r="AA25" s="458"/>
      <c r="AE25" s="459"/>
      <c r="AF25" s="460"/>
      <c r="AG25" s="460"/>
      <c r="AH25" s="460"/>
      <c r="AI25" s="470"/>
      <c r="AJ25" s="462"/>
      <c r="AK25" s="21">
        <f t="shared" si="15"/>
      </c>
      <c r="AL25" s="781">
        <f t="shared" si="14"/>
      </c>
      <c r="AN25" s="463">
        <f t="shared" si="7"/>
      </c>
      <c r="AR25" s="464"/>
      <c r="AS25" s="465">
        <f t="shared" si="8"/>
        <v>0</v>
      </c>
      <c r="AT25" s="441">
        <f t="shared" si="9"/>
        <v>0</v>
      </c>
      <c r="AU25" s="466">
        <f t="shared" si="10"/>
        <v>0</v>
      </c>
      <c r="AV25" s="466" t="str">
        <f t="shared" si="11"/>
        <v>0</v>
      </c>
      <c r="AW25" s="430">
        <f t="shared" si="12"/>
        <v>0</v>
      </c>
      <c r="AX25" s="430">
        <f t="shared" si="12"/>
        <v>0</v>
      </c>
      <c r="AY25" s="430">
        <f t="shared" si="12"/>
        <v>0</v>
      </c>
      <c r="AZ25" s="430">
        <f t="shared" si="12"/>
        <v>0</v>
      </c>
      <c r="BA25" s="430">
        <f t="shared" si="12"/>
        <v>0</v>
      </c>
      <c r="BB25" s="430">
        <f t="shared" si="12"/>
        <v>0</v>
      </c>
      <c r="BC25" s="430">
        <f t="shared" si="12"/>
        <v>0</v>
      </c>
      <c r="BD25" s="430">
        <f t="shared" si="12"/>
        <v>0</v>
      </c>
      <c r="BE25" s="430">
        <f t="shared" si="12"/>
        <v>0</v>
      </c>
      <c r="BF25" s="430">
        <f t="shared" si="12"/>
        <v>0</v>
      </c>
      <c r="BG25" s="430">
        <f t="shared" si="12"/>
        <v>0</v>
      </c>
      <c r="BH25" s="467"/>
      <c r="BI25" s="12">
        <f t="shared" si="13"/>
      </c>
    </row>
    <row r="26" spans="1:61" ht="17.25" customHeight="1">
      <c r="A26" s="422">
        <f t="shared" si="3"/>
        <v>0</v>
      </c>
      <c r="B26" s="422">
        <f t="shared" si="3"/>
        <v>0</v>
      </c>
      <c r="C26" s="325">
        <f t="shared" si="4"/>
        <v>0</v>
      </c>
      <c r="D26" s="421">
        <f t="shared" si="5"/>
        <v>0</v>
      </c>
      <c r="E26" s="454">
        <f t="shared" si="6"/>
        <v>0</v>
      </c>
      <c r="F26" s="468"/>
      <c r="G26" s="471"/>
      <c r="J26" s="472"/>
      <c r="K26" s="458"/>
      <c r="L26" s="457"/>
      <c r="M26" s="458"/>
      <c r="N26" s="457"/>
      <c r="O26" s="458"/>
      <c r="P26" s="457"/>
      <c r="Q26" s="473"/>
      <c r="R26" s="460"/>
      <c r="S26" s="458"/>
      <c r="T26" s="457"/>
      <c r="U26" s="458"/>
      <c r="V26" s="457"/>
      <c r="W26" s="458"/>
      <c r="X26" s="457"/>
      <c r="Y26" s="473"/>
      <c r="Z26" s="460"/>
      <c r="AA26" s="458"/>
      <c r="AE26" s="459"/>
      <c r="AF26" s="460"/>
      <c r="AG26" s="460"/>
      <c r="AH26" s="460"/>
      <c r="AI26" s="470"/>
      <c r="AJ26" s="462"/>
      <c r="AK26" s="21">
        <f t="shared" si="15"/>
      </c>
      <c r="AL26" s="781">
        <f t="shared" si="14"/>
      </c>
      <c r="AN26" s="463">
        <f t="shared" si="7"/>
      </c>
      <c r="AR26" s="464"/>
      <c r="AS26" s="465">
        <f t="shared" si="8"/>
        <v>0</v>
      </c>
      <c r="AT26" s="441">
        <f t="shared" si="9"/>
        <v>0</v>
      </c>
      <c r="AU26" s="466">
        <f t="shared" si="10"/>
        <v>0</v>
      </c>
      <c r="AV26" s="466" t="str">
        <f t="shared" si="11"/>
        <v>0</v>
      </c>
      <c r="AW26" s="430">
        <f t="shared" si="12"/>
        <v>0</v>
      </c>
      <c r="AX26" s="430">
        <f t="shared" si="12"/>
        <v>0</v>
      </c>
      <c r="AY26" s="430">
        <f t="shared" si="12"/>
        <v>0</v>
      </c>
      <c r="AZ26" s="430">
        <f t="shared" si="12"/>
        <v>0</v>
      </c>
      <c r="BA26" s="430">
        <f t="shared" si="12"/>
        <v>0</v>
      </c>
      <c r="BB26" s="430">
        <f t="shared" si="12"/>
        <v>0</v>
      </c>
      <c r="BC26" s="430">
        <f t="shared" si="12"/>
        <v>0</v>
      </c>
      <c r="BD26" s="430">
        <f t="shared" si="12"/>
        <v>0</v>
      </c>
      <c r="BE26" s="430">
        <f t="shared" si="12"/>
        <v>0</v>
      </c>
      <c r="BF26" s="430">
        <f t="shared" si="12"/>
        <v>0</v>
      </c>
      <c r="BG26" s="430">
        <f t="shared" si="12"/>
        <v>0</v>
      </c>
      <c r="BH26" s="467"/>
      <c r="BI26" s="12">
        <f t="shared" si="13"/>
      </c>
    </row>
    <row r="27" spans="1:61" ht="17.25" customHeight="1" hidden="1">
      <c r="A27" s="422">
        <f t="shared" si="3"/>
        <v>0</v>
      </c>
      <c r="B27" s="422">
        <f t="shared" si="3"/>
        <v>0</v>
      </c>
      <c r="C27" s="325">
        <f t="shared" si="4"/>
        <v>0</v>
      </c>
      <c r="D27" s="421">
        <f t="shared" si="5"/>
        <v>0</v>
      </c>
      <c r="E27" s="454">
        <f t="shared" si="6"/>
        <v>0</v>
      </c>
      <c r="F27" s="468"/>
      <c r="G27" s="469"/>
      <c r="J27" s="474"/>
      <c r="K27" s="458"/>
      <c r="L27" s="457"/>
      <c r="M27" s="458"/>
      <c r="N27" s="457"/>
      <c r="O27" s="458"/>
      <c r="P27" s="457"/>
      <c r="Q27" s="473"/>
      <c r="R27" s="460"/>
      <c r="S27" s="458"/>
      <c r="T27" s="457"/>
      <c r="U27" s="458"/>
      <c r="V27" s="457"/>
      <c r="W27" s="458"/>
      <c r="X27" s="457"/>
      <c r="Y27" s="473"/>
      <c r="Z27" s="460"/>
      <c r="AA27" s="458"/>
      <c r="AE27" s="459"/>
      <c r="AF27" s="460"/>
      <c r="AG27" s="460"/>
      <c r="AH27" s="460"/>
      <c r="AI27" s="470"/>
      <c r="AJ27" s="462"/>
      <c r="AK27" s="21">
        <f t="shared" si="15"/>
      </c>
      <c r="AL27" s="781">
        <f t="shared" si="14"/>
      </c>
      <c r="AN27" s="463">
        <f t="shared" si="7"/>
      </c>
      <c r="AR27" s="464"/>
      <c r="AS27" s="465">
        <f t="shared" si="8"/>
        <v>0</v>
      </c>
      <c r="AT27" s="441">
        <f t="shared" si="9"/>
        <v>0</v>
      </c>
      <c r="AU27" s="466">
        <f t="shared" si="10"/>
        <v>0</v>
      </c>
      <c r="AV27" s="466" t="str">
        <f t="shared" si="11"/>
        <v>0</v>
      </c>
      <c r="AW27" s="430">
        <f t="shared" si="12"/>
        <v>0</v>
      </c>
      <c r="AX27" s="430">
        <f t="shared" si="12"/>
        <v>0</v>
      </c>
      <c r="AY27" s="430">
        <f t="shared" si="12"/>
        <v>0</v>
      </c>
      <c r="AZ27" s="430">
        <f t="shared" si="12"/>
        <v>0</v>
      </c>
      <c r="BA27" s="430">
        <f t="shared" si="12"/>
        <v>0</v>
      </c>
      <c r="BB27" s="430">
        <f t="shared" si="12"/>
        <v>0</v>
      </c>
      <c r="BC27" s="430">
        <f t="shared" si="12"/>
        <v>0</v>
      </c>
      <c r="BD27" s="430">
        <f t="shared" si="12"/>
        <v>0</v>
      </c>
      <c r="BE27" s="430">
        <f t="shared" si="12"/>
        <v>0</v>
      </c>
      <c r="BF27" s="430">
        <f t="shared" si="12"/>
        <v>0</v>
      </c>
      <c r="BG27" s="430">
        <f t="shared" si="12"/>
        <v>0</v>
      </c>
      <c r="BH27" s="467"/>
      <c r="BI27" s="12">
        <f t="shared" si="13"/>
      </c>
    </row>
    <row r="28" spans="1:61" ht="15.75" customHeight="1">
      <c r="A28" s="420"/>
      <c r="B28" s="420"/>
      <c r="C28" s="420"/>
      <c r="D28" s="420"/>
      <c r="E28" s="475"/>
      <c r="F28" s="475"/>
      <c r="G28" s="475"/>
      <c r="H28" s="475"/>
      <c r="I28" s="475"/>
      <c r="AL28" s="781">
        <f t="shared" si="14"/>
      </c>
      <c r="BI28" s="12">
        <f t="shared" si="13"/>
      </c>
    </row>
    <row r="29" spans="1:61" ht="17.25" customHeight="1" hidden="1">
      <c r="A29" s="422">
        <f aca="true" t="shared" si="16" ref="A29:A40">H29+J29+L29+N29+P29+R29+T29+V29+X29+Z29+AB29</f>
        <v>0</v>
      </c>
      <c r="B29" s="422">
        <f aca="true" t="shared" si="17" ref="B29:B40">I29+K29+M29+O29+Q29+S29+U29+W29+Y29+AA29+AC29</f>
        <v>0</v>
      </c>
      <c r="C29" s="325">
        <f aca="true" t="shared" si="18" ref="C29:C40">A29+B29</f>
        <v>0</v>
      </c>
      <c r="D29" s="421">
        <f aca="true" t="shared" si="19" ref="D29:D40">IF(AS29&lt;2,,"m. "&amp;AS29)</f>
        <v>0</v>
      </c>
      <c r="E29" s="454">
        <f aca="true" t="shared" si="20" ref="E29:E40">IF(OR(AO29&gt;C29/2,AP29&gt;C29/2,AQ29&gt;C29/2),"#",)</f>
        <v>0</v>
      </c>
      <c r="F29" s="468"/>
      <c r="G29" s="456"/>
      <c r="H29" s="457"/>
      <c r="I29" s="473"/>
      <c r="J29" s="460"/>
      <c r="K29" s="458"/>
      <c r="L29" s="457"/>
      <c r="M29" s="458"/>
      <c r="N29" s="457"/>
      <c r="O29" s="458"/>
      <c r="P29" s="457"/>
      <c r="Q29" s="473"/>
      <c r="R29" s="460"/>
      <c r="S29" s="458"/>
      <c r="T29" s="457"/>
      <c r="U29" s="458"/>
      <c r="V29" s="457"/>
      <c r="W29" s="458"/>
      <c r="X29" s="457"/>
      <c r="Y29" s="473"/>
      <c r="Z29" s="460"/>
      <c r="AA29" s="458"/>
      <c r="AE29" s="459"/>
      <c r="AF29" s="460"/>
      <c r="AG29" s="460"/>
      <c r="AH29" s="460"/>
      <c r="AI29" s="470"/>
      <c r="AJ29" s="462"/>
      <c r="AK29" s="21">
        <f t="shared" si="15"/>
      </c>
      <c r="AL29" s="781">
        <f t="shared" si="14"/>
      </c>
      <c r="AN29" s="463">
        <f aca="true" t="shared" si="21" ref="AN29:AN40">F29&amp;G29</f>
      </c>
      <c r="AR29" s="475"/>
      <c r="AS29" s="465">
        <f aca="true" t="shared" si="22" ref="AS29:AS40">IF(C29&gt;0,(IF(SUM(H29:I29)&gt;0,1,)+IF(SUM(J29:K29)&gt;0,1,)+IF(SUM(L29:M29)&gt;0,1,)+IF(SUM(N29:O29)&gt;0,1,)+IF(SUM(P29:Q29)&gt;0,1,)+IF(SUM(R29:S29)&gt;0,1,)+IF(SUM(T29:U29)&gt;0,1,)+IF(SUM(V29:W29)&gt;0,1,)+IF(SUM(X29:Y29)&gt;0,1,)+IF(SUM(Z29:AA29)&gt;0,1,)+IF(SUM(AB29:AC29)&gt;0,1,)),)</f>
        <v>0</v>
      </c>
      <c r="AT29" s="441">
        <f aca="true" t="shared" si="23" ref="AT29:AT40">IF(C29&gt;0,AU29+AV29,)</f>
        <v>0</v>
      </c>
      <c r="AU29" s="466">
        <f aca="true" t="shared" si="24" ref="AU29:AU40">IF(SUM(Z29:AC29)&gt;0,9,IF(SUM(X29:Y29)&gt;0,8,IF(SUM(V29:W29)&gt;0,7,IF(SUM(T29:U29)&gt;0,6,IF(SUM(R29:S29)&gt;0,5,)))))</f>
        <v>0</v>
      </c>
      <c r="AV29" s="466" t="str">
        <f aca="true" t="shared" si="25" ref="AV29:AV40">IF(AU29&gt;0,0,IF(SUM(P29:Q29)&gt;0,4,IF(SUM(N29:O29)&gt;0,3,IF(SUM(L29:M29)&gt;0,2,IF(SUM(J29:K29)&gt;0,1,"0")))))</f>
        <v>0</v>
      </c>
      <c r="AW29" s="430">
        <f aca="true" t="shared" si="26" ref="AW29:BG40">IF($AT29=AW$19,$AH29,)</f>
        <v>0</v>
      </c>
      <c r="AX29" s="430">
        <f t="shared" si="26"/>
        <v>0</v>
      </c>
      <c r="AY29" s="430">
        <f t="shared" si="26"/>
        <v>0</v>
      </c>
      <c r="AZ29" s="430">
        <f t="shared" si="26"/>
        <v>0</v>
      </c>
      <c r="BA29" s="430">
        <f t="shared" si="26"/>
        <v>0</v>
      </c>
      <c r="BB29" s="430">
        <f t="shared" si="26"/>
        <v>0</v>
      </c>
      <c r="BC29" s="430">
        <f t="shared" si="26"/>
        <v>0</v>
      </c>
      <c r="BD29" s="430">
        <f t="shared" si="26"/>
        <v>0</v>
      </c>
      <c r="BE29" s="430">
        <f t="shared" si="26"/>
        <v>0</v>
      </c>
      <c r="BF29" s="430">
        <f t="shared" si="26"/>
        <v>0</v>
      </c>
      <c r="BG29" s="430">
        <f t="shared" si="26"/>
        <v>0</v>
      </c>
      <c r="BH29" s="441">
        <f aca="true" t="shared" si="27" ref="BH29:BH40">IF(AND(AI29&gt;=C29/2,C29&gt;0),1,)</f>
        <v>0</v>
      </c>
      <c r="BI29" s="12">
        <f t="shared" si="13"/>
      </c>
    </row>
    <row r="30" spans="1:61" ht="17.25" customHeight="1" hidden="1">
      <c r="A30" s="422">
        <f t="shared" si="16"/>
        <v>0</v>
      </c>
      <c r="B30" s="422">
        <f t="shared" si="17"/>
        <v>0</v>
      </c>
      <c r="C30" s="325">
        <f t="shared" si="18"/>
        <v>0</v>
      </c>
      <c r="D30" s="421">
        <f t="shared" si="19"/>
        <v>0</v>
      </c>
      <c r="E30" s="454">
        <f t="shared" si="20"/>
        <v>0</v>
      </c>
      <c r="F30" s="468"/>
      <c r="G30" s="456"/>
      <c r="H30" s="457"/>
      <c r="I30" s="473"/>
      <c r="J30" s="460"/>
      <c r="K30" s="458"/>
      <c r="L30" s="457"/>
      <c r="M30" s="458"/>
      <c r="N30" s="457"/>
      <c r="O30" s="458"/>
      <c r="P30" s="457"/>
      <c r="Q30" s="473"/>
      <c r="R30" s="460"/>
      <c r="S30" s="458"/>
      <c r="T30" s="457"/>
      <c r="U30" s="458"/>
      <c r="V30" s="457"/>
      <c r="W30" s="458"/>
      <c r="X30" s="457"/>
      <c r="Y30" s="473"/>
      <c r="Z30" s="460"/>
      <c r="AA30" s="458"/>
      <c r="AE30" s="459"/>
      <c r="AF30" s="460"/>
      <c r="AG30" s="460"/>
      <c r="AH30" s="460"/>
      <c r="AI30" s="470"/>
      <c r="AJ30" s="462"/>
      <c r="AK30" s="21">
        <f t="shared" si="15"/>
      </c>
      <c r="AL30" s="781">
        <f t="shared" si="14"/>
      </c>
      <c r="AN30" s="463">
        <f t="shared" si="21"/>
      </c>
      <c r="AR30" s="475"/>
      <c r="AS30" s="465">
        <f t="shared" si="22"/>
        <v>0</v>
      </c>
      <c r="AT30" s="441">
        <f t="shared" si="23"/>
        <v>0</v>
      </c>
      <c r="AU30" s="466">
        <f t="shared" si="24"/>
        <v>0</v>
      </c>
      <c r="AV30" s="466" t="str">
        <f t="shared" si="25"/>
        <v>0</v>
      </c>
      <c r="AW30" s="430">
        <f t="shared" si="26"/>
        <v>0</v>
      </c>
      <c r="AX30" s="430">
        <f t="shared" si="26"/>
        <v>0</v>
      </c>
      <c r="AY30" s="430">
        <f t="shared" si="26"/>
        <v>0</v>
      </c>
      <c r="AZ30" s="430">
        <f t="shared" si="26"/>
        <v>0</v>
      </c>
      <c r="BA30" s="430">
        <f t="shared" si="26"/>
        <v>0</v>
      </c>
      <c r="BB30" s="430">
        <f t="shared" si="26"/>
        <v>0</v>
      </c>
      <c r="BC30" s="430">
        <f t="shared" si="26"/>
        <v>0</v>
      </c>
      <c r="BD30" s="430">
        <f t="shared" si="26"/>
        <v>0</v>
      </c>
      <c r="BE30" s="430">
        <f t="shared" si="26"/>
        <v>0</v>
      </c>
      <c r="BF30" s="430">
        <f t="shared" si="26"/>
        <v>0</v>
      </c>
      <c r="BG30" s="430">
        <f t="shared" si="26"/>
        <v>0</v>
      </c>
      <c r="BH30" s="441">
        <f t="shared" si="27"/>
        <v>0</v>
      </c>
      <c r="BI30" s="12">
        <f t="shared" si="13"/>
      </c>
    </row>
    <row r="31" spans="1:61" ht="17.25" customHeight="1" hidden="1">
      <c r="A31" s="422">
        <f t="shared" si="16"/>
        <v>0</v>
      </c>
      <c r="B31" s="422">
        <f t="shared" si="17"/>
        <v>0</v>
      </c>
      <c r="C31" s="325">
        <f t="shared" si="18"/>
        <v>0</v>
      </c>
      <c r="D31" s="421">
        <f t="shared" si="19"/>
        <v>0</v>
      </c>
      <c r="E31" s="454">
        <f t="shared" si="20"/>
        <v>0</v>
      </c>
      <c r="F31" s="468"/>
      <c r="G31" s="456"/>
      <c r="H31" s="457"/>
      <c r="I31" s="473"/>
      <c r="J31" s="460"/>
      <c r="K31" s="458"/>
      <c r="L31" s="457"/>
      <c r="M31" s="458"/>
      <c r="N31" s="457"/>
      <c r="O31" s="458"/>
      <c r="P31" s="457"/>
      <c r="Q31" s="473"/>
      <c r="R31" s="460"/>
      <c r="S31" s="458"/>
      <c r="T31" s="457"/>
      <c r="U31" s="458"/>
      <c r="V31" s="457"/>
      <c r="W31" s="458"/>
      <c r="X31" s="457"/>
      <c r="Y31" s="473"/>
      <c r="Z31" s="460"/>
      <c r="AA31" s="458"/>
      <c r="AE31" s="459"/>
      <c r="AF31" s="460"/>
      <c r="AG31" s="460"/>
      <c r="AH31" s="460"/>
      <c r="AI31" s="470"/>
      <c r="AJ31" s="462"/>
      <c r="AK31" s="21">
        <f t="shared" si="15"/>
      </c>
      <c r="AL31" s="781">
        <f t="shared" si="14"/>
      </c>
      <c r="AN31" s="463">
        <f t="shared" si="21"/>
      </c>
      <c r="AR31" s="475"/>
      <c r="AS31" s="465">
        <f t="shared" si="22"/>
        <v>0</v>
      </c>
      <c r="AT31" s="441">
        <f t="shared" si="23"/>
        <v>0</v>
      </c>
      <c r="AU31" s="466">
        <f t="shared" si="24"/>
        <v>0</v>
      </c>
      <c r="AV31" s="466" t="str">
        <f t="shared" si="25"/>
        <v>0</v>
      </c>
      <c r="AW31" s="430">
        <f t="shared" si="26"/>
        <v>0</v>
      </c>
      <c r="AX31" s="430">
        <f t="shared" si="26"/>
        <v>0</v>
      </c>
      <c r="AY31" s="430">
        <f t="shared" si="26"/>
        <v>0</v>
      </c>
      <c r="AZ31" s="430">
        <f t="shared" si="26"/>
        <v>0</v>
      </c>
      <c r="BA31" s="430">
        <f t="shared" si="26"/>
        <v>0</v>
      </c>
      <c r="BB31" s="430">
        <f t="shared" si="26"/>
        <v>0</v>
      </c>
      <c r="BC31" s="430">
        <f t="shared" si="26"/>
        <v>0</v>
      </c>
      <c r="BD31" s="430">
        <f t="shared" si="26"/>
        <v>0</v>
      </c>
      <c r="BE31" s="430">
        <f t="shared" si="26"/>
        <v>0</v>
      </c>
      <c r="BF31" s="430">
        <f t="shared" si="26"/>
        <v>0</v>
      </c>
      <c r="BG31" s="430">
        <f t="shared" si="26"/>
        <v>0</v>
      </c>
      <c r="BH31" s="441">
        <f t="shared" si="27"/>
        <v>0</v>
      </c>
      <c r="BI31" s="12">
        <f t="shared" si="13"/>
      </c>
    </row>
    <row r="32" spans="1:61" ht="17.25" customHeight="1" hidden="1">
      <c r="A32" s="422">
        <f t="shared" si="16"/>
        <v>0</v>
      </c>
      <c r="B32" s="422">
        <f t="shared" si="17"/>
        <v>0</v>
      </c>
      <c r="C32" s="325">
        <f t="shared" si="18"/>
        <v>0</v>
      </c>
      <c r="D32" s="421">
        <f t="shared" si="19"/>
        <v>0</v>
      </c>
      <c r="E32" s="454">
        <f t="shared" si="20"/>
        <v>0</v>
      </c>
      <c r="F32" s="468"/>
      <c r="G32" s="456"/>
      <c r="H32" s="457"/>
      <c r="I32" s="473"/>
      <c r="J32" s="460"/>
      <c r="K32" s="458"/>
      <c r="L32" s="457"/>
      <c r="M32" s="458"/>
      <c r="N32" s="457"/>
      <c r="O32" s="458"/>
      <c r="P32" s="457"/>
      <c r="Q32" s="473"/>
      <c r="R32" s="460"/>
      <c r="S32" s="458"/>
      <c r="T32" s="457"/>
      <c r="U32" s="458"/>
      <c r="V32" s="457"/>
      <c r="W32" s="458"/>
      <c r="X32" s="457"/>
      <c r="Y32" s="473"/>
      <c r="Z32" s="460"/>
      <c r="AA32" s="458"/>
      <c r="AE32" s="459"/>
      <c r="AF32" s="460"/>
      <c r="AG32" s="460"/>
      <c r="AH32" s="460"/>
      <c r="AI32" s="470"/>
      <c r="AJ32" s="462"/>
      <c r="AK32" s="21">
        <f t="shared" si="15"/>
      </c>
      <c r="AL32" s="781">
        <f t="shared" si="14"/>
      </c>
      <c r="AN32" s="463">
        <f t="shared" si="21"/>
      </c>
      <c r="AR32" s="475"/>
      <c r="AS32" s="465">
        <f t="shared" si="22"/>
        <v>0</v>
      </c>
      <c r="AT32" s="441">
        <f t="shared" si="23"/>
        <v>0</v>
      </c>
      <c r="AU32" s="466">
        <f t="shared" si="24"/>
        <v>0</v>
      </c>
      <c r="AV32" s="466" t="str">
        <f t="shared" si="25"/>
        <v>0</v>
      </c>
      <c r="AW32" s="430">
        <f t="shared" si="26"/>
        <v>0</v>
      </c>
      <c r="AX32" s="430">
        <f t="shared" si="26"/>
        <v>0</v>
      </c>
      <c r="AY32" s="430">
        <f t="shared" si="26"/>
        <v>0</v>
      </c>
      <c r="AZ32" s="430">
        <f t="shared" si="26"/>
        <v>0</v>
      </c>
      <c r="BA32" s="430">
        <f t="shared" si="26"/>
        <v>0</v>
      </c>
      <c r="BB32" s="430">
        <f t="shared" si="26"/>
        <v>0</v>
      </c>
      <c r="BC32" s="430">
        <f t="shared" si="26"/>
        <v>0</v>
      </c>
      <c r="BD32" s="430">
        <f t="shared" si="26"/>
        <v>0</v>
      </c>
      <c r="BE32" s="430">
        <f t="shared" si="26"/>
        <v>0</v>
      </c>
      <c r="BF32" s="430">
        <f t="shared" si="26"/>
        <v>0</v>
      </c>
      <c r="BG32" s="430">
        <f t="shared" si="26"/>
        <v>0</v>
      </c>
      <c r="BH32" s="441">
        <f t="shared" si="27"/>
        <v>0</v>
      </c>
      <c r="BI32" s="12">
        <f t="shared" si="13"/>
      </c>
    </row>
    <row r="33" spans="1:61" ht="17.25" customHeight="1" hidden="1">
      <c r="A33" s="422">
        <f t="shared" si="16"/>
        <v>0</v>
      </c>
      <c r="B33" s="422">
        <f t="shared" si="17"/>
        <v>0</v>
      </c>
      <c r="C33" s="325">
        <f t="shared" si="18"/>
        <v>0</v>
      </c>
      <c r="D33" s="421">
        <f t="shared" si="19"/>
        <v>0</v>
      </c>
      <c r="E33" s="454">
        <f t="shared" si="20"/>
        <v>0</v>
      </c>
      <c r="F33" s="468"/>
      <c r="G33" s="456"/>
      <c r="H33" s="457"/>
      <c r="I33" s="473"/>
      <c r="J33" s="460"/>
      <c r="K33" s="458"/>
      <c r="L33" s="457"/>
      <c r="M33" s="458"/>
      <c r="N33" s="457"/>
      <c r="O33" s="458"/>
      <c r="P33" s="457"/>
      <c r="Q33" s="473"/>
      <c r="R33" s="460"/>
      <c r="S33" s="458"/>
      <c r="T33" s="457"/>
      <c r="U33" s="458"/>
      <c r="V33" s="457"/>
      <c r="W33" s="458"/>
      <c r="X33" s="457"/>
      <c r="Y33" s="473"/>
      <c r="Z33" s="460"/>
      <c r="AA33" s="458"/>
      <c r="AE33" s="459"/>
      <c r="AF33" s="460"/>
      <c r="AG33" s="460"/>
      <c r="AH33" s="460"/>
      <c r="AI33" s="470"/>
      <c r="AJ33" s="462"/>
      <c r="AK33" s="21">
        <f t="shared" si="15"/>
      </c>
      <c r="AL33" s="781">
        <f t="shared" si="14"/>
      </c>
      <c r="AN33" s="463">
        <f t="shared" si="21"/>
      </c>
      <c r="AR33" s="475"/>
      <c r="AS33" s="465">
        <f t="shared" si="22"/>
        <v>0</v>
      </c>
      <c r="AT33" s="441">
        <f t="shared" si="23"/>
        <v>0</v>
      </c>
      <c r="AU33" s="466">
        <f t="shared" si="24"/>
        <v>0</v>
      </c>
      <c r="AV33" s="466" t="str">
        <f t="shared" si="25"/>
        <v>0</v>
      </c>
      <c r="AW33" s="430">
        <f t="shared" si="26"/>
        <v>0</v>
      </c>
      <c r="AX33" s="430">
        <f t="shared" si="26"/>
        <v>0</v>
      </c>
      <c r="AY33" s="430">
        <f t="shared" si="26"/>
        <v>0</v>
      </c>
      <c r="AZ33" s="430">
        <f t="shared" si="26"/>
        <v>0</v>
      </c>
      <c r="BA33" s="430">
        <f t="shared" si="26"/>
        <v>0</v>
      </c>
      <c r="BB33" s="430">
        <f t="shared" si="26"/>
        <v>0</v>
      </c>
      <c r="BC33" s="430">
        <f t="shared" si="26"/>
        <v>0</v>
      </c>
      <c r="BD33" s="430">
        <f t="shared" si="26"/>
        <v>0</v>
      </c>
      <c r="BE33" s="430">
        <f t="shared" si="26"/>
        <v>0</v>
      </c>
      <c r="BF33" s="430">
        <f t="shared" si="26"/>
        <v>0</v>
      </c>
      <c r="BG33" s="430">
        <f t="shared" si="26"/>
        <v>0</v>
      </c>
      <c r="BH33" s="441">
        <f t="shared" si="27"/>
        <v>0</v>
      </c>
      <c r="BI33" s="12">
        <f t="shared" si="13"/>
      </c>
    </row>
    <row r="34" spans="1:61" ht="17.25" customHeight="1" hidden="1">
      <c r="A34" s="422">
        <f t="shared" si="16"/>
        <v>0</v>
      </c>
      <c r="B34" s="422">
        <f t="shared" si="17"/>
        <v>0</v>
      </c>
      <c r="C34" s="325">
        <f t="shared" si="18"/>
        <v>0</v>
      </c>
      <c r="D34" s="421">
        <f t="shared" si="19"/>
        <v>0</v>
      </c>
      <c r="E34" s="454">
        <f t="shared" si="20"/>
        <v>0</v>
      </c>
      <c r="F34" s="468"/>
      <c r="G34" s="456"/>
      <c r="H34" s="457"/>
      <c r="I34" s="473"/>
      <c r="J34" s="460"/>
      <c r="K34" s="458"/>
      <c r="L34" s="457"/>
      <c r="M34" s="458"/>
      <c r="N34" s="457"/>
      <c r="O34" s="458"/>
      <c r="P34" s="457"/>
      <c r="Q34" s="473"/>
      <c r="R34" s="460"/>
      <c r="S34" s="458"/>
      <c r="T34" s="457"/>
      <c r="U34" s="458"/>
      <c r="V34" s="457"/>
      <c r="W34" s="458"/>
      <c r="X34" s="457"/>
      <c r="Y34" s="473"/>
      <c r="Z34" s="460"/>
      <c r="AA34" s="458"/>
      <c r="AE34" s="459"/>
      <c r="AF34" s="460"/>
      <c r="AG34" s="460"/>
      <c r="AH34" s="460"/>
      <c r="AI34" s="470"/>
      <c r="AJ34" s="462"/>
      <c r="AK34" s="21">
        <f t="shared" si="15"/>
      </c>
      <c r="AL34" s="781">
        <f t="shared" si="14"/>
      </c>
      <c r="AN34" s="463">
        <f t="shared" si="21"/>
      </c>
      <c r="AR34" s="475"/>
      <c r="AS34" s="465">
        <f t="shared" si="22"/>
        <v>0</v>
      </c>
      <c r="AT34" s="441">
        <f t="shared" si="23"/>
        <v>0</v>
      </c>
      <c r="AU34" s="466">
        <f t="shared" si="24"/>
        <v>0</v>
      </c>
      <c r="AV34" s="466" t="str">
        <f t="shared" si="25"/>
        <v>0</v>
      </c>
      <c r="AW34" s="430">
        <f t="shared" si="26"/>
        <v>0</v>
      </c>
      <c r="AX34" s="430">
        <f t="shared" si="26"/>
        <v>0</v>
      </c>
      <c r="AY34" s="430">
        <f t="shared" si="26"/>
        <v>0</v>
      </c>
      <c r="AZ34" s="430">
        <f t="shared" si="26"/>
        <v>0</v>
      </c>
      <c r="BA34" s="430">
        <f t="shared" si="26"/>
        <v>0</v>
      </c>
      <c r="BB34" s="430">
        <f t="shared" si="26"/>
        <v>0</v>
      </c>
      <c r="BC34" s="430">
        <f t="shared" si="26"/>
        <v>0</v>
      </c>
      <c r="BD34" s="430">
        <f t="shared" si="26"/>
        <v>0</v>
      </c>
      <c r="BE34" s="430">
        <f t="shared" si="26"/>
        <v>0</v>
      </c>
      <c r="BF34" s="430">
        <f t="shared" si="26"/>
        <v>0</v>
      </c>
      <c r="BG34" s="430">
        <f t="shared" si="26"/>
        <v>0</v>
      </c>
      <c r="BH34" s="441">
        <f t="shared" si="27"/>
        <v>0</v>
      </c>
      <c r="BI34" s="12">
        <f t="shared" si="13"/>
      </c>
    </row>
    <row r="35" spans="1:61" ht="17.25" customHeight="1" hidden="1">
      <c r="A35" s="422">
        <f t="shared" si="16"/>
        <v>0</v>
      </c>
      <c r="B35" s="422">
        <f t="shared" si="17"/>
        <v>0</v>
      </c>
      <c r="C35" s="325">
        <f t="shared" si="18"/>
        <v>0</v>
      </c>
      <c r="D35" s="421">
        <f t="shared" si="19"/>
        <v>0</v>
      </c>
      <c r="E35" s="454">
        <f t="shared" si="20"/>
        <v>0</v>
      </c>
      <c r="F35" s="468"/>
      <c r="G35" s="456"/>
      <c r="H35" s="457"/>
      <c r="I35" s="473"/>
      <c r="J35" s="460"/>
      <c r="K35" s="458"/>
      <c r="L35" s="457"/>
      <c r="M35" s="458"/>
      <c r="N35" s="457"/>
      <c r="O35" s="458"/>
      <c r="P35" s="457"/>
      <c r="Q35" s="473"/>
      <c r="R35" s="460"/>
      <c r="S35" s="458"/>
      <c r="T35" s="457"/>
      <c r="U35" s="458"/>
      <c r="V35" s="457"/>
      <c r="W35" s="458"/>
      <c r="X35" s="457"/>
      <c r="Y35" s="473"/>
      <c r="Z35" s="460"/>
      <c r="AA35" s="458"/>
      <c r="AE35" s="459"/>
      <c r="AF35" s="460"/>
      <c r="AG35" s="460"/>
      <c r="AH35" s="460"/>
      <c r="AI35" s="470"/>
      <c r="AJ35" s="462"/>
      <c r="AK35" s="21">
        <f t="shared" si="15"/>
      </c>
      <c r="AL35" s="781">
        <f t="shared" si="14"/>
      </c>
      <c r="AN35" s="463">
        <f t="shared" si="21"/>
      </c>
      <c r="AR35" s="475"/>
      <c r="AS35" s="465">
        <f t="shared" si="22"/>
        <v>0</v>
      </c>
      <c r="AT35" s="441">
        <f t="shared" si="23"/>
        <v>0</v>
      </c>
      <c r="AU35" s="466">
        <f t="shared" si="24"/>
        <v>0</v>
      </c>
      <c r="AV35" s="466" t="str">
        <f t="shared" si="25"/>
        <v>0</v>
      </c>
      <c r="AW35" s="430">
        <f t="shared" si="26"/>
        <v>0</v>
      </c>
      <c r="AX35" s="430">
        <f t="shared" si="26"/>
        <v>0</v>
      </c>
      <c r="AY35" s="430">
        <f t="shared" si="26"/>
        <v>0</v>
      </c>
      <c r="AZ35" s="430">
        <f t="shared" si="26"/>
        <v>0</v>
      </c>
      <c r="BA35" s="430">
        <f t="shared" si="26"/>
        <v>0</v>
      </c>
      <c r="BB35" s="430">
        <f t="shared" si="26"/>
        <v>0</v>
      </c>
      <c r="BC35" s="430">
        <f t="shared" si="26"/>
        <v>0</v>
      </c>
      <c r="BD35" s="430">
        <f t="shared" si="26"/>
        <v>0</v>
      </c>
      <c r="BE35" s="430">
        <f t="shared" si="26"/>
        <v>0</v>
      </c>
      <c r="BF35" s="430">
        <f t="shared" si="26"/>
        <v>0</v>
      </c>
      <c r="BG35" s="430">
        <f t="shared" si="26"/>
        <v>0</v>
      </c>
      <c r="BH35" s="441">
        <f t="shared" si="27"/>
        <v>0</v>
      </c>
      <c r="BI35" s="12">
        <f t="shared" si="13"/>
      </c>
    </row>
    <row r="36" spans="1:61" ht="17.25" customHeight="1" hidden="1">
      <c r="A36" s="422">
        <f t="shared" si="16"/>
        <v>0</v>
      </c>
      <c r="B36" s="422">
        <f t="shared" si="17"/>
        <v>0</v>
      </c>
      <c r="C36" s="325">
        <f t="shared" si="18"/>
        <v>0</v>
      </c>
      <c r="D36" s="421">
        <f t="shared" si="19"/>
        <v>0</v>
      </c>
      <c r="E36" s="454">
        <f t="shared" si="20"/>
        <v>0</v>
      </c>
      <c r="F36" s="468"/>
      <c r="G36" s="456"/>
      <c r="H36" s="457"/>
      <c r="I36" s="473"/>
      <c r="J36" s="460"/>
      <c r="K36" s="458"/>
      <c r="L36" s="457"/>
      <c r="M36" s="458"/>
      <c r="N36" s="457"/>
      <c r="O36" s="458"/>
      <c r="P36" s="457"/>
      <c r="Q36" s="473"/>
      <c r="R36" s="460"/>
      <c r="S36" s="458"/>
      <c r="T36" s="457"/>
      <c r="U36" s="458"/>
      <c r="V36" s="457"/>
      <c r="W36" s="458"/>
      <c r="X36" s="457"/>
      <c r="Y36" s="473"/>
      <c r="Z36" s="460"/>
      <c r="AA36" s="458"/>
      <c r="AE36" s="459"/>
      <c r="AF36" s="460"/>
      <c r="AG36" s="460"/>
      <c r="AH36" s="460"/>
      <c r="AI36" s="470"/>
      <c r="AJ36" s="462"/>
      <c r="AK36" s="21">
        <f t="shared" si="15"/>
      </c>
      <c r="AL36" s="781">
        <f t="shared" si="14"/>
      </c>
      <c r="AN36" s="463">
        <f t="shared" si="21"/>
      </c>
      <c r="AR36" s="475"/>
      <c r="AS36" s="465">
        <f t="shared" si="22"/>
        <v>0</v>
      </c>
      <c r="AT36" s="441">
        <f t="shared" si="23"/>
        <v>0</v>
      </c>
      <c r="AU36" s="466">
        <f t="shared" si="24"/>
        <v>0</v>
      </c>
      <c r="AV36" s="466" t="str">
        <f t="shared" si="25"/>
        <v>0</v>
      </c>
      <c r="AW36" s="430">
        <f t="shared" si="26"/>
        <v>0</v>
      </c>
      <c r="AX36" s="430">
        <f t="shared" si="26"/>
        <v>0</v>
      </c>
      <c r="AY36" s="430">
        <f t="shared" si="26"/>
        <v>0</v>
      </c>
      <c r="AZ36" s="430">
        <f t="shared" si="26"/>
        <v>0</v>
      </c>
      <c r="BA36" s="430">
        <f t="shared" si="26"/>
        <v>0</v>
      </c>
      <c r="BB36" s="430">
        <f t="shared" si="26"/>
        <v>0</v>
      </c>
      <c r="BC36" s="430">
        <f t="shared" si="26"/>
        <v>0</v>
      </c>
      <c r="BD36" s="430">
        <f t="shared" si="26"/>
        <v>0</v>
      </c>
      <c r="BE36" s="430">
        <f t="shared" si="26"/>
        <v>0</v>
      </c>
      <c r="BF36" s="430">
        <f t="shared" si="26"/>
        <v>0</v>
      </c>
      <c r="BG36" s="430">
        <f t="shared" si="26"/>
        <v>0</v>
      </c>
      <c r="BH36" s="441">
        <f t="shared" si="27"/>
        <v>0</v>
      </c>
      <c r="BI36" s="12">
        <f t="shared" si="13"/>
      </c>
    </row>
    <row r="37" spans="1:61" ht="17.25" customHeight="1" hidden="1">
      <c r="A37" s="422">
        <f t="shared" si="16"/>
        <v>0</v>
      </c>
      <c r="B37" s="422">
        <f t="shared" si="17"/>
        <v>0</v>
      </c>
      <c r="C37" s="325">
        <f t="shared" si="18"/>
        <v>0</v>
      </c>
      <c r="D37" s="421">
        <f t="shared" si="19"/>
        <v>0</v>
      </c>
      <c r="E37" s="454">
        <f t="shared" si="20"/>
        <v>0</v>
      </c>
      <c r="F37" s="468"/>
      <c r="G37" s="456"/>
      <c r="H37" s="457"/>
      <c r="I37" s="473"/>
      <c r="J37" s="460"/>
      <c r="K37" s="458"/>
      <c r="L37" s="457"/>
      <c r="M37" s="458"/>
      <c r="N37" s="457"/>
      <c r="O37" s="458"/>
      <c r="P37" s="457"/>
      <c r="Q37" s="473"/>
      <c r="R37" s="460"/>
      <c r="S37" s="458"/>
      <c r="T37" s="457"/>
      <c r="U37" s="458"/>
      <c r="V37" s="457"/>
      <c r="W37" s="458"/>
      <c r="X37" s="457"/>
      <c r="Y37" s="473"/>
      <c r="Z37" s="460"/>
      <c r="AA37" s="458"/>
      <c r="AE37" s="459"/>
      <c r="AF37" s="460"/>
      <c r="AG37" s="460"/>
      <c r="AH37" s="460"/>
      <c r="AI37" s="470"/>
      <c r="AJ37" s="462"/>
      <c r="AK37" s="21">
        <f t="shared" si="15"/>
      </c>
      <c r="AL37" s="781">
        <f t="shared" si="14"/>
      </c>
      <c r="AN37" s="463">
        <f t="shared" si="21"/>
      </c>
      <c r="AR37" s="475"/>
      <c r="AS37" s="465">
        <f t="shared" si="22"/>
        <v>0</v>
      </c>
      <c r="AT37" s="441">
        <f t="shared" si="23"/>
        <v>0</v>
      </c>
      <c r="AU37" s="466">
        <f t="shared" si="24"/>
        <v>0</v>
      </c>
      <c r="AV37" s="466" t="str">
        <f t="shared" si="25"/>
        <v>0</v>
      </c>
      <c r="AW37" s="430">
        <f t="shared" si="26"/>
        <v>0</v>
      </c>
      <c r="AX37" s="430">
        <f t="shared" si="26"/>
        <v>0</v>
      </c>
      <c r="AY37" s="430">
        <f t="shared" si="26"/>
        <v>0</v>
      </c>
      <c r="AZ37" s="430">
        <f t="shared" si="26"/>
        <v>0</v>
      </c>
      <c r="BA37" s="430">
        <f t="shared" si="26"/>
        <v>0</v>
      </c>
      <c r="BB37" s="430">
        <f t="shared" si="26"/>
        <v>0</v>
      </c>
      <c r="BC37" s="430">
        <f t="shared" si="26"/>
        <v>0</v>
      </c>
      <c r="BD37" s="430">
        <f t="shared" si="26"/>
        <v>0</v>
      </c>
      <c r="BE37" s="430">
        <f t="shared" si="26"/>
        <v>0</v>
      </c>
      <c r="BF37" s="430">
        <f t="shared" si="26"/>
        <v>0</v>
      </c>
      <c r="BG37" s="430">
        <f t="shared" si="26"/>
        <v>0</v>
      </c>
      <c r="BH37" s="441">
        <f t="shared" si="27"/>
        <v>0</v>
      </c>
      <c r="BI37" s="12">
        <f t="shared" si="13"/>
      </c>
    </row>
    <row r="38" spans="1:61" ht="15" customHeight="1" hidden="1">
      <c r="A38" s="422">
        <f t="shared" si="16"/>
        <v>0</v>
      </c>
      <c r="B38" s="422">
        <f t="shared" si="17"/>
        <v>0</v>
      </c>
      <c r="C38" s="325">
        <f t="shared" si="18"/>
        <v>0</v>
      </c>
      <c r="D38" s="421">
        <f t="shared" si="19"/>
        <v>0</v>
      </c>
      <c r="E38" s="454">
        <f t="shared" si="20"/>
        <v>0</v>
      </c>
      <c r="F38" s="468"/>
      <c r="G38" s="456"/>
      <c r="H38" s="457"/>
      <c r="I38" s="473"/>
      <c r="J38" s="460"/>
      <c r="K38" s="458"/>
      <c r="L38" s="457"/>
      <c r="M38" s="458"/>
      <c r="N38" s="457"/>
      <c r="O38" s="458"/>
      <c r="P38" s="457"/>
      <c r="Q38" s="473"/>
      <c r="R38" s="460"/>
      <c r="S38" s="458"/>
      <c r="T38" s="457"/>
      <c r="U38" s="458"/>
      <c r="V38" s="457"/>
      <c r="W38" s="458"/>
      <c r="X38" s="457"/>
      <c r="Y38" s="473"/>
      <c r="Z38" s="460"/>
      <c r="AA38" s="458"/>
      <c r="AE38" s="459"/>
      <c r="AF38" s="460"/>
      <c r="AG38" s="460"/>
      <c r="AH38" s="460"/>
      <c r="AI38" s="470"/>
      <c r="AJ38" s="462"/>
      <c r="AK38" s="21">
        <f t="shared" si="15"/>
      </c>
      <c r="AL38" s="781">
        <f t="shared" si="14"/>
      </c>
      <c r="AN38" s="463">
        <f t="shared" si="21"/>
      </c>
      <c r="AR38" s="475"/>
      <c r="AS38" s="465">
        <f t="shared" si="22"/>
        <v>0</v>
      </c>
      <c r="AT38" s="441">
        <f t="shared" si="23"/>
        <v>0</v>
      </c>
      <c r="AU38" s="466">
        <f t="shared" si="24"/>
        <v>0</v>
      </c>
      <c r="AV38" s="466" t="str">
        <f t="shared" si="25"/>
        <v>0</v>
      </c>
      <c r="AW38" s="430">
        <f t="shared" si="26"/>
        <v>0</v>
      </c>
      <c r="AX38" s="430">
        <f t="shared" si="26"/>
        <v>0</v>
      </c>
      <c r="AY38" s="430">
        <f t="shared" si="26"/>
        <v>0</v>
      </c>
      <c r="AZ38" s="430">
        <f t="shared" si="26"/>
        <v>0</v>
      </c>
      <c r="BA38" s="430">
        <f t="shared" si="26"/>
        <v>0</v>
      </c>
      <c r="BB38" s="430">
        <f t="shared" si="26"/>
        <v>0</v>
      </c>
      <c r="BC38" s="430">
        <f t="shared" si="26"/>
        <v>0</v>
      </c>
      <c r="BD38" s="430">
        <f t="shared" si="26"/>
        <v>0</v>
      </c>
      <c r="BE38" s="430">
        <f t="shared" si="26"/>
        <v>0</v>
      </c>
      <c r="BF38" s="430">
        <f t="shared" si="26"/>
        <v>0</v>
      </c>
      <c r="BG38" s="430">
        <f t="shared" si="26"/>
        <v>0</v>
      </c>
      <c r="BH38" s="441">
        <f t="shared" si="27"/>
        <v>0</v>
      </c>
      <c r="BI38" s="12">
        <f t="shared" si="13"/>
      </c>
    </row>
    <row r="39" spans="1:61" ht="15" customHeight="1" hidden="1">
      <c r="A39" s="422">
        <f t="shared" si="16"/>
        <v>0</v>
      </c>
      <c r="B39" s="422">
        <f t="shared" si="17"/>
        <v>0</v>
      </c>
      <c r="C39" s="325">
        <f t="shared" si="18"/>
        <v>0</v>
      </c>
      <c r="D39" s="421">
        <f t="shared" si="19"/>
        <v>0</v>
      </c>
      <c r="E39" s="454">
        <f t="shared" si="20"/>
        <v>0</v>
      </c>
      <c r="F39" s="468"/>
      <c r="G39" s="456"/>
      <c r="H39" s="457"/>
      <c r="I39" s="473"/>
      <c r="J39" s="460"/>
      <c r="K39" s="458"/>
      <c r="L39" s="457"/>
      <c r="M39" s="458"/>
      <c r="N39" s="457"/>
      <c r="O39" s="458"/>
      <c r="P39" s="457"/>
      <c r="Q39" s="473"/>
      <c r="R39" s="460"/>
      <c r="S39" s="458"/>
      <c r="T39" s="457"/>
      <c r="U39" s="458"/>
      <c r="V39" s="457"/>
      <c r="W39" s="458"/>
      <c r="X39" s="457"/>
      <c r="Y39" s="473"/>
      <c r="Z39" s="460"/>
      <c r="AA39" s="458"/>
      <c r="AE39" s="459"/>
      <c r="AF39" s="460"/>
      <c r="AG39" s="460"/>
      <c r="AH39" s="460"/>
      <c r="AI39" s="470"/>
      <c r="AJ39" s="462"/>
      <c r="AK39" s="21">
        <f t="shared" si="15"/>
      </c>
      <c r="AL39" s="781">
        <f t="shared" si="14"/>
      </c>
      <c r="AN39" s="463">
        <f t="shared" si="21"/>
      </c>
      <c r="AR39" s="475"/>
      <c r="AS39" s="465">
        <f t="shared" si="22"/>
        <v>0</v>
      </c>
      <c r="AT39" s="441">
        <f t="shared" si="23"/>
        <v>0</v>
      </c>
      <c r="AU39" s="466">
        <f t="shared" si="24"/>
        <v>0</v>
      </c>
      <c r="AV39" s="466" t="str">
        <f t="shared" si="25"/>
        <v>0</v>
      </c>
      <c r="AW39" s="430">
        <f t="shared" si="26"/>
        <v>0</v>
      </c>
      <c r="AX39" s="430">
        <f t="shared" si="26"/>
        <v>0</v>
      </c>
      <c r="AY39" s="430">
        <f t="shared" si="26"/>
        <v>0</v>
      </c>
      <c r="AZ39" s="430">
        <f t="shared" si="26"/>
        <v>0</v>
      </c>
      <c r="BA39" s="430">
        <f t="shared" si="26"/>
        <v>0</v>
      </c>
      <c r="BB39" s="430">
        <f t="shared" si="26"/>
        <v>0</v>
      </c>
      <c r="BC39" s="430">
        <f t="shared" si="26"/>
        <v>0</v>
      </c>
      <c r="BD39" s="430">
        <f t="shared" si="26"/>
        <v>0</v>
      </c>
      <c r="BE39" s="430">
        <f t="shared" si="26"/>
        <v>0</v>
      </c>
      <c r="BF39" s="430">
        <f t="shared" si="26"/>
        <v>0</v>
      </c>
      <c r="BG39" s="430">
        <f t="shared" si="26"/>
        <v>0</v>
      </c>
      <c r="BH39" s="441">
        <f t="shared" si="27"/>
        <v>0</v>
      </c>
      <c r="BI39" s="12">
        <f t="shared" si="13"/>
      </c>
    </row>
    <row r="40" spans="1:61" ht="15" customHeight="1" hidden="1">
      <c r="A40" s="422">
        <f t="shared" si="16"/>
        <v>0</v>
      </c>
      <c r="B40" s="422">
        <f t="shared" si="17"/>
        <v>0</v>
      </c>
      <c r="C40" s="325">
        <f t="shared" si="18"/>
        <v>0</v>
      </c>
      <c r="D40" s="421">
        <f t="shared" si="19"/>
        <v>0</v>
      </c>
      <c r="E40" s="454">
        <f t="shared" si="20"/>
        <v>0</v>
      </c>
      <c r="F40" s="468"/>
      <c r="G40" s="456"/>
      <c r="H40" s="457"/>
      <c r="I40" s="473"/>
      <c r="J40" s="460"/>
      <c r="K40" s="458"/>
      <c r="L40" s="457"/>
      <c r="M40" s="458"/>
      <c r="N40" s="457"/>
      <c r="O40" s="458"/>
      <c r="P40" s="457"/>
      <c r="Q40" s="473"/>
      <c r="R40" s="460"/>
      <c r="S40" s="458"/>
      <c r="T40" s="457"/>
      <c r="U40" s="458"/>
      <c r="V40" s="457"/>
      <c r="W40" s="458"/>
      <c r="X40" s="457"/>
      <c r="Y40" s="473"/>
      <c r="Z40" s="460"/>
      <c r="AA40" s="458"/>
      <c r="AE40" s="459"/>
      <c r="AF40" s="460"/>
      <c r="AG40" s="460"/>
      <c r="AH40" s="460"/>
      <c r="AI40" s="470"/>
      <c r="AJ40" s="462"/>
      <c r="AK40" s="21">
        <f t="shared" si="15"/>
      </c>
      <c r="AL40" s="781">
        <f t="shared" si="14"/>
      </c>
      <c r="AN40" s="463">
        <f t="shared" si="21"/>
      </c>
      <c r="AR40" s="475"/>
      <c r="AS40" s="465">
        <f t="shared" si="22"/>
        <v>0</v>
      </c>
      <c r="AT40" s="441">
        <f t="shared" si="23"/>
        <v>0</v>
      </c>
      <c r="AU40" s="466">
        <f t="shared" si="24"/>
        <v>0</v>
      </c>
      <c r="AV40" s="466" t="str">
        <f t="shared" si="25"/>
        <v>0</v>
      </c>
      <c r="AW40" s="430">
        <f t="shared" si="26"/>
        <v>0</v>
      </c>
      <c r="AX40" s="430">
        <f t="shared" si="26"/>
        <v>0</v>
      </c>
      <c r="AY40" s="430">
        <f t="shared" si="26"/>
        <v>0</v>
      </c>
      <c r="AZ40" s="430">
        <f t="shared" si="26"/>
        <v>0</v>
      </c>
      <c r="BA40" s="430">
        <f t="shared" si="26"/>
        <v>0</v>
      </c>
      <c r="BB40" s="430">
        <f t="shared" si="26"/>
        <v>0</v>
      </c>
      <c r="BC40" s="430">
        <f t="shared" si="26"/>
        <v>0</v>
      </c>
      <c r="BD40" s="430">
        <f t="shared" si="26"/>
        <v>0</v>
      </c>
      <c r="BE40" s="430">
        <f t="shared" si="26"/>
        <v>0</v>
      </c>
      <c r="BF40" s="430">
        <f t="shared" si="26"/>
        <v>0</v>
      </c>
      <c r="BG40" s="430">
        <f t="shared" si="26"/>
        <v>0</v>
      </c>
      <c r="BH40" s="441">
        <f t="shared" si="27"/>
        <v>0</v>
      </c>
      <c r="BI40" s="12">
        <f t="shared" si="13"/>
      </c>
    </row>
    <row r="41" spans="1:61" ht="9" customHeight="1" hidden="1">
      <c r="A41" s="420"/>
      <c r="B41" s="420"/>
      <c r="C41" s="420"/>
      <c r="D41" s="420"/>
      <c r="E41" s="420"/>
      <c r="F41" s="420"/>
      <c r="G41" s="420"/>
      <c r="AL41" s="781">
        <f t="shared" si="14"/>
      </c>
      <c r="BI41" s="12">
        <f t="shared" si="13"/>
      </c>
    </row>
    <row r="42" spans="1:61" ht="14.25" customHeight="1" hidden="1">
      <c r="A42" s="420"/>
      <c r="B42" s="420"/>
      <c r="C42" s="420"/>
      <c r="D42" s="420"/>
      <c r="E42" s="420"/>
      <c r="F42" s="420"/>
      <c r="G42" s="420"/>
      <c r="AL42" s="781">
        <f t="shared" si="14"/>
      </c>
      <c r="BI42" s="12">
        <f t="shared" si="13"/>
      </c>
    </row>
    <row r="43" spans="1:61" ht="15.75" customHeight="1">
      <c r="A43" s="422">
        <f aca="true" t="shared" si="28" ref="A43:B47">H43+J43+L43+N43+P43+R43+T43+V43+X43+Z43+AB43</f>
        <v>0</v>
      </c>
      <c r="B43" s="422">
        <f t="shared" si="28"/>
        <v>0</v>
      </c>
      <c r="C43" s="325">
        <f>A43+B43</f>
        <v>0</v>
      </c>
      <c r="D43" s="421">
        <f>IF(AS43&lt;2,,"m. "&amp;AS43)</f>
        <v>0</v>
      </c>
      <c r="E43" s="454">
        <f>IF(OR(AO43&gt;C43/2,AP43&gt;C43/2,AQ43&gt;C43/2),"#",)</f>
        <v>0</v>
      </c>
      <c r="F43" s="468"/>
      <c r="G43" s="456"/>
      <c r="H43" s="457"/>
      <c r="I43" s="473"/>
      <c r="J43" s="460"/>
      <c r="K43" s="458"/>
      <c r="L43" s="457"/>
      <c r="M43" s="458"/>
      <c r="N43" s="457"/>
      <c r="O43" s="458"/>
      <c r="P43" s="457"/>
      <c r="Q43" s="473"/>
      <c r="R43" s="460"/>
      <c r="S43" s="458"/>
      <c r="T43" s="457"/>
      <c r="U43" s="458"/>
      <c r="V43" s="457"/>
      <c r="W43" s="458"/>
      <c r="X43" s="457"/>
      <c r="Y43" s="473"/>
      <c r="Z43" s="460"/>
      <c r="AA43" s="458"/>
      <c r="AE43" s="459"/>
      <c r="AF43" s="460"/>
      <c r="AG43" s="460"/>
      <c r="AH43" s="460"/>
      <c r="AI43" s="470"/>
      <c r="AJ43" s="462"/>
      <c r="AK43" s="21">
        <f t="shared" si="15"/>
      </c>
      <c r="AL43" s="781">
        <f t="shared" si="14"/>
      </c>
      <c r="AN43" s="463">
        <f>F43&amp;G43</f>
      </c>
      <c r="AR43" s="475"/>
      <c r="AS43" s="465">
        <f>IF(C43&gt;0,(IF(SUM(H43:I43)&gt;0,1,)+IF(SUM(J43:K43)&gt;0,1,)+IF(SUM(L43:M43)&gt;0,1,)+IF(SUM(N43:O43)&gt;0,1,)+IF(SUM(P43:Q43)&gt;0,1,)+IF(SUM(R43:S43)&gt;0,1,)+IF(SUM(T43:U43)&gt;0,1,)+IF(SUM(V43:W43)&gt;0,1,)+IF(SUM(X43:Y43)&gt;0,1,)+IF(SUM(Z43:AA43)&gt;0,1,)+IF(SUM(AB43:AC43)&gt;0,1,)),)</f>
        <v>0</v>
      </c>
      <c r="AT43" s="441">
        <f>IF(C43&gt;0,AU43+AV43,)</f>
        <v>0</v>
      </c>
      <c r="AU43" s="466">
        <f>IF(SUM(Z43:AC43)&gt;0,9,IF(SUM(X43:Y43)&gt;0,8,IF(SUM(V43:W43)&gt;0,7,IF(SUM(T43:U43)&gt;0,6,IF(SUM(R43:S43)&gt;0,5,)))))</f>
        <v>0</v>
      </c>
      <c r="AV43" s="466" t="str">
        <f>IF(AU43&gt;0,0,IF(SUM(P43:Q43)&gt;0,4,IF(SUM(N43:O43)&gt;0,3,IF(SUM(L43:M43)&gt;0,2,IF(SUM(J43:K43)&gt;0,1,"0")))))</f>
        <v>0</v>
      </c>
      <c r="AW43" s="430">
        <f aca="true" t="shared" si="29" ref="AW43:BG47">IF($AT43=AW$19,$AH43,)</f>
        <v>0</v>
      </c>
      <c r="AX43" s="430">
        <f t="shared" si="29"/>
        <v>0</v>
      </c>
      <c r="AY43" s="430">
        <f t="shared" si="29"/>
        <v>0</v>
      </c>
      <c r="AZ43" s="430">
        <f t="shared" si="29"/>
        <v>0</v>
      </c>
      <c r="BA43" s="430">
        <f t="shared" si="29"/>
        <v>0</v>
      </c>
      <c r="BB43" s="430">
        <f t="shared" si="29"/>
        <v>0</v>
      </c>
      <c r="BC43" s="430">
        <f t="shared" si="29"/>
        <v>0</v>
      </c>
      <c r="BD43" s="430">
        <f t="shared" si="29"/>
        <v>0</v>
      </c>
      <c r="BE43" s="430">
        <f t="shared" si="29"/>
        <v>0</v>
      </c>
      <c r="BF43" s="430">
        <f t="shared" si="29"/>
        <v>0</v>
      </c>
      <c r="BG43" s="430">
        <f t="shared" si="29"/>
        <v>0</v>
      </c>
      <c r="BH43" s="441">
        <f>IF(AND(AI43&gt;=C43/2,C43&gt;0),1,)</f>
        <v>0</v>
      </c>
      <c r="BI43" s="12">
        <f t="shared" si="13"/>
      </c>
    </row>
    <row r="44" spans="1:61" ht="15.75" customHeight="1">
      <c r="A44" s="422">
        <f t="shared" si="28"/>
        <v>0</v>
      </c>
      <c r="B44" s="422">
        <f t="shared" si="28"/>
        <v>0</v>
      </c>
      <c r="C44" s="325">
        <f>A44+B44</f>
        <v>0</v>
      </c>
      <c r="D44" s="421">
        <f>IF(AS44&lt;2,,"m. "&amp;AS44)</f>
        <v>0</v>
      </c>
      <c r="E44" s="454">
        <f>IF(OR(AO44&gt;C44/2,AP44&gt;C44/2,AQ44&gt;C44/2),"#",)</f>
        <v>0</v>
      </c>
      <c r="F44" s="468"/>
      <c r="G44" s="456"/>
      <c r="H44" s="457"/>
      <c r="I44" s="473"/>
      <c r="J44" s="460"/>
      <c r="K44" s="458"/>
      <c r="L44" s="457"/>
      <c r="M44" s="458"/>
      <c r="N44" s="457"/>
      <c r="O44" s="458"/>
      <c r="P44" s="457"/>
      <c r="Q44" s="473"/>
      <c r="R44" s="460"/>
      <c r="S44" s="458"/>
      <c r="T44" s="457"/>
      <c r="U44" s="458"/>
      <c r="V44" s="457"/>
      <c r="W44" s="458"/>
      <c r="X44" s="457"/>
      <c r="Y44" s="473"/>
      <c r="Z44" s="460"/>
      <c r="AA44" s="458"/>
      <c r="AE44" s="459"/>
      <c r="AF44" s="460"/>
      <c r="AG44" s="460"/>
      <c r="AH44" s="460"/>
      <c r="AI44" s="470"/>
      <c r="AJ44" s="462"/>
      <c r="AK44" s="21">
        <f t="shared" si="15"/>
      </c>
      <c r="AL44" s="781">
        <f t="shared" si="14"/>
      </c>
      <c r="AN44" s="463">
        <f>F44&amp;G44</f>
      </c>
      <c r="AR44" s="475"/>
      <c r="AS44" s="465">
        <f>IF(C44&gt;0,(IF(SUM(H44:I44)&gt;0,1,)+IF(SUM(J44:K44)&gt;0,1,)+IF(SUM(L44:M44)&gt;0,1,)+IF(SUM(N44:O44)&gt;0,1,)+IF(SUM(P44:Q44)&gt;0,1,)+IF(SUM(R44:S44)&gt;0,1,)+IF(SUM(T44:U44)&gt;0,1,)+IF(SUM(V44:W44)&gt;0,1,)+IF(SUM(X44:Y44)&gt;0,1,)+IF(SUM(Z44:AA44)&gt;0,1,)+IF(SUM(AB44:AC44)&gt;0,1,)),)</f>
        <v>0</v>
      </c>
      <c r="AT44" s="441">
        <f>IF(C44&gt;0,AU44+AV44,)</f>
        <v>0</v>
      </c>
      <c r="AU44" s="466">
        <f>IF(SUM(Z44:AC44)&gt;0,9,IF(SUM(X44:Y44)&gt;0,8,IF(SUM(V44:W44)&gt;0,7,IF(SUM(T44:U44)&gt;0,6,IF(SUM(R44:S44)&gt;0,5,)))))</f>
        <v>0</v>
      </c>
      <c r="AV44" s="466" t="str">
        <f>IF(AU44&gt;0,0,IF(SUM(P44:Q44)&gt;0,4,IF(SUM(N44:O44)&gt;0,3,IF(SUM(L44:M44)&gt;0,2,IF(SUM(J44:K44)&gt;0,1,"0")))))</f>
        <v>0</v>
      </c>
      <c r="AW44" s="430">
        <f t="shared" si="29"/>
        <v>0</v>
      </c>
      <c r="AX44" s="430">
        <f t="shared" si="29"/>
        <v>0</v>
      </c>
      <c r="AY44" s="430">
        <f t="shared" si="29"/>
        <v>0</v>
      </c>
      <c r="AZ44" s="430">
        <f t="shared" si="29"/>
        <v>0</v>
      </c>
      <c r="BA44" s="430">
        <f t="shared" si="29"/>
        <v>0</v>
      </c>
      <c r="BB44" s="430">
        <f t="shared" si="29"/>
        <v>0</v>
      </c>
      <c r="BC44" s="430">
        <f t="shared" si="29"/>
        <v>0</v>
      </c>
      <c r="BD44" s="430">
        <f t="shared" si="29"/>
        <v>0</v>
      </c>
      <c r="BE44" s="430">
        <f t="shared" si="29"/>
        <v>0</v>
      </c>
      <c r="BF44" s="430">
        <f t="shared" si="29"/>
        <v>0</v>
      </c>
      <c r="BG44" s="430">
        <f t="shared" si="29"/>
        <v>0</v>
      </c>
      <c r="BH44" s="441">
        <f>IF(AND(AI44&gt;=C44/2,C44&gt;0),1,)</f>
        <v>0</v>
      </c>
      <c r="BI44" s="12">
        <f t="shared" si="13"/>
      </c>
    </row>
    <row r="45" spans="1:61" ht="15.75" customHeight="1">
      <c r="A45" s="422">
        <f t="shared" si="28"/>
        <v>0</v>
      </c>
      <c r="B45" s="422">
        <f t="shared" si="28"/>
        <v>0</v>
      </c>
      <c r="C45" s="325">
        <f>A45+B45</f>
        <v>0</v>
      </c>
      <c r="D45" s="421">
        <f>IF(AS45&lt;2,,"m. "&amp;AS45)</f>
        <v>0</v>
      </c>
      <c r="E45" s="454">
        <f>IF(OR(AO45&gt;C45/2,AP45&gt;C45/2,AQ45&gt;C45/2),"#",)</f>
        <v>0</v>
      </c>
      <c r="F45" s="468"/>
      <c r="G45" s="456"/>
      <c r="H45" s="457"/>
      <c r="I45" s="473"/>
      <c r="J45" s="460"/>
      <c r="K45" s="458"/>
      <c r="L45" s="457"/>
      <c r="M45" s="458"/>
      <c r="N45" s="457"/>
      <c r="O45" s="458"/>
      <c r="P45" s="457"/>
      <c r="Q45" s="473"/>
      <c r="R45" s="460"/>
      <c r="S45" s="458"/>
      <c r="T45" s="457"/>
      <c r="U45" s="458"/>
      <c r="V45" s="457"/>
      <c r="W45" s="458"/>
      <c r="X45" s="457"/>
      <c r="Y45" s="473"/>
      <c r="Z45" s="460"/>
      <c r="AA45" s="458"/>
      <c r="AE45" s="459"/>
      <c r="AF45" s="460"/>
      <c r="AG45" s="460"/>
      <c r="AH45" s="460"/>
      <c r="AI45" s="470"/>
      <c r="AJ45" s="462"/>
      <c r="AK45" s="21">
        <f t="shared" si="15"/>
      </c>
      <c r="AL45" s="781">
        <f t="shared" si="14"/>
      </c>
      <c r="AN45" s="463">
        <f>F45&amp;G45</f>
      </c>
      <c r="AR45" s="475"/>
      <c r="AS45" s="465">
        <f>IF(C45&gt;0,(IF(SUM(H45:I45)&gt;0,1,)+IF(SUM(J45:K45)&gt;0,1,)+IF(SUM(L45:M45)&gt;0,1,)+IF(SUM(N45:O45)&gt;0,1,)+IF(SUM(P45:Q45)&gt;0,1,)+IF(SUM(R45:S45)&gt;0,1,)+IF(SUM(T45:U45)&gt;0,1,)+IF(SUM(V45:W45)&gt;0,1,)+IF(SUM(X45:Y45)&gt;0,1,)+IF(SUM(Z45:AA45)&gt;0,1,)+IF(SUM(AB45:AC45)&gt;0,1,)),)</f>
        <v>0</v>
      </c>
      <c r="AT45" s="441">
        <f>IF(C45&gt;0,AU45+AV45,)</f>
        <v>0</v>
      </c>
      <c r="AU45" s="466">
        <f>IF(SUM(Z45:AC45)&gt;0,9,IF(SUM(X45:Y45)&gt;0,8,IF(SUM(V45:W45)&gt;0,7,IF(SUM(T45:U45)&gt;0,6,IF(SUM(R45:S45)&gt;0,5,)))))</f>
        <v>0</v>
      </c>
      <c r="AV45" s="466" t="str">
        <f>IF(AU45&gt;0,0,IF(SUM(P45:Q45)&gt;0,4,IF(SUM(N45:O45)&gt;0,3,IF(SUM(L45:M45)&gt;0,2,IF(SUM(J45:K45)&gt;0,1,"0")))))</f>
        <v>0</v>
      </c>
      <c r="AW45" s="430">
        <f t="shared" si="29"/>
        <v>0</v>
      </c>
      <c r="AX45" s="430">
        <f t="shared" si="29"/>
        <v>0</v>
      </c>
      <c r="AY45" s="430">
        <f t="shared" si="29"/>
        <v>0</v>
      </c>
      <c r="AZ45" s="430">
        <f t="shared" si="29"/>
        <v>0</v>
      </c>
      <c r="BA45" s="430">
        <f t="shared" si="29"/>
        <v>0</v>
      </c>
      <c r="BB45" s="430">
        <f t="shared" si="29"/>
        <v>0</v>
      </c>
      <c r="BC45" s="430">
        <f t="shared" si="29"/>
        <v>0</v>
      </c>
      <c r="BD45" s="430">
        <f t="shared" si="29"/>
        <v>0</v>
      </c>
      <c r="BE45" s="430">
        <f t="shared" si="29"/>
        <v>0</v>
      </c>
      <c r="BF45" s="430">
        <f t="shared" si="29"/>
        <v>0</v>
      </c>
      <c r="BG45" s="430">
        <f t="shared" si="29"/>
        <v>0</v>
      </c>
      <c r="BH45" s="441">
        <f>IF(AND(AI45&gt;=C45/2,C45&gt;0),1,)</f>
        <v>0</v>
      </c>
      <c r="BI45" s="12">
        <f t="shared" si="13"/>
      </c>
    </row>
    <row r="46" spans="1:61" ht="15.75" customHeight="1">
      <c r="A46" s="422">
        <f t="shared" si="28"/>
        <v>0</v>
      </c>
      <c r="B46" s="422">
        <f t="shared" si="28"/>
        <v>0</v>
      </c>
      <c r="C46" s="325">
        <f>A46+B46</f>
        <v>0</v>
      </c>
      <c r="D46" s="421">
        <f>IF(AS46&lt;2,,"m. "&amp;AS46)</f>
        <v>0</v>
      </c>
      <c r="E46" s="454">
        <f>IF(OR(AO46&gt;C46/2,AP46&gt;C46/2,AQ46&gt;C46/2),"#",)</f>
        <v>0</v>
      </c>
      <c r="F46" s="468"/>
      <c r="G46" s="456"/>
      <c r="H46" s="457"/>
      <c r="I46" s="473"/>
      <c r="J46" s="460"/>
      <c r="K46" s="458"/>
      <c r="L46" s="457"/>
      <c r="M46" s="458"/>
      <c r="N46" s="457"/>
      <c r="O46" s="458"/>
      <c r="P46" s="457"/>
      <c r="Q46" s="473"/>
      <c r="R46" s="460"/>
      <c r="S46" s="458"/>
      <c r="T46" s="457"/>
      <c r="U46" s="458"/>
      <c r="V46" s="457"/>
      <c r="W46" s="458"/>
      <c r="X46" s="457"/>
      <c r="Y46" s="473"/>
      <c r="Z46" s="460"/>
      <c r="AA46" s="458"/>
      <c r="AE46" s="459"/>
      <c r="AF46" s="460"/>
      <c r="AG46" s="460"/>
      <c r="AH46" s="460"/>
      <c r="AI46" s="470"/>
      <c r="AJ46" s="462"/>
      <c r="AK46" s="21">
        <f t="shared" si="15"/>
      </c>
      <c r="AL46" s="781">
        <f t="shared" si="14"/>
      </c>
      <c r="AN46" s="463">
        <f>F46&amp;G46</f>
      </c>
      <c r="AR46" s="475"/>
      <c r="AS46" s="465">
        <f>IF(C46&gt;0,(IF(SUM(H46:I46)&gt;0,1,)+IF(SUM(J46:K46)&gt;0,1,)+IF(SUM(L46:M46)&gt;0,1,)+IF(SUM(N46:O46)&gt;0,1,)+IF(SUM(P46:Q46)&gt;0,1,)+IF(SUM(R46:S46)&gt;0,1,)+IF(SUM(T46:U46)&gt;0,1,)+IF(SUM(V46:W46)&gt;0,1,)+IF(SUM(X46:Y46)&gt;0,1,)+IF(SUM(Z46:AA46)&gt;0,1,)+IF(SUM(AB46:AC46)&gt;0,1,)),)</f>
        <v>0</v>
      </c>
      <c r="AT46" s="441">
        <f>IF(C46&gt;0,AU46+AV46,)</f>
        <v>0</v>
      </c>
      <c r="AU46" s="466">
        <f>IF(SUM(Z46:AC46)&gt;0,9,IF(SUM(X46:Y46)&gt;0,8,IF(SUM(V46:W46)&gt;0,7,IF(SUM(T46:U46)&gt;0,6,IF(SUM(R46:S46)&gt;0,5,)))))</f>
        <v>0</v>
      </c>
      <c r="AV46" s="466" t="str">
        <f>IF(AU46&gt;0,0,IF(SUM(P46:Q46)&gt;0,4,IF(SUM(N46:O46)&gt;0,3,IF(SUM(L46:M46)&gt;0,2,IF(SUM(J46:K46)&gt;0,1,"0")))))</f>
        <v>0</v>
      </c>
      <c r="AW46" s="430">
        <f t="shared" si="29"/>
        <v>0</v>
      </c>
      <c r="AX46" s="430">
        <f t="shared" si="29"/>
        <v>0</v>
      </c>
      <c r="AY46" s="430">
        <f t="shared" si="29"/>
        <v>0</v>
      </c>
      <c r="AZ46" s="430">
        <f t="shared" si="29"/>
        <v>0</v>
      </c>
      <c r="BA46" s="430">
        <f t="shared" si="29"/>
        <v>0</v>
      </c>
      <c r="BB46" s="430">
        <f t="shared" si="29"/>
        <v>0</v>
      </c>
      <c r="BC46" s="430">
        <f t="shared" si="29"/>
        <v>0</v>
      </c>
      <c r="BD46" s="430">
        <f t="shared" si="29"/>
        <v>0</v>
      </c>
      <c r="BE46" s="430">
        <f t="shared" si="29"/>
        <v>0</v>
      </c>
      <c r="BF46" s="430">
        <f t="shared" si="29"/>
        <v>0</v>
      </c>
      <c r="BG46" s="430">
        <f t="shared" si="29"/>
        <v>0</v>
      </c>
      <c r="BH46" s="441">
        <f>IF(AND(AI46&gt;=C46/2,C46&gt;0),1,)</f>
        <v>0</v>
      </c>
      <c r="BI46" s="12">
        <f t="shared" si="13"/>
      </c>
    </row>
    <row r="47" spans="1:61" ht="17.25" customHeight="1">
      <c r="A47" s="422">
        <f t="shared" si="28"/>
        <v>0</v>
      </c>
      <c r="B47" s="422">
        <f t="shared" si="28"/>
        <v>0</v>
      </c>
      <c r="C47" s="325">
        <f>A47+B47</f>
        <v>0</v>
      </c>
      <c r="D47" s="421">
        <f>IF(AS47&lt;2,,"m. "&amp;AS47)</f>
        <v>0</v>
      </c>
      <c r="E47" s="454">
        <f>IF(OR(AO47&gt;C47/2,AP47&gt;C47/2,AQ47&gt;C47/2),"#",)</f>
        <v>0</v>
      </c>
      <c r="F47" s="468"/>
      <c r="G47" s="456"/>
      <c r="H47" s="457"/>
      <c r="I47" s="473"/>
      <c r="J47" s="460"/>
      <c r="K47" s="458"/>
      <c r="L47" s="457"/>
      <c r="M47" s="458"/>
      <c r="N47" s="457"/>
      <c r="O47" s="458"/>
      <c r="P47" s="457"/>
      <c r="Q47" s="473">
        <v>0</v>
      </c>
      <c r="R47" s="460"/>
      <c r="S47" s="458"/>
      <c r="T47" s="457"/>
      <c r="U47" s="458"/>
      <c r="V47" s="457"/>
      <c r="W47" s="458"/>
      <c r="X47" s="457"/>
      <c r="Y47" s="473"/>
      <c r="Z47" s="460"/>
      <c r="AA47" s="458"/>
      <c r="AE47" s="459"/>
      <c r="AF47" s="460"/>
      <c r="AG47" s="460"/>
      <c r="AH47" s="460"/>
      <c r="AI47" s="470"/>
      <c r="AJ47" s="462"/>
      <c r="AK47" s="21">
        <f t="shared" si="15"/>
      </c>
      <c r="AL47" s="781">
        <f t="shared" si="14"/>
      </c>
      <c r="AN47" s="463">
        <f>F47&amp;G47</f>
      </c>
      <c r="AR47" s="475"/>
      <c r="AS47" s="465">
        <f>IF(C47&gt;0,(IF(SUM(H47:I47)&gt;0,1,)+IF(SUM(J47:K47)&gt;0,1,)+IF(SUM(L47:M47)&gt;0,1,)+IF(SUM(N47:O47)&gt;0,1,)+IF(SUM(P47:Q47)&gt;0,1,)+IF(SUM(R47:S47)&gt;0,1,)+IF(SUM(T47:U47)&gt;0,1,)+IF(SUM(V47:W47)&gt;0,1,)+IF(SUM(X47:Y47)&gt;0,1,)+IF(SUM(Z47:AA47)&gt;0,1,)+IF(SUM(AB47:AC47)&gt;0,1,)),)</f>
        <v>0</v>
      </c>
      <c r="AT47" s="441">
        <f>IF(C47&gt;0,AU47+AV47,)</f>
        <v>0</v>
      </c>
      <c r="AU47" s="466">
        <f>IF(SUM(Z47:AC47)&gt;0,9,IF(SUM(X47:Y47)&gt;0,8,IF(SUM(V47:W47)&gt;0,7,IF(SUM(T47:U47)&gt;0,6,IF(SUM(R47:S47)&gt;0,5,)))))</f>
        <v>0</v>
      </c>
      <c r="AV47" s="466" t="str">
        <f>IF(AU47&gt;0,0,IF(SUM(P47:Q47)&gt;0,4,IF(SUM(N47:O47)&gt;0,3,IF(SUM(L47:M47)&gt;0,2,IF(SUM(J47:K47)&gt;0,1,"0")))))</f>
        <v>0</v>
      </c>
      <c r="AW47" s="430">
        <f t="shared" si="29"/>
        <v>0</v>
      </c>
      <c r="AX47" s="430">
        <f t="shared" si="29"/>
        <v>0</v>
      </c>
      <c r="AY47" s="430">
        <f t="shared" si="29"/>
        <v>0</v>
      </c>
      <c r="AZ47" s="430">
        <f t="shared" si="29"/>
        <v>0</v>
      </c>
      <c r="BA47" s="430">
        <f t="shared" si="29"/>
        <v>0</v>
      </c>
      <c r="BB47" s="430">
        <f t="shared" si="29"/>
        <v>0</v>
      </c>
      <c r="BC47" s="430">
        <f t="shared" si="29"/>
        <v>0</v>
      </c>
      <c r="BD47" s="430">
        <f t="shared" si="29"/>
        <v>0</v>
      </c>
      <c r="BE47" s="430">
        <f t="shared" si="29"/>
        <v>0</v>
      </c>
      <c r="BF47" s="430">
        <f t="shared" si="29"/>
        <v>0</v>
      </c>
      <c r="BG47" s="430">
        <f t="shared" si="29"/>
        <v>0</v>
      </c>
      <c r="BH47" s="441">
        <f>IF(AND(AI47&gt;=C47/2,C47&gt;0),1,)</f>
        <v>0</v>
      </c>
      <c r="BI47" s="12">
        <f t="shared" si="13"/>
      </c>
    </row>
    <row r="48" spans="40:60" ht="20.25">
      <c r="AN48" s="476" t="str">
        <f>Einleitung!B6</f>
        <v>ASO  . . .</v>
      </c>
      <c r="AR48" s="26"/>
      <c r="AS48" s="420"/>
      <c r="AT48" s="420"/>
      <c r="AU48" s="420"/>
      <c r="AV48" s="420"/>
      <c r="AW48" s="420"/>
      <c r="AX48" s="420"/>
      <c r="AY48" s="420"/>
      <c r="AZ48" s="420"/>
      <c r="BA48" s="420"/>
      <c r="BB48" s="420"/>
      <c r="BC48" s="420"/>
      <c r="BD48" s="420"/>
      <c r="BE48" s="420"/>
      <c r="BF48" s="420"/>
      <c r="BG48" s="420"/>
      <c r="BH48" s="420"/>
    </row>
    <row r="49" spans="28:60" ht="15" hidden="1">
      <c r="AB49" s="457"/>
      <c r="AC49" s="458"/>
      <c r="AO49" s="477"/>
      <c r="AP49" s="478"/>
      <c r="AQ49" s="479"/>
      <c r="AR49" s="475"/>
      <c r="AS49" s="465"/>
      <c r="AT49" s="441"/>
      <c r="AU49" s="466"/>
      <c r="AV49" s="466"/>
      <c r="AW49" s="430"/>
      <c r="AX49" s="430"/>
      <c r="AY49" s="430"/>
      <c r="AZ49" s="430"/>
      <c r="BA49" s="430"/>
      <c r="BB49" s="430"/>
      <c r="BC49" s="430"/>
      <c r="BD49" s="430"/>
      <c r="BE49" s="430"/>
      <c r="BF49" s="430"/>
      <c r="BG49" s="430"/>
      <c r="BH49" s="441"/>
    </row>
    <row r="50" ht="3.75" customHeight="1" hidden="1"/>
    <row r="51" spans="1:67" s="559" customFormat="1" ht="14.25" hidden="1">
      <c r="A51" s="555"/>
      <c r="B51" s="555"/>
      <c r="C51" s="555">
        <v>999</v>
      </c>
      <c r="D51" s="556"/>
      <c r="E51" s="557"/>
      <c r="F51" s="546"/>
      <c r="G51" s="546"/>
      <c r="H51" s="555">
        <f>BH16</f>
        <v>0</v>
      </c>
      <c r="I51" s="556"/>
      <c r="J51" s="556"/>
      <c r="K51" s="556"/>
      <c r="L51" s="557"/>
      <c r="M51" s="600"/>
      <c r="N51" s="600"/>
      <c r="O51" s="600"/>
      <c r="P51" s="557"/>
      <c r="Q51" s="600"/>
      <c r="R51" s="557"/>
      <c r="S51" s="557"/>
      <c r="T51" s="557"/>
      <c r="U51" s="557"/>
      <c r="V51" s="600"/>
      <c r="W51" s="600"/>
      <c r="X51" s="600"/>
      <c r="Y51" s="557"/>
      <c r="Z51" s="557"/>
      <c r="AA51" s="557"/>
      <c r="AB51" s="558"/>
      <c r="AC51" s="558"/>
      <c r="AD51" s="546"/>
      <c r="AE51" s="555">
        <f>AE52</f>
        <v>0</v>
      </c>
      <c r="AF51" s="600"/>
      <c r="AG51" s="652">
        <f>AG14</f>
        <v>0</v>
      </c>
      <c r="AH51" s="600"/>
      <c r="AI51" s="555" t="e">
        <f ca="1">IF(INDIRECT("Seit_1!u49")&gt;7,1,)</f>
        <v>#REF!</v>
      </c>
      <c r="AJ51" s="747">
        <f>GTS!AJ7</f>
        <v>0</v>
      </c>
      <c r="AK51" s="648">
        <f>AK18</f>
        <v>0</v>
      </c>
      <c r="AL51" s="748" t="e">
        <f ca="1">IF(AI52&lt;&gt;1,20-2-(INDIRECT("Seit_1!u49")*1.5),0)</f>
        <v>#REF!</v>
      </c>
      <c r="AM51" s="652">
        <f>GTS!AJ24</f>
        <v>0</v>
      </c>
      <c r="AN51" s="652">
        <f>GTS!AK24</f>
        <v>0</v>
      </c>
      <c r="AO51" s="545">
        <f>GTS!A27</f>
        <v>0</v>
      </c>
      <c r="AP51" s="648">
        <f>GTS!C6+AK18</f>
        <v>0</v>
      </c>
      <c r="AQ51" s="648">
        <f>GTS!AC26</f>
        <v>0</v>
      </c>
      <c r="AR51" s="560" t="e">
        <f>S52</f>
        <v>#REF!</v>
      </c>
      <c r="AS51" s="648">
        <f>GTS!P29</f>
        <v>0</v>
      </c>
      <c r="AT51" s="648">
        <f>GTS!AC31</f>
        <v>0</v>
      </c>
      <c r="BJ51" s="648">
        <f>AL18</f>
        <v>0</v>
      </c>
      <c r="BK51" s="747">
        <v>0</v>
      </c>
      <c r="BL51" s="747">
        <v>0</v>
      </c>
      <c r="BM51" s="747">
        <v>0</v>
      </c>
      <c r="BN51" s="747"/>
      <c r="BO51" s="747"/>
    </row>
    <row r="52" spans="1:67" ht="14.25" hidden="1">
      <c r="A52" s="545"/>
      <c r="B52" s="545"/>
      <c r="C52" s="545">
        <v>888</v>
      </c>
      <c r="D52" s="546"/>
      <c r="E52" s="546"/>
      <c r="F52" s="546"/>
      <c r="G52" s="546"/>
      <c r="H52" s="546"/>
      <c r="I52" s="556"/>
      <c r="J52" s="556"/>
      <c r="K52" s="545" t="e">
        <f ca="1">INDIRECT("Seit_1!j80")</f>
        <v>#REF!</v>
      </c>
      <c r="L52" s="545" t="e">
        <f ca="1">INDIRECT("Seit_1!j83")</f>
        <v>#REF!</v>
      </c>
      <c r="M52" s="545" t="e">
        <f ca="1">INDIRECT("Seit_1!h82")</f>
        <v>#REF!</v>
      </c>
      <c r="N52" s="600"/>
      <c r="O52" s="545" t="e">
        <f>S52</f>
        <v>#REF!</v>
      </c>
      <c r="P52" s="546"/>
      <c r="Q52" s="545" t="e">
        <f ca="1">INDIRECT("Seit_1!W80")</f>
        <v>#REF!</v>
      </c>
      <c r="R52" s="600"/>
      <c r="S52" s="547" t="e">
        <f ca="1">INDIRECT("Seit_1!t49")</f>
        <v>#REF!</v>
      </c>
      <c r="T52" s="600"/>
      <c r="U52" s="600"/>
      <c r="V52" s="600"/>
      <c r="W52" s="600"/>
      <c r="X52" s="600"/>
      <c r="Y52" s="545" t="e">
        <f ca="1">INDIRECT("Seit_1!i78")</f>
        <v>#REF!</v>
      </c>
      <c r="Z52" s="545" t="e">
        <f ca="1">INDIRECT("Seit_1!j78")</f>
        <v>#REF!</v>
      </c>
      <c r="AA52" s="547" t="e">
        <f ca="1">INDIRECT("Seit_1!L78")</f>
        <v>#REF!</v>
      </c>
      <c r="AB52" s="548"/>
      <c r="AC52" s="548"/>
      <c r="AD52" s="546"/>
      <c r="AE52" s="545">
        <f>IF(AE14&gt;0,CEILING(AE14*0.18,0.5),)</f>
        <v>0</v>
      </c>
      <c r="AF52" s="600"/>
      <c r="AG52" s="653">
        <f>AG14</f>
        <v>0</v>
      </c>
      <c r="AH52" s="600"/>
      <c r="AI52" s="545" t="e">
        <f ca="1">IF(INDIRECT("Seit_1!u49")&gt;7,1,)</f>
        <v>#REF!</v>
      </c>
      <c r="AJ52" s="749">
        <f>GTS!AJ7</f>
        <v>0</v>
      </c>
      <c r="AK52" s="649">
        <f>AK18</f>
        <v>0</v>
      </c>
      <c r="AL52" s="750" t="e">
        <f ca="1">IF(AI52&lt;&gt;1,20-2-(INDIRECT("Seit_1!u49")*1.5),0)</f>
        <v>#REF!</v>
      </c>
      <c r="AM52" s="653">
        <f>GTS!AJ24</f>
        <v>0</v>
      </c>
      <c r="AN52" s="653">
        <f>GTS!AK24</f>
        <v>0</v>
      </c>
      <c r="AO52" s="653">
        <f>GTS!A27</f>
        <v>0</v>
      </c>
      <c r="AP52" s="649">
        <f>GTS!C6+AK18</f>
        <v>0</v>
      </c>
      <c r="AQ52" s="649">
        <f>GTS!AC26</f>
        <v>0</v>
      </c>
      <c r="AR52" s="547" t="e">
        <f>S52</f>
        <v>#REF!</v>
      </c>
      <c r="AS52" s="649">
        <f>GTS!P29</f>
        <v>0</v>
      </c>
      <c r="AT52" s="649">
        <f>GTS!AC31</f>
        <v>0</v>
      </c>
      <c r="BI52" t="str">
        <f>IF(ISTEXT(Bed_3!A31),Bed_3!A31," ")</f>
        <v> </v>
      </c>
      <c r="BJ52" s="649">
        <f>AL18</f>
        <v>0</v>
      </c>
      <c r="BK52" s="749">
        <v>0</v>
      </c>
      <c r="BL52" s="747">
        <v>0</v>
      </c>
      <c r="BM52" s="747">
        <v>0</v>
      </c>
      <c r="BN52" s="747"/>
      <c r="BO52" s="747"/>
    </row>
    <row r="53" spans="1:67" s="12" customFormat="1" ht="11.25" hidden="1">
      <c r="A53" s="549" t="s">
        <v>261</v>
      </c>
      <c r="B53" s="549"/>
      <c r="C53" s="550" t="s">
        <v>242</v>
      </c>
      <c r="D53" s="549"/>
      <c r="E53" s="598" t="s">
        <v>262</v>
      </c>
      <c r="F53" s="550" t="s">
        <v>243</v>
      </c>
      <c r="G53" s="550" t="s">
        <v>262</v>
      </c>
      <c r="H53" s="598" t="s">
        <v>244</v>
      </c>
      <c r="I53" s="598"/>
      <c r="J53" s="598" t="s">
        <v>301</v>
      </c>
      <c r="K53" s="598" t="s">
        <v>302</v>
      </c>
      <c r="L53" s="598" t="s">
        <v>303</v>
      </c>
      <c r="M53" s="598" t="s">
        <v>304</v>
      </c>
      <c r="N53" s="598" t="s">
        <v>305</v>
      </c>
      <c r="O53" s="598" t="s">
        <v>306</v>
      </c>
      <c r="P53" s="598" t="s">
        <v>307</v>
      </c>
      <c r="Q53" s="598" t="s">
        <v>308</v>
      </c>
      <c r="R53" s="598" t="s">
        <v>309</v>
      </c>
      <c r="S53" s="598" t="s">
        <v>310</v>
      </c>
      <c r="T53" s="598" t="s">
        <v>311</v>
      </c>
      <c r="U53" s="598" t="s">
        <v>312</v>
      </c>
      <c r="V53" s="598" t="s">
        <v>313</v>
      </c>
      <c r="W53" s="599" t="s">
        <v>245</v>
      </c>
      <c r="X53" s="599" t="s">
        <v>246</v>
      </c>
      <c r="Y53" s="598" t="s">
        <v>314</v>
      </c>
      <c r="Z53" s="598" t="s">
        <v>317</v>
      </c>
      <c r="AA53" s="598"/>
      <c r="AB53" s="598"/>
      <c r="AC53" s="598"/>
      <c r="AD53" s="598"/>
      <c r="AE53" s="550" t="s">
        <v>247</v>
      </c>
      <c r="AF53" s="550" t="s">
        <v>248</v>
      </c>
      <c r="AG53" s="598" t="s">
        <v>334</v>
      </c>
      <c r="AH53" s="550" t="s">
        <v>249</v>
      </c>
      <c r="AI53" s="550" t="s">
        <v>263</v>
      </c>
      <c r="AJ53" s="751" t="s">
        <v>353</v>
      </c>
      <c r="AK53" s="751" t="s">
        <v>354</v>
      </c>
      <c r="AL53" s="598" t="s">
        <v>264</v>
      </c>
      <c r="AM53" s="598" t="s">
        <v>265</v>
      </c>
      <c r="AN53" s="598" t="s">
        <v>266</v>
      </c>
      <c r="AO53" s="598" t="s">
        <v>250</v>
      </c>
      <c r="AP53" s="598" t="s">
        <v>251</v>
      </c>
      <c r="AQ53" s="598" t="s">
        <v>252</v>
      </c>
      <c r="AR53" s="550" t="s">
        <v>166</v>
      </c>
      <c r="AS53" s="751" t="s">
        <v>354</v>
      </c>
      <c r="AT53" s="751" t="s">
        <v>363</v>
      </c>
      <c r="BJ53" s="598" t="s">
        <v>330</v>
      </c>
      <c r="BK53" s="598" t="s">
        <v>331</v>
      </c>
      <c r="BL53" s="598" t="s">
        <v>379</v>
      </c>
      <c r="BM53" s="598" t="s">
        <v>380</v>
      </c>
      <c r="BN53" s="598"/>
      <c r="BO53" s="598"/>
    </row>
    <row r="54" spans="1:67" s="554" customFormat="1" ht="74.25" customHeight="1" hidden="1">
      <c r="A54" s="551" t="s">
        <v>267</v>
      </c>
      <c r="B54" s="552"/>
      <c r="C54" s="552"/>
      <c r="D54" s="552"/>
      <c r="E54" s="553"/>
      <c r="F54" s="553" t="s">
        <v>268</v>
      </c>
      <c r="G54" s="553"/>
      <c r="H54" s="552" t="s">
        <v>316</v>
      </c>
      <c r="I54" s="553"/>
      <c r="J54" s="553"/>
      <c r="K54" s="553" t="s">
        <v>269</v>
      </c>
      <c r="L54" s="553" t="s">
        <v>270</v>
      </c>
      <c r="M54" s="553" t="s">
        <v>271</v>
      </c>
      <c r="N54" s="553"/>
      <c r="O54" s="553" t="s">
        <v>315</v>
      </c>
      <c r="P54" s="553"/>
      <c r="Q54" s="553" t="s">
        <v>272</v>
      </c>
      <c r="R54" s="553"/>
      <c r="S54" s="553" t="s">
        <v>273</v>
      </c>
      <c r="T54" s="553" t="s">
        <v>274</v>
      </c>
      <c r="U54" s="553"/>
      <c r="V54" s="553"/>
      <c r="W54" s="553"/>
      <c r="X54" s="553"/>
      <c r="Y54" s="553" t="s">
        <v>275</v>
      </c>
      <c r="Z54" s="553" t="s">
        <v>276</v>
      </c>
      <c r="AA54" s="553" t="s">
        <v>277</v>
      </c>
      <c r="AB54" s="553"/>
      <c r="AC54" s="553"/>
      <c r="AD54" s="553"/>
      <c r="AE54" s="553" t="s">
        <v>278</v>
      </c>
      <c r="AF54" s="553" t="s">
        <v>279</v>
      </c>
      <c r="AG54" s="650" t="s">
        <v>336</v>
      </c>
      <c r="AH54" s="553"/>
      <c r="AI54" s="553" t="s">
        <v>280</v>
      </c>
      <c r="AJ54" s="752" t="s">
        <v>355</v>
      </c>
      <c r="AK54" s="752" t="s">
        <v>356</v>
      </c>
      <c r="AL54" s="650" t="s">
        <v>281</v>
      </c>
      <c r="AM54" s="650" t="s">
        <v>265</v>
      </c>
      <c r="AN54" s="650" t="s">
        <v>266</v>
      </c>
      <c r="AO54" s="650" t="s">
        <v>282</v>
      </c>
      <c r="AP54" s="650" t="s">
        <v>283</v>
      </c>
      <c r="AQ54" s="650" t="s">
        <v>284</v>
      </c>
      <c r="AR54" s="553" t="s">
        <v>166</v>
      </c>
      <c r="AS54" s="752" t="s">
        <v>364</v>
      </c>
      <c r="AT54" s="752" t="s">
        <v>365</v>
      </c>
      <c r="BJ54" s="650" t="s">
        <v>332</v>
      </c>
      <c r="BK54" s="650" t="s">
        <v>333</v>
      </c>
      <c r="BL54" s="650" t="s">
        <v>381</v>
      </c>
      <c r="BM54" s="650" t="s">
        <v>382</v>
      </c>
      <c r="BN54" s="650"/>
      <c r="BO54" s="650"/>
    </row>
    <row r="55" ht="14.25"/>
    <row r="56" ht="14.25" customHeight="1" hidden="1"/>
    <row r="57" ht="14.25" customHeight="1" hidden="1"/>
    <row r="58" ht="14.25" customHeight="1" hidden="1"/>
    <row r="59" ht="14.25" customHeight="1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</sheetData>
  <sheetProtection sheet="1" objects="1" scenarios="1" formatRows="0"/>
  <mergeCells count="26">
    <mergeCell ref="AP17:AP19"/>
    <mergeCell ref="V16:W16"/>
    <mergeCell ref="X16:Y16"/>
    <mergeCell ref="AM15:AM19"/>
    <mergeCell ref="Z16:AA16"/>
    <mergeCell ref="AB16:AC16"/>
    <mergeCell ref="AI14:AI15"/>
    <mergeCell ref="AJ14:AJ19"/>
    <mergeCell ref="F18:G19"/>
    <mergeCell ref="F15:F16"/>
    <mergeCell ref="H16:I16"/>
    <mergeCell ref="J16:K16"/>
    <mergeCell ref="AQ17:AQ19"/>
    <mergeCell ref="AF14:AF15"/>
    <mergeCell ref="AE17:AH18"/>
    <mergeCell ref="AE14:AE15"/>
    <mergeCell ref="AH14:AH15"/>
    <mergeCell ref="AO17:AO19"/>
    <mergeCell ref="H4:I4"/>
    <mergeCell ref="D6:G7"/>
    <mergeCell ref="AG14:AG15"/>
    <mergeCell ref="L16:M16"/>
    <mergeCell ref="T16:U16"/>
    <mergeCell ref="N16:O16"/>
    <mergeCell ref="R16:S16"/>
    <mergeCell ref="P16:Q16"/>
  </mergeCells>
  <conditionalFormatting sqref="J14 H14 L14 N14 P14 R14 T14 V14 X14 Z14 AB14">
    <cfRule type="expression" priority="26" dxfId="189" stopIfTrue="1">
      <formula>H$14&gt;0</formula>
    </cfRule>
  </conditionalFormatting>
  <conditionalFormatting sqref="K14 I14 M14 O14 Q14 S14 U14 W14 Y14 AA14 AC14">
    <cfRule type="expression" priority="27" dxfId="190" stopIfTrue="1">
      <formula>H$14&gt;0</formula>
    </cfRule>
  </conditionalFormatting>
  <conditionalFormatting sqref="AQ49 AO49">
    <cfRule type="cellIs" priority="28" dxfId="186" operator="greaterThan" stopIfTrue="1">
      <formula>$C49/2</formula>
    </cfRule>
  </conditionalFormatting>
  <conditionalFormatting sqref="J43:J47 L43:L47 AB49 N43:N47 P43:P47 R43:R47 T43:T47 V43:V47 X43:X47 Z43:Z47 P23 B43:B47 H43:H47 J22 B22:B26 Z24:Z26 V26 T26 R26 P26 N26 L26 J26 X26 H29:H40 B29:B40 Z29:Z40 X29:X40 V29:V40 T29:T40 R29:R40 P29:P40 N29:N40 L29:L40 J29:J40">
    <cfRule type="expression" priority="29" dxfId="191" stopIfTrue="1">
      <formula>$F22&gt;0</formula>
    </cfRule>
  </conditionalFormatting>
  <conditionalFormatting sqref="AH22:AH26 AH43:AH47 AH29:AH40">
    <cfRule type="expression" priority="30" dxfId="192" stopIfTrue="1">
      <formula>$F22&gt;0</formula>
    </cfRule>
  </conditionalFormatting>
  <conditionalFormatting sqref="AP49">
    <cfRule type="cellIs" priority="31" dxfId="193" operator="greaterThan" stopIfTrue="1">
      <formula>$C49/2</formula>
    </cfRule>
    <cfRule type="expression" priority="32" dxfId="191" stopIfTrue="1">
      <formula>$F49&gt;0</formula>
    </cfRule>
  </conditionalFormatting>
  <conditionalFormatting sqref="R23 H22">
    <cfRule type="expression" priority="33" dxfId="194" stopIfTrue="1">
      <formula>$F22&gt;0</formula>
    </cfRule>
  </conditionalFormatting>
  <conditionalFormatting sqref="S23 I22">
    <cfRule type="expression" priority="34" dxfId="23" stopIfTrue="1">
      <formula>$F22&gt;0</formula>
    </cfRule>
  </conditionalFormatting>
  <conditionalFormatting sqref="B27 Z27 V27 T27 R27 P27 N27 L27 J27 X27">
    <cfRule type="expression" priority="25" dxfId="191" stopIfTrue="1">
      <formula>$F27&gt;0</formula>
    </cfRule>
  </conditionalFormatting>
  <conditionalFormatting sqref="AH27">
    <cfRule type="expression" priority="24" dxfId="192" stopIfTrue="1">
      <formula>$F27&gt;0</formula>
    </cfRule>
  </conditionalFormatting>
  <conditionalFormatting sqref="AI29:AI40 AI43:AI47">
    <cfRule type="expression" priority="23" dxfId="34" stopIfTrue="1">
      <formula>(AI29+AH29)&gt;C29</formula>
    </cfRule>
  </conditionalFormatting>
  <conditionalFormatting sqref="F22">
    <cfRule type="expression" priority="49" dxfId="176" stopIfTrue="1">
      <formula>(IF(C22&gt;0,2,)-COUNTBLANK(F22))=1</formula>
    </cfRule>
  </conditionalFormatting>
  <conditionalFormatting sqref="B10:B12">
    <cfRule type="expression" priority="20" dxfId="191" stopIfTrue="1">
      <formula>$F10&lt;&gt;""</formula>
    </cfRule>
  </conditionalFormatting>
  <conditionalFormatting sqref="H9">
    <cfRule type="expression" priority="19" dxfId="191" stopIfTrue="1">
      <formula>$F9&gt;0</formula>
    </cfRule>
  </conditionalFormatting>
  <conditionalFormatting sqref="H10">
    <cfRule type="expression" priority="18" dxfId="191" stopIfTrue="1">
      <formula>$F10&lt;&gt;""</formula>
    </cfRule>
  </conditionalFormatting>
  <conditionalFormatting sqref="H11:H12">
    <cfRule type="expression" priority="17" dxfId="191" stopIfTrue="1">
      <formula>$F11&lt;&gt;""</formula>
    </cfRule>
  </conditionalFormatting>
  <conditionalFormatting sqref="H4:I4">
    <cfRule type="cellIs" priority="16" dxfId="195" operator="greaterThan" stopIfTrue="1">
      <formula>0</formula>
    </cfRule>
  </conditionalFormatting>
  <conditionalFormatting sqref="A3:D3">
    <cfRule type="expression" priority="15" dxfId="196" stopIfTrue="1">
      <formula>$C$4&gt;0</formula>
    </cfRule>
  </conditionalFormatting>
  <conditionalFormatting sqref="AE10">
    <cfRule type="expression" priority="14" dxfId="197" stopIfTrue="1">
      <formula>$F10&lt;&gt;""</formula>
    </cfRule>
  </conditionalFormatting>
  <conditionalFormatting sqref="AE9">
    <cfRule type="expression" priority="13" dxfId="197" stopIfTrue="1">
      <formula>$F9&lt;&gt;""</formula>
    </cfRule>
  </conditionalFormatting>
  <conditionalFormatting sqref="AE11">
    <cfRule type="expression" priority="12" dxfId="197" stopIfTrue="1">
      <formula>$F11&lt;&gt;""</formula>
    </cfRule>
  </conditionalFormatting>
  <conditionalFormatting sqref="AE12">
    <cfRule type="expression" priority="11" dxfId="197" stopIfTrue="1">
      <formula>$F12&lt;&gt;""</formula>
    </cfRule>
  </conditionalFormatting>
  <conditionalFormatting sqref="AE4">
    <cfRule type="cellIs" priority="10" dxfId="195" operator="greaterThan" stopIfTrue="1">
      <formula>0</formula>
    </cfRule>
  </conditionalFormatting>
  <conditionalFormatting sqref="L1:U1">
    <cfRule type="expression" priority="9" dxfId="164" stopIfTrue="1">
      <formula>$P$1&gt;0</formula>
    </cfRule>
  </conditionalFormatting>
  <conditionalFormatting sqref="AF22:AG26 AF43:AG47 AF29:AG40">
    <cfRule type="expression" priority="8" dxfId="192" stopIfTrue="1">
      <formula>$F22&gt;0</formula>
    </cfRule>
  </conditionalFormatting>
  <conditionalFormatting sqref="AF27:AG27">
    <cfRule type="expression" priority="7" dxfId="192" stopIfTrue="1">
      <formula>$F27&gt;0</formula>
    </cfRule>
  </conditionalFormatting>
  <conditionalFormatting sqref="AF19">
    <cfRule type="expression" priority="5" dxfId="198" stopIfTrue="1">
      <formula>$H$4&gt;=$D$8</formula>
    </cfRule>
  </conditionalFormatting>
  <conditionalFormatting sqref="AJ22:AJ27 AJ29:AJ40 AJ43:AJ47">
    <cfRule type="expression" priority="4" dxfId="191" stopIfTrue="1">
      <formula>$F22&gt;0</formula>
    </cfRule>
  </conditionalFormatting>
  <conditionalFormatting sqref="AJ9:AJ12">
    <cfRule type="expression" priority="3" dxfId="191" stopIfTrue="1">
      <formula>$F9&gt;0</formula>
    </cfRule>
  </conditionalFormatting>
  <conditionalFormatting sqref="AJ4">
    <cfRule type="cellIs" priority="1" dxfId="158" operator="equal" stopIfTrue="1">
      <formula>"N"</formula>
    </cfRule>
  </conditionalFormatting>
  <dataValidations count="9">
    <dataValidation type="whole" allowBlank="1" showInputMessage="1" showErrorMessage="1" sqref="AB49:AC49 AI24:AI27 AO49:AQ49 AE9:AE12 H9:I12 AF27 AJ9:AJ12 AE43:AE47 AE22:AE27 AG22:AH27 AE29:AE40 AJ22:AJ27 AG29:AJ40 AG43:AJ47">
      <formula1>0</formula1>
      <formula2>33</formula2>
    </dataValidation>
    <dataValidation type="whole" allowBlank="1" showInputMessage="1" showErrorMessage="1" prompt="bitte Zahl von  1 bis 9  eingeben" sqref="F29:F40 F43:F47 F22:F27">
      <formula1>1</formula1>
      <formula2>9</formula2>
    </dataValidation>
    <dataValidation type="list" allowBlank="1" showDropDown="1" showInputMessage="1" showErrorMessage="1" error="bitte einen einzelnen Buchstaben eingeben!" sqref="G29:G40 G43:G47 G22:G27">
      <formula1>"a,b,c,d,e,f,g,h,i,j,k,l,m,n,o,p,q,r,s,t,u,v,w,x,y,z,A,B,C,D,E,F,G,H,I,J,K,L,M,N,O,P,Q,R,S,T,U,V,W,X,Y,Z"</formula1>
    </dataValidation>
    <dataValidation type="whole" allowBlank="1" showInputMessage="1" showErrorMessage="1" sqref="H29:AA40 H43:AA47 J26:AA27 Z24:AA25">
      <formula1>0</formula1>
      <formula2>18</formula2>
    </dataValidation>
    <dataValidation type="whole" allowBlank="1" showInputMessage="1" showErrorMessage="1" error="bitte Ganzzahl von 1 bis 20 eingeben!" sqref="H22:K22">
      <formula1>0</formula1>
      <formula2>20</formula2>
    </dataValidation>
    <dataValidation type="whole" allowBlank="1" showInputMessage="1" showErrorMessage="1" error="bitte Ganzzahl bis max. 24 eingeben!" sqref="P23:S23">
      <formula1>0</formula1>
      <formula2>24</formula2>
    </dataValidation>
    <dataValidation type="list" allowBlank="1" showErrorMessage="1" prompt="bitte Zahl von  1 bis 9  eingeben" error="hier ist nur die eine Zahl erlaubt!" sqref="F9:F12">
      <formula1>"1"</formula1>
    </dataValidation>
    <dataValidation type="whole" allowBlank="1" showInputMessage="1" showErrorMessage="1" prompt="Bitte beachten, dass Schüler bei &quot;mangelhafter Sprachkenntnis&quot; in der nächsten Spalte einzutragen sind!" sqref="AF22:AF26 AF43:AF47 AF29:AF40">
      <formula1>0</formula1>
      <formula2>33</formula2>
    </dataValidation>
    <dataValidation type="list" allowBlank="1" showDropDown="1" showInputMessage="1" showErrorMessage="1" prompt="Hier &quot;N&quot; eingeben, wenn KEINE verschränkte Klasse am Standort, obwohl in zumindest einer Klasse alle Schüler an GTS teilnehmen!" sqref="AJ4">
      <formula1>$AL$4</formula1>
    </dataValidation>
  </dataValidations>
  <printOptions horizontalCentered="1"/>
  <pageMargins left="0.5511811023622047" right="0.5511811023622047" top="0.7086614173228347" bottom="0.7086614173228347" header="0.5118110236220472" footer="0.5511811023622047"/>
  <pageSetup horizontalDpi="600" verticalDpi="600" orientation="landscape" paperSize="9" scale="135" r:id="rId4"/>
  <headerFooter alignWithMargins="0">
    <oddFooter>&amp;L&amp;"Century Gothic,Standard"&amp;9&amp;F&amp;R&amp;"Century Gothic,Standard"&amp;9Druckdatum:  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>
    <tabColor indexed="42"/>
    <pageSetUpPr fitToPage="1"/>
  </sheetPr>
  <dimension ref="A1:AC92"/>
  <sheetViews>
    <sheetView showGridLines="0" showZeros="0" zoomScale="70" zoomScaleNormal="70" zoomScalePageLayoutView="0" workbookViewId="0" topLeftCell="A1">
      <selection activeCell="H2" sqref="H2"/>
    </sheetView>
  </sheetViews>
  <sheetFormatPr defaultColWidth="11.00390625" defaultRowHeight="0" customHeight="1" zeroHeight="1"/>
  <cols>
    <col min="1" max="1" width="5.875" style="0" customWidth="1"/>
    <col min="2" max="2" width="6.75390625" style="0" customWidth="1"/>
    <col min="3" max="4" width="5.50390625" style="0" customWidth="1"/>
    <col min="5" max="6" width="4.625" style="0" customWidth="1"/>
    <col min="7" max="11" width="5.50390625" style="0" customWidth="1"/>
    <col min="12" max="12" width="6.00390625" style="0" bestFit="1" customWidth="1"/>
    <col min="13" max="13" width="5.50390625" style="0" customWidth="1"/>
    <col min="14" max="15" width="4.375" style="0" customWidth="1"/>
    <col min="16" max="18" width="5.75390625" style="0" customWidth="1"/>
    <col min="19" max="20" width="4.375" style="0" customWidth="1"/>
    <col min="21" max="21" width="7.375" style="0" customWidth="1"/>
    <col min="22" max="24" width="3.125" style="0" customWidth="1"/>
    <col min="25" max="25" width="2.125" style="0" customWidth="1"/>
    <col min="26" max="29" width="3.625" style="0" customWidth="1"/>
    <col min="30" max="30" width="6.50390625" style="0" customWidth="1"/>
  </cols>
  <sheetData>
    <row r="1" spans="1:29" ht="25.5">
      <c r="A1" s="631" t="str">
        <f>Einleitung!B6</f>
        <v>ASO  . . .</v>
      </c>
      <c r="B1" s="4"/>
      <c r="C1" s="4"/>
      <c r="D1" s="4"/>
      <c r="E1" s="4"/>
      <c r="F1" s="4"/>
      <c r="G1" s="4"/>
      <c r="K1" s="839" t="s">
        <v>147</v>
      </c>
      <c r="L1" s="839"/>
      <c r="M1" s="839"/>
      <c r="N1" s="839"/>
      <c r="O1" s="839"/>
      <c r="P1" s="839"/>
      <c r="Q1" s="839"/>
      <c r="R1" s="839"/>
      <c r="S1" s="839"/>
      <c r="T1" s="839"/>
      <c r="U1" s="420"/>
      <c r="V1" s="420"/>
      <c r="W1" s="420"/>
      <c r="X1" s="420"/>
      <c r="Y1" s="420"/>
      <c r="Z1" s="420"/>
      <c r="AA1" s="420"/>
      <c r="AB1" s="420"/>
      <c r="AC1" s="538"/>
    </row>
    <row r="2" spans="1:29" ht="25.5">
      <c r="A2" s="5"/>
      <c r="B2" s="8" t="s">
        <v>8</v>
      </c>
      <c r="C2" s="5"/>
      <c r="D2" s="5"/>
      <c r="E2" s="5"/>
      <c r="F2" s="5"/>
      <c r="G2" s="5"/>
      <c r="H2" s="5"/>
      <c r="I2" s="487"/>
      <c r="J2" s="4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420"/>
      <c r="V2" s="420"/>
      <c r="W2" s="420"/>
      <c r="X2" s="420"/>
      <c r="Y2" s="420"/>
      <c r="Z2" s="420"/>
      <c r="AA2" s="420"/>
      <c r="AB2" s="420"/>
      <c r="AC2" s="538"/>
    </row>
    <row r="3" spans="1:29" s="6" customFormat="1" ht="27" customHeight="1">
      <c r="A3" s="3"/>
      <c r="B3" s="3"/>
      <c r="C3" s="3"/>
      <c r="D3" s="3"/>
      <c r="E3" s="3"/>
      <c r="F3" s="3"/>
      <c r="G3" s="3"/>
      <c r="H3" s="3"/>
      <c r="I3" s="526" t="s">
        <v>253</v>
      </c>
      <c r="J3" s="5"/>
      <c r="K3" s="488"/>
      <c r="L3" s="488"/>
      <c r="M3" s="488"/>
      <c r="N3" s="488"/>
      <c r="O3" s="488"/>
      <c r="P3" s="3"/>
      <c r="Q3" s="3"/>
      <c r="R3" s="3"/>
      <c r="S3" s="3"/>
      <c r="T3" s="3"/>
      <c r="U3" s="429"/>
      <c r="V3" s="429"/>
      <c r="W3" s="429"/>
      <c r="X3" s="429"/>
      <c r="Y3" s="429"/>
      <c r="Z3" s="429"/>
      <c r="AA3" s="429"/>
      <c r="AB3" s="429"/>
      <c r="AC3" s="536"/>
    </row>
    <row r="4" spans="1:19" s="12" customFormat="1" ht="20.25" customHeight="1">
      <c r="A4" s="1" t="s">
        <v>106</v>
      </c>
      <c r="O4" s="841" t="s">
        <v>1</v>
      </c>
      <c r="P4" s="841"/>
      <c r="Q4" s="841"/>
      <c r="R4" s="841"/>
      <c r="S4" s="841"/>
    </row>
    <row r="5" spans="15:19" s="9" customFormat="1" ht="6.75" customHeight="1">
      <c r="O5" s="841"/>
      <c r="P5" s="841"/>
      <c r="Q5" s="841"/>
      <c r="R5" s="841"/>
      <c r="S5" s="841"/>
    </row>
    <row r="6" spans="2:22" s="2" customFormat="1" ht="14.25" customHeight="1">
      <c r="B6" s="482">
        <f>Klassen!F22&amp;Klassen!G22</f>
      </c>
      <c r="C6" s="322" t="s">
        <v>133</v>
      </c>
      <c r="K6" s="634" t="s">
        <v>134</v>
      </c>
      <c r="L6" s="482">
        <f>Klassen!F24&amp;Klassen!G24&amp;Klassen!G25</f>
      </c>
      <c r="Q6" s="842" t="str">
        <f>Einleitung!D2</f>
        <v>2020/2021</v>
      </c>
      <c r="R6" s="842"/>
      <c r="S6" s="842"/>
      <c r="T6" s="842"/>
      <c r="V6" s="323">
        <f>IF(L8&gt;13,2,IF(L8&gt;0,1,))</f>
        <v>0</v>
      </c>
    </row>
    <row r="7" spans="1:20" s="2" customFormat="1" ht="14.25" customHeight="1">
      <c r="A7" s="324"/>
      <c r="B7" s="325" t="s">
        <v>109</v>
      </c>
      <c r="C7" s="43" t="s">
        <v>110</v>
      </c>
      <c r="D7" s="43" t="s">
        <v>111</v>
      </c>
      <c r="K7" s="325" t="s">
        <v>113</v>
      </c>
      <c r="L7" s="43" t="s">
        <v>114</v>
      </c>
      <c r="Q7" s="842"/>
      <c r="R7" s="842"/>
      <c r="S7" s="842"/>
      <c r="T7" s="842"/>
    </row>
    <row r="8" spans="2:23" s="2" customFormat="1" ht="14.25">
      <c r="B8" s="325" t="s">
        <v>115</v>
      </c>
      <c r="C8" s="483">
        <f>SUM(Klassen!H22:I22)</f>
        <v>0</v>
      </c>
      <c r="D8" s="484">
        <f>SUM(Klassen!J22:K22)</f>
        <v>0</v>
      </c>
      <c r="K8" s="325" t="s">
        <v>115</v>
      </c>
      <c r="L8" s="485">
        <f>SUM(Klassen!Z24:AA25)</f>
        <v>0</v>
      </c>
      <c r="M8" s="326">
        <f>SUM(C8:L8)</f>
        <v>0</v>
      </c>
      <c r="V8" s="323">
        <f>IF((C8+D8)&gt;0,1,)</f>
        <v>0</v>
      </c>
      <c r="W8" s="323">
        <f>IF(AND((C8+D8)&gt;0,(C8+D8)&lt;10),"zweng",)</f>
        <v>0</v>
      </c>
    </row>
    <row r="9" spans="3:29" s="2" customFormat="1" ht="20.25">
      <c r="C9" s="327">
        <f>IF(D8&gt;0,SUM(C8:D8),)</f>
        <v>0</v>
      </c>
      <c r="D9" s="328"/>
      <c r="R9" s="7"/>
      <c r="V9" s="323">
        <f>IF(H8&gt;0,1,)</f>
        <v>0</v>
      </c>
      <c r="AC9" s="1"/>
    </row>
    <row r="10" spans="2:22" s="2" customFormat="1" ht="15">
      <c r="B10" s="482">
        <f>Klassen!F26&amp;Klassen!G26&amp;Klassen!G27</f>
      </c>
      <c r="C10" s="322" t="s">
        <v>135</v>
      </c>
      <c r="Q10" s="329">
        <f>IF(R10&gt;0,"'Spezial-Bereich' mit",)</f>
        <v>0</v>
      </c>
      <c r="R10" s="330">
        <f>SUM(V6:V10)</f>
        <v>0</v>
      </c>
      <c r="S10">
        <f>IF(R10&gt;0,"Klassen",)</f>
        <v>0</v>
      </c>
      <c r="V10" s="323">
        <f>IF(M12&gt;10,2,IF(M12&gt;0,1,))</f>
        <v>0</v>
      </c>
    </row>
    <row r="11" spans="1:18" s="2" customFormat="1" ht="14.25" customHeight="1">
      <c r="A11" s="324"/>
      <c r="B11" s="325" t="s">
        <v>109</v>
      </c>
      <c r="C11" s="43" t="s">
        <v>110</v>
      </c>
      <c r="D11" s="43" t="s">
        <v>111</v>
      </c>
      <c r="E11" s="43" t="s">
        <v>117</v>
      </c>
      <c r="F11" s="43" t="s">
        <v>118</v>
      </c>
      <c r="G11" s="43" t="s">
        <v>119</v>
      </c>
      <c r="H11" s="43" t="s">
        <v>112</v>
      </c>
      <c r="I11" s="43" t="s">
        <v>120</v>
      </c>
      <c r="J11" s="43" t="s">
        <v>121</v>
      </c>
      <c r="K11" s="43" t="s">
        <v>122</v>
      </c>
      <c r="L11" s="43" t="s">
        <v>114</v>
      </c>
      <c r="R11" s="845">
        <f>IF(R10&gt;0,"+",)</f>
        <v>0</v>
      </c>
    </row>
    <row r="12" spans="1:21" s="12" customFormat="1" ht="14.25" customHeight="1">
      <c r="A12" s="2"/>
      <c r="B12" s="325" t="s">
        <v>115</v>
      </c>
      <c r="C12" s="483"/>
      <c r="D12" s="486">
        <f>SUM(Klassen!J26:Klassen!K27)</f>
        <v>0</v>
      </c>
      <c r="E12" s="486">
        <f>SUM(Klassen!L26:Klassen!M27)</f>
        <v>0</v>
      </c>
      <c r="F12" s="486">
        <f>SUM(Klassen!N26:Klassen!O27)</f>
        <v>0</v>
      </c>
      <c r="G12" s="486">
        <f>SUM(Klassen!P26:Klassen!Q27)</f>
        <v>0</v>
      </c>
      <c r="H12" s="486">
        <f>SUM(Klassen!R26:Klassen!S27)</f>
        <v>0</v>
      </c>
      <c r="I12" s="486">
        <f>SUM(Klassen!T26:Klassen!U27)</f>
        <v>0</v>
      </c>
      <c r="J12" s="486">
        <f>SUM(Klassen!V26:Klassen!W27)</f>
        <v>0</v>
      </c>
      <c r="K12" s="486">
        <f>SUM(Klassen!X26:Klassen!Y27)</f>
        <v>0</v>
      </c>
      <c r="L12" s="484">
        <f>SUM(Klassen!Z26:Klassen!AA27)</f>
        <v>0</v>
      </c>
      <c r="M12" s="326">
        <f>SUM(C12:L12)</f>
        <v>0</v>
      </c>
      <c r="R12" s="845"/>
      <c r="T12" s="331">
        <f>ROUNDUP(P18/U16,1)</f>
        <v>0</v>
      </c>
      <c r="U12" s="323">
        <f>R10+R16</f>
        <v>0</v>
      </c>
    </row>
    <row r="13" spans="2:29" s="9" customFormat="1" ht="14.25">
      <c r="B13" s="332"/>
      <c r="AC13" s="2"/>
    </row>
    <row r="14" spans="2:29" s="9" customFormat="1" ht="14.25">
      <c r="B14" s="332"/>
      <c r="P14" s="333"/>
      <c r="Q14" s="333"/>
      <c r="R14" s="333"/>
      <c r="S14" s="333"/>
      <c r="T14" s="334"/>
      <c r="AC14" s="2"/>
    </row>
    <row r="15" spans="1:20" s="2" customFormat="1" ht="15" customHeight="1">
      <c r="A15" s="843" t="s">
        <v>123</v>
      </c>
      <c r="B15" s="844"/>
      <c r="C15" s="844"/>
      <c r="D15" s="844"/>
      <c r="E15" s="844"/>
      <c r="F15" s="844"/>
      <c r="G15" s="844"/>
      <c r="H15" s="844"/>
      <c r="I15" s="844"/>
      <c r="J15" s="844"/>
      <c r="K15" s="844"/>
      <c r="M15" t="s">
        <v>124</v>
      </c>
      <c r="T15" s="405">
        <f>IF(R16&lt;T12,"(höchstens aber)  ",)</f>
        <v>0</v>
      </c>
    </row>
    <row r="16" spans="1:21" s="9" customFormat="1" ht="15.75">
      <c r="A16" s="844"/>
      <c r="B16" s="844"/>
      <c r="C16" s="844"/>
      <c r="D16" s="844"/>
      <c r="E16" s="844"/>
      <c r="F16" s="844"/>
      <c r="G16" s="844"/>
      <c r="H16" s="844"/>
      <c r="I16" s="844"/>
      <c r="J16" s="844"/>
      <c r="K16" s="844"/>
      <c r="Q16" s="329">
        <f>IF(R16&gt;0,"berechn. Schüler / "&amp;U16&amp;"  =",)</f>
        <v>0</v>
      </c>
      <c r="R16" s="336">
        <f>IF(AND(OR(ISNUMBER(SEARCH("Mäder",A1)),ISNUMBER(SEARCH("hör",A1))),T12&gt;10),10,ROUNDUP(P18/U16,0))</f>
        <v>0</v>
      </c>
      <c r="S16">
        <f>IF(R16&gt;0,"Klassen",)</f>
        <v>0</v>
      </c>
      <c r="T16" s="335"/>
      <c r="U16" s="639">
        <f>IF(OR(ISNUMBER(SEARCH("koop",A1)),ISNUMBER(SEARCH("Jagdberg",A1)),ISNUMBER(SEARCH("Sozialpädagogische Schule",A1))),7.56,IF(OR(ISNUMBER(SEARCH("Carina",A1)),RIGHT(I2,1)="#"),8.1,IF(ISNUMBER(SEARCH("hör",A1)),6.2,9.6)))</f>
        <v>9.6</v>
      </c>
    </row>
    <row r="17" spans="1:20" ht="16.5" customHeight="1">
      <c r="A17" s="2"/>
      <c r="B17" s="849" t="s">
        <v>7</v>
      </c>
      <c r="C17" s="338" t="s">
        <v>125</v>
      </c>
      <c r="D17" s="42"/>
      <c r="E17" s="22"/>
      <c r="F17" s="22"/>
      <c r="G17" s="22"/>
      <c r="H17" s="22"/>
      <c r="Q17" s="21">
        <f>SUM(E56:F72)-Q18</f>
        <v>0</v>
      </c>
      <c r="R17" s="3" t="s">
        <v>126</v>
      </c>
      <c r="T17" s="335"/>
    </row>
    <row r="18" spans="1:20" ht="14.25">
      <c r="A18" s="2"/>
      <c r="B18" s="850"/>
      <c r="C18" s="43" t="s">
        <v>110</v>
      </c>
      <c r="D18" s="43" t="s">
        <v>111</v>
      </c>
      <c r="E18" s="43" t="s">
        <v>117</v>
      </c>
      <c r="F18" s="43" t="s">
        <v>118</v>
      </c>
      <c r="G18" s="43" t="s">
        <v>119</v>
      </c>
      <c r="H18" s="43" t="s">
        <v>112</v>
      </c>
      <c r="I18" s="43" t="s">
        <v>120</v>
      </c>
      <c r="J18" s="43" t="s">
        <v>121</v>
      </c>
      <c r="K18" s="43" t="s">
        <v>122</v>
      </c>
      <c r="L18" s="43" t="s">
        <v>114</v>
      </c>
      <c r="P18" s="489">
        <f>SUM(Q17:Q20)</f>
        <v>0</v>
      </c>
      <c r="Q18" s="21">
        <f>SUM(G56:G72)</f>
        <v>0</v>
      </c>
      <c r="R18" s="3" t="s">
        <v>127</v>
      </c>
      <c r="T18" s="335"/>
    </row>
    <row r="19" spans="1:26" s="12" customFormat="1" ht="14.25">
      <c r="A19" s="2"/>
      <c r="B19" s="851"/>
      <c r="C19" s="340">
        <f aca="true" t="shared" si="0" ref="C19:L19">SUM(C20:C45)</f>
        <v>0</v>
      </c>
      <c r="D19" s="340">
        <f t="shared" si="0"/>
        <v>0</v>
      </c>
      <c r="E19" s="340">
        <f t="shared" si="0"/>
        <v>0</v>
      </c>
      <c r="F19" s="340">
        <f t="shared" si="0"/>
        <v>0</v>
      </c>
      <c r="G19" s="340">
        <f t="shared" si="0"/>
        <v>0</v>
      </c>
      <c r="H19" s="340">
        <f t="shared" si="0"/>
        <v>0</v>
      </c>
      <c r="I19" s="340">
        <f t="shared" si="0"/>
        <v>0</v>
      </c>
      <c r="J19" s="340">
        <f t="shared" si="0"/>
        <v>0</v>
      </c>
      <c r="K19" s="340">
        <f t="shared" si="0"/>
        <v>0</v>
      </c>
      <c r="L19" s="406">
        <f t="shared" si="0"/>
        <v>0</v>
      </c>
      <c r="N19" s="341" t="s">
        <v>128</v>
      </c>
      <c r="P19"/>
      <c r="Q19" s="21">
        <f>Q18*U19</f>
        <v>0</v>
      </c>
      <c r="R19" s="3">
        <f>IF(AND(Q18&gt;0,U19&gt;0)," + Zuschlag á "&amp;U19,)</f>
        <v>0</v>
      </c>
      <c r="S19" s="342"/>
      <c r="T19" s="335"/>
      <c r="U19" s="337">
        <f>IF(U16=9.6,0.7,0)</f>
        <v>0.7</v>
      </c>
      <c r="Z19"/>
    </row>
    <row r="20" spans="2:21" ht="15">
      <c r="B20" s="490">
        <f>Klassen!F29&amp;Klassen!G29</f>
      </c>
      <c r="C20" s="483">
        <f>Klassen!H29+Klassen!I29</f>
        <v>0</v>
      </c>
      <c r="D20" s="483">
        <f>Klassen!J29+Klassen!K29</f>
        <v>0</v>
      </c>
      <c r="E20" s="486">
        <f>Klassen!L29+Klassen!M29</f>
        <v>0</v>
      </c>
      <c r="F20" s="491">
        <f>Klassen!N29+Klassen!O29</f>
        <v>0</v>
      </c>
      <c r="G20" s="484">
        <f>Klassen!P29+Klassen!Q29</f>
        <v>0</v>
      </c>
      <c r="H20" s="483">
        <f>Klassen!R29+Klassen!S29</f>
        <v>0</v>
      </c>
      <c r="I20" s="492">
        <f>Klassen!T29+Klassen!U29</f>
        <v>0</v>
      </c>
      <c r="J20" s="486">
        <f>Klassen!V29+Klassen!W29</f>
        <v>0</v>
      </c>
      <c r="K20" s="484">
        <f>Klassen!X29+Klassen!Y29</f>
        <v>0</v>
      </c>
      <c r="L20" s="407">
        <f>Klassen!Z29+Klassen!AA29</f>
        <v>0</v>
      </c>
      <c r="M20" s="7">
        <f>Klassen!C29</f>
        <v>0</v>
      </c>
      <c r="N20" s="71"/>
      <c r="O20" s="454">
        <f>IF(M20&gt;0,"in  "&amp;Klassen!AS29&amp;" Stufen ",)</f>
        <v>0</v>
      </c>
      <c r="R20" s="395">
        <f>IF(U16&lt;&gt;9.6,"&gt;&gt; SondBere",)</f>
        <v>0</v>
      </c>
      <c r="S20" s="396">
        <f>IF(U16&lt;&gt;9.6,"(… statt 9,6)",)</f>
        <v>0</v>
      </c>
      <c r="U20" s="493">
        <f>IF(M20&gt;0,IF(Klassen!BH29&gt;0,"S"&amp;Klassen!AT29,Klassen!AT29),)</f>
        <v>0</v>
      </c>
    </row>
    <row r="21" spans="2:21" ht="15">
      <c r="B21" s="490">
        <f>Klassen!F30&amp;Klassen!G30</f>
      </c>
      <c r="C21" s="483">
        <f>Klassen!H30+Klassen!I30</f>
        <v>0</v>
      </c>
      <c r="D21" s="483">
        <f>Klassen!J30+Klassen!K30</f>
        <v>0</v>
      </c>
      <c r="E21" s="486">
        <f>Klassen!L30+Klassen!M30</f>
        <v>0</v>
      </c>
      <c r="F21" s="491">
        <f>Klassen!N30+Klassen!O30</f>
        <v>0</v>
      </c>
      <c r="G21" s="484">
        <f>Klassen!P30+Klassen!Q30</f>
        <v>0</v>
      </c>
      <c r="H21" s="483">
        <f>Klassen!R30+Klassen!S30</f>
        <v>0</v>
      </c>
      <c r="I21" s="492">
        <f>Klassen!T30+Klassen!U30</f>
        <v>0</v>
      </c>
      <c r="J21" s="486">
        <f>Klassen!V30+Klassen!W30</f>
        <v>0</v>
      </c>
      <c r="K21" s="484">
        <f>Klassen!X30+Klassen!Y30</f>
        <v>0</v>
      </c>
      <c r="L21" s="407">
        <f>Klassen!Z30+Klassen!AA30</f>
        <v>0</v>
      </c>
      <c r="M21" s="7">
        <f>Klassen!C30</f>
        <v>0</v>
      </c>
      <c r="N21" s="71"/>
      <c r="O21" s="454">
        <f>IF(M21&gt;0,"in  "&amp;Klassen!AS30&amp;" Stufen ",)</f>
        <v>0</v>
      </c>
      <c r="T21" s="343" t="str">
        <f>Einleitung!D1</f>
        <v>BilDiV, pr3  04/20</v>
      </c>
      <c r="U21" s="493">
        <f>IF(M21&gt;0,IF(Klassen!BH30&gt;0,"S"&amp;Klassen!AT30,Klassen!AT30),)</f>
        <v>0</v>
      </c>
    </row>
    <row r="22" spans="2:21" ht="15" hidden="1">
      <c r="B22" s="490">
        <f>Klassen!F31&amp;Klassen!G31</f>
      </c>
      <c r="C22" s="483">
        <f>Klassen!H31+Klassen!I31</f>
        <v>0</v>
      </c>
      <c r="D22" s="483">
        <f>Klassen!J31+Klassen!K31</f>
        <v>0</v>
      </c>
      <c r="E22" s="486">
        <f>Klassen!L31+Klassen!M31</f>
        <v>0</v>
      </c>
      <c r="F22" s="491">
        <f>Klassen!N31+Klassen!O31</f>
        <v>0</v>
      </c>
      <c r="G22" s="484">
        <f>Klassen!P31+Klassen!Q31</f>
        <v>0</v>
      </c>
      <c r="H22" s="483">
        <f>Klassen!R31+Klassen!S31</f>
        <v>0</v>
      </c>
      <c r="I22" s="492">
        <f>Klassen!T31+Klassen!U31</f>
        <v>0</v>
      </c>
      <c r="J22" s="486">
        <f>Klassen!V31+Klassen!W31</f>
        <v>0</v>
      </c>
      <c r="K22" s="484">
        <f>Klassen!X31+Klassen!Y31</f>
        <v>0</v>
      </c>
      <c r="L22" s="407">
        <f>Klassen!Z31+Klassen!AA31</f>
        <v>0</v>
      </c>
      <c r="M22" s="7">
        <f>Klassen!C31</f>
        <v>0</v>
      </c>
      <c r="N22" s="71"/>
      <c r="O22" s="454">
        <f>IF(M22&gt;0,"in  "&amp;Klassen!AS31&amp;" Stufen ",)</f>
        <v>0</v>
      </c>
      <c r="P22" s="846"/>
      <c r="Q22" s="846"/>
      <c r="R22" s="846"/>
      <c r="S22" s="846"/>
      <c r="T22" s="846"/>
      <c r="U22" s="493">
        <f>IF(M22&gt;0,IF(Klassen!BH31&gt;0,"S"&amp;Klassen!AT31,Klassen!AT31),)</f>
        <v>0</v>
      </c>
    </row>
    <row r="23" spans="2:28" ht="15" hidden="1">
      <c r="B23" s="490">
        <f>Klassen!F32&amp;Klassen!G32</f>
      </c>
      <c r="C23" s="483">
        <f>Klassen!H32+Klassen!I32</f>
        <v>0</v>
      </c>
      <c r="D23" s="483">
        <f>Klassen!J32+Klassen!K32</f>
        <v>0</v>
      </c>
      <c r="E23" s="486">
        <f>Klassen!L32+Klassen!M32</f>
        <v>0</v>
      </c>
      <c r="F23" s="491">
        <f>Klassen!N32+Klassen!O32</f>
        <v>0</v>
      </c>
      <c r="G23" s="484">
        <f>Klassen!P32+Klassen!Q32</f>
        <v>0</v>
      </c>
      <c r="H23" s="483">
        <f>Klassen!R32+Klassen!S32</f>
        <v>0</v>
      </c>
      <c r="I23" s="492">
        <f>Klassen!T32+Klassen!U32</f>
        <v>0</v>
      </c>
      <c r="J23" s="486">
        <f>Klassen!V32+Klassen!W32</f>
        <v>0</v>
      </c>
      <c r="K23" s="484">
        <f>Klassen!X32+Klassen!Y32</f>
        <v>0</v>
      </c>
      <c r="L23" s="407">
        <f>Klassen!Z32+Klassen!AA32</f>
        <v>0</v>
      </c>
      <c r="M23" s="7">
        <f>Klassen!C32</f>
        <v>0</v>
      </c>
      <c r="N23" s="71"/>
      <c r="O23" s="454">
        <f>IF(M23&gt;0,"in  "&amp;Klassen!AS32&amp;" Stufen ",)</f>
        <v>0</v>
      </c>
      <c r="P23" s="846"/>
      <c r="Q23" s="846"/>
      <c r="R23" s="846"/>
      <c r="S23" s="846"/>
      <c r="T23" s="846"/>
      <c r="U23" s="493">
        <f>IF(M23&gt;0,IF(Klassen!BH32&gt;0,"S"&amp;Klassen!AT32,Klassen!AT32),)</f>
        <v>0</v>
      </c>
      <c r="Z23" s="494">
        <v>0</v>
      </c>
      <c r="AA23" s="494">
        <v>0</v>
      </c>
      <c r="AB23" s="494">
        <v>0</v>
      </c>
    </row>
    <row r="24" spans="2:28" ht="15" hidden="1">
      <c r="B24" s="490">
        <f>Klassen!F33&amp;Klassen!G33</f>
      </c>
      <c r="C24" s="483">
        <f>Klassen!H33+Klassen!I33</f>
        <v>0</v>
      </c>
      <c r="D24" s="483">
        <f>Klassen!J33+Klassen!K33</f>
        <v>0</v>
      </c>
      <c r="E24" s="486">
        <f>Klassen!L33+Klassen!M33</f>
        <v>0</v>
      </c>
      <c r="F24" s="491">
        <f>Klassen!N33+Klassen!O33</f>
        <v>0</v>
      </c>
      <c r="G24" s="484">
        <f>Klassen!P33+Klassen!Q33</f>
        <v>0</v>
      </c>
      <c r="H24" s="483">
        <f>Klassen!R33+Klassen!S33</f>
        <v>0</v>
      </c>
      <c r="I24" s="492">
        <f>Klassen!T33+Klassen!U33</f>
        <v>0</v>
      </c>
      <c r="J24" s="486">
        <f>Klassen!V33+Klassen!W33</f>
        <v>0</v>
      </c>
      <c r="K24" s="484">
        <f>Klassen!X33+Klassen!Y33</f>
        <v>0</v>
      </c>
      <c r="L24" s="407">
        <f>Klassen!Z33+Klassen!AA33</f>
        <v>0</v>
      </c>
      <c r="M24" s="7">
        <f>Klassen!C33</f>
        <v>0</v>
      </c>
      <c r="N24" s="71"/>
      <c r="O24" s="454">
        <f>IF(M24&gt;0,"in  "&amp;Klassen!AS33&amp;" Stufen ",)</f>
        <v>0</v>
      </c>
      <c r="P24" s="846"/>
      <c r="Q24" s="846"/>
      <c r="R24" s="846"/>
      <c r="S24" s="846"/>
      <c r="T24" s="846"/>
      <c r="U24" s="493">
        <f>IF(M24&gt;0,IF(Klassen!BH33&gt;0,"S"&amp;Klassen!AT33,Klassen!AT33),)</f>
        <v>0</v>
      </c>
      <c r="Z24" s="494">
        <v>1</v>
      </c>
      <c r="AA24" s="494">
        <v>0.5</v>
      </c>
      <c r="AB24" s="494">
        <v>40</v>
      </c>
    </row>
    <row r="25" spans="2:28" ht="15" hidden="1">
      <c r="B25" s="490">
        <f>Klassen!F34&amp;Klassen!G34</f>
      </c>
      <c r="C25" s="483">
        <f>Klassen!H34+Klassen!I34</f>
        <v>0</v>
      </c>
      <c r="D25" s="483">
        <f>Klassen!J34+Klassen!K34</f>
        <v>0</v>
      </c>
      <c r="E25" s="486">
        <f>Klassen!L34+Klassen!M34</f>
        <v>0</v>
      </c>
      <c r="F25" s="491">
        <f>Klassen!N34+Klassen!O34</f>
        <v>0</v>
      </c>
      <c r="G25" s="484">
        <f>Klassen!P34+Klassen!Q34</f>
        <v>0</v>
      </c>
      <c r="H25" s="483">
        <f>Klassen!R34+Klassen!S34</f>
        <v>0</v>
      </c>
      <c r="I25" s="492">
        <f>Klassen!T34+Klassen!U34</f>
        <v>0</v>
      </c>
      <c r="J25" s="486">
        <f>Klassen!V34+Klassen!W34</f>
        <v>0</v>
      </c>
      <c r="K25" s="484">
        <f>Klassen!X34+Klassen!Y34</f>
        <v>0</v>
      </c>
      <c r="L25" s="407">
        <f>Klassen!Z34+Klassen!AA34</f>
        <v>0</v>
      </c>
      <c r="M25" s="7">
        <f>Klassen!C34</f>
        <v>0</v>
      </c>
      <c r="N25" s="71"/>
      <c r="O25" s="454">
        <f>IF(M25&gt;0,"in  "&amp;Klassen!AS34&amp;" Stufen ",)</f>
        <v>0</v>
      </c>
      <c r="P25" s="846"/>
      <c r="Q25" s="846"/>
      <c r="R25" s="846"/>
      <c r="S25" s="846"/>
      <c r="T25" s="846"/>
      <c r="U25" s="493">
        <f>IF(M25&gt;0,IF(Klassen!BH34&gt;0,"S"&amp;Klassen!AT34,Klassen!AT34),)</f>
        <v>0</v>
      </c>
      <c r="Z25" s="494">
        <v>2</v>
      </c>
      <c r="AA25" s="494">
        <v>0.7</v>
      </c>
      <c r="AB25" s="494">
        <v>56</v>
      </c>
    </row>
    <row r="26" spans="2:28" ht="15" hidden="1">
      <c r="B26" s="490">
        <f>Klassen!F35&amp;Klassen!G35</f>
      </c>
      <c r="C26" s="483">
        <f>Klassen!H35+Klassen!I35</f>
        <v>0</v>
      </c>
      <c r="D26" s="483">
        <f>Klassen!J35+Klassen!K35</f>
        <v>0</v>
      </c>
      <c r="E26" s="486">
        <f>Klassen!L35+Klassen!M35</f>
        <v>0</v>
      </c>
      <c r="F26" s="491">
        <f>Klassen!N35+Klassen!O35</f>
        <v>0</v>
      </c>
      <c r="G26" s="484">
        <f>Klassen!P35+Klassen!Q35</f>
        <v>0</v>
      </c>
      <c r="H26" s="483">
        <f>Klassen!R35+Klassen!S35</f>
        <v>0</v>
      </c>
      <c r="I26" s="492">
        <f>Klassen!T35+Klassen!U35</f>
        <v>0</v>
      </c>
      <c r="J26" s="486">
        <f>Klassen!V35+Klassen!W35</f>
        <v>0</v>
      </c>
      <c r="K26" s="484">
        <f>Klassen!X35+Klassen!Y35</f>
        <v>0</v>
      </c>
      <c r="L26" s="407">
        <f>Klassen!Z35+Klassen!AA35</f>
        <v>0</v>
      </c>
      <c r="M26" s="7">
        <f>Klassen!C35</f>
        <v>0</v>
      </c>
      <c r="N26" s="71"/>
      <c r="O26" s="454">
        <f>IF(M26&gt;0,"in  "&amp;Klassen!AS35&amp;" Stufen ",)</f>
        <v>0</v>
      </c>
      <c r="P26" s="846"/>
      <c r="Q26" s="846"/>
      <c r="R26" s="846"/>
      <c r="S26" s="846"/>
      <c r="T26" s="846"/>
      <c r="U26" s="493">
        <f>IF(M26&gt;0,IF(Klassen!BH35&gt;0,"S"&amp;Klassen!AT35,Klassen!AT35),)</f>
        <v>0</v>
      </c>
      <c r="Z26" s="494">
        <v>3</v>
      </c>
      <c r="AA26" s="494">
        <v>0.8999999999999999</v>
      </c>
      <c r="AB26" s="494">
        <v>72</v>
      </c>
    </row>
    <row r="27" spans="2:28" ht="15" hidden="1">
      <c r="B27" s="490">
        <f>Klassen!F36&amp;Klassen!G36</f>
      </c>
      <c r="C27" s="483">
        <f>Klassen!H36+Klassen!I36</f>
        <v>0</v>
      </c>
      <c r="D27" s="483">
        <f>Klassen!J36+Klassen!K36</f>
        <v>0</v>
      </c>
      <c r="E27" s="486">
        <f>Klassen!L36+Klassen!M36</f>
        <v>0</v>
      </c>
      <c r="F27" s="491">
        <f>Klassen!N36+Klassen!O36</f>
        <v>0</v>
      </c>
      <c r="G27" s="484">
        <f>Klassen!P36+Klassen!Q36</f>
        <v>0</v>
      </c>
      <c r="H27" s="483">
        <f>Klassen!R36+Klassen!S36</f>
        <v>0</v>
      </c>
      <c r="I27" s="492">
        <f>Klassen!T36+Klassen!U36</f>
        <v>0</v>
      </c>
      <c r="J27" s="486">
        <f>Klassen!V36+Klassen!W36</f>
        <v>0</v>
      </c>
      <c r="K27" s="484">
        <f>Klassen!X36+Klassen!Y36</f>
        <v>0</v>
      </c>
      <c r="L27" s="407">
        <f>Klassen!Z36+Klassen!AA36</f>
        <v>0</v>
      </c>
      <c r="M27" s="7">
        <f>Klassen!C36</f>
        <v>0</v>
      </c>
      <c r="N27" s="71"/>
      <c r="O27" s="454">
        <f>IF(M27&gt;0,"in  "&amp;Klassen!AS36&amp;" Stufen ",)</f>
        <v>0</v>
      </c>
      <c r="P27" s="846"/>
      <c r="Q27" s="846"/>
      <c r="R27" s="846"/>
      <c r="S27" s="846"/>
      <c r="T27" s="846"/>
      <c r="U27" s="493">
        <f>IF(M27&gt;0,IF(Klassen!BH36&gt;0,"S"&amp;Klassen!AT36,Klassen!AT36),)</f>
        <v>0</v>
      </c>
      <c r="Z27" s="494">
        <v>4</v>
      </c>
      <c r="AA27" s="494">
        <v>1.0999999999999999</v>
      </c>
      <c r="AB27" s="494">
        <v>88</v>
      </c>
    </row>
    <row r="28" spans="2:28" ht="15" hidden="1">
      <c r="B28" s="490">
        <f>Klassen!F37&amp;Klassen!G37</f>
      </c>
      <c r="C28" s="483">
        <f>Klassen!H37+Klassen!I37</f>
        <v>0</v>
      </c>
      <c r="D28" s="483">
        <f>Klassen!J37+Klassen!K37</f>
        <v>0</v>
      </c>
      <c r="E28" s="486">
        <f>Klassen!L37+Klassen!M37</f>
        <v>0</v>
      </c>
      <c r="F28" s="491">
        <f>Klassen!N37+Klassen!O37</f>
        <v>0</v>
      </c>
      <c r="G28" s="484">
        <f>Klassen!P37+Klassen!Q37</f>
        <v>0</v>
      </c>
      <c r="H28" s="483">
        <f>Klassen!R37+Klassen!S37</f>
        <v>0</v>
      </c>
      <c r="I28" s="492">
        <f>Klassen!T37+Klassen!U37</f>
        <v>0</v>
      </c>
      <c r="J28" s="486">
        <f>Klassen!V37+Klassen!W37</f>
        <v>0</v>
      </c>
      <c r="K28" s="484">
        <f>Klassen!X37+Klassen!Y37</f>
        <v>0</v>
      </c>
      <c r="L28" s="407">
        <f>Klassen!Z37+Klassen!AA37</f>
        <v>0</v>
      </c>
      <c r="M28" s="7">
        <f>Klassen!C37</f>
        <v>0</v>
      </c>
      <c r="N28" s="71"/>
      <c r="O28" s="454">
        <f>IF(M28&gt;0,"in  "&amp;Klassen!AS37&amp;" Stufen ",)</f>
        <v>0</v>
      </c>
      <c r="P28" s="846"/>
      <c r="Q28" s="846"/>
      <c r="R28" s="846"/>
      <c r="S28" s="846"/>
      <c r="T28" s="846"/>
      <c r="U28" s="493">
        <f>IF(M28&gt;0,IF(Klassen!BH37&gt;0,"S"&amp;Klassen!AT37,Klassen!AT37),)</f>
        <v>0</v>
      </c>
      <c r="Z28" s="494">
        <v>5</v>
      </c>
      <c r="AA28" s="494">
        <v>1.4</v>
      </c>
      <c r="AB28" s="494">
        <v>112</v>
      </c>
    </row>
    <row r="29" spans="2:28" ht="15" hidden="1">
      <c r="B29" s="490">
        <f>Klassen!F38&amp;Klassen!G38</f>
      </c>
      <c r="C29" s="483">
        <f>Klassen!H38+Klassen!I38</f>
        <v>0</v>
      </c>
      <c r="D29" s="483">
        <f>Klassen!J38+Klassen!K38</f>
        <v>0</v>
      </c>
      <c r="E29" s="486">
        <f>Klassen!L38+Klassen!M38</f>
        <v>0</v>
      </c>
      <c r="F29" s="491">
        <f>Klassen!N38+Klassen!O38</f>
        <v>0</v>
      </c>
      <c r="G29" s="484">
        <f>Klassen!P38+Klassen!Q38</f>
        <v>0</v>
      </c>
      <c r="H29" s="483">
        <f>Klassen!R38+Klassen!S38</f>
        <v>0</v>
      </c>
      <c r="I29" s="492">
        <f>Klassen!T38+Klassen!U38</f>
        <v>0</v>
      </c>
      <c r="J29" s="486">
        <f>Klassen!V38+Klassen!W38</f>
        <v>0</v>
      </c>
      <c r="K29" s="484">
        <f>Klassen!X38+Klassen!Y38</f>
        <v>0</v>
      </c>
      <c r="L29" s="407">
        <f>Klassen!Z38+Klassen!AA38</f>
        <v>0</v>
      </c>
      <c r="M29" s="7">
        <f>Klassen!C38</f>
        <v>0</v>
      </c>
      <c r="N29" s="71"/>
      <c r="O29" s="454">
        <f>IF(M29&gt;0,"in  "&amp;Klassen!AS38&amp;" Stufen ",)</f>
        <v>0</v>
      </c>
      <c r="P29" s="846"/>
      <c r="Q29" s="846"/>
      <c r="R29" s="846"/>
      <c r="S29" s="846"/>
      <c r="T29" s="846"/>
      <c r="U29" s="493">
        <f>IF(M29&gt;0,IF(Klassen!BH38&gt;0,"S"&amp;Klassen!AT38,Klassen!AT38),)</f>
        <v>0</v>
      </c>
      <c r="Z29" s="494">
        <v>6</v>
      </c>
      <c r="AA29" s="494">
        <v>1.7</v>
      </c>
      <c r="AB29" s="494">
        <v>136</v>
      </c>
    </row>
    <row r="30" spans="2:28" ht="15" hidden="1">
      <c r="B30" s="490">
        <f>Klassen!F39&amp;Klassen!G39</f>
      </c>
      <c r="C30" s="483">
        <f>Klassen!H39+Klassen!I39</f>
        <v>0</v>
      </c>
      <c r="D30" s="483">
        <f>Klassen!J39+Klassen!K39</f>
        <v>0</v>
      </c>
      <c r="E30" s="486">
        <f>Klassen!L39+Klassen!M39</f>
        <v>0</v>
      </c>
      <c r="F30" s="491">
        <f>Klassen!N39+Klassen!O39</f>
        <v>0</v>
      </c>
      <c r="G30" s="484">
        <f>Klassen!P39+Klassen!Q39</f>
        <v>0</v>
      </c>
      <c r="H30" s="483">
        <f>Klassen!R39+Klassen!S39</f>
        <v>0</v>
      </c>
      <c r="I30" s="492">
        <f>Klassen!T39+Klassen!U39</f>
        <v>0</v>
      </c>
      <c r="J30" s="486">
        <f>Klassen!V39+Klassen!W39</f>
        <v>0</v>
      </c>
      <c r="K30" s="484">
        <f>Klassen!X39+Klassen!Y39</f>
        <v>0</v>
      </c>
      <c r="L30" s="407">
        <f>Klassen!Z39+Klassen!AA39</f>
        <v>0</v>
      </c>
      <c r="M30" s="7">
        <f>Klassen!C39</f>
        <v>0</v>
      </c>
      <c r="N30" s="71"/>
      <c r="O30" s="454">
        <f>IF(M30&gt;0,"in  "&amp;Klassen!AS39&amp;" Stufen ",)</f>
        <v>0</v>
      </c>
      <c r="P30" s="846"/>
      <c r="Q30" s="846"/>
      <c r="R30" s="846"/>
      <c r="S30" s="846"/>
      <c r="T30" s="846"/>
      <c r="U30" s="493">
        <f>IF(M30&gt;0,IF(Klassen!BH39&gt;0,"S"&amp;Klassen!AT39,Klassen!AT39),)</f>
        <v>0</v>
      </c>
      <c r="Z30" s="494">
        <v>7</v>
      </c>
      <c r="AA30" s="494">
        <v>2</v>
      </c>
      <c r="AB30" s="494">
        <v>160</v>
      </c>
    </row>
    <row r="31" spans="2:28" ht="15" hidden="1">
      <c r="B31" s="490">
        <f>Klassen!F40&amp;Klassen!G40</f>
      </c>
      <c r="C31" s="483">
        <f>Klassen!H40+Klassen!I40</f>
        <v>0</v>
      </c>
      <c r="D31" s="483">
        <f>Klassen!J40+Klassen!K40</f>
        <v>0</v>
      </c>
      <c r="E31" s="486">
        <f>Klassen!L40+Klassen!M40</f>
        <v>0</v>
      </c>
      <c r="F31" s="491">
        <f>Klassen!N40+Klassen!O40</f>
        <v>0</v>
      </c>
      <c r="G31" s="484">
        <f>Klassen!P40+Klassen!Q40</f>
        <v>0</v>
      </c>
      <c r="H31" s="483">
        <f>Klassen!R40+Klassen!S40</f>
        <v>0</v>
      </c>
      <c r="I31" s="492">
        <f>Klassen!T40+Klassen!U40</f>
        <v>0</v>
      </c>
      <c r="J31" s="486">
        <f>Klassen!V40+Klassen!W40</f>
        <v>0</v>
      </c>
      <c r="K31" s="484">
        <f>Klassen!X40+Klassen!Y40</f>
        <v>0</v>
      </c>
      <c r="L31" s="407">
        <f>Klassen!Z40+Klassen!AA40</f>
        <v>0</v>
      </c>
      <c r="M31" s="7">
        <f>Klassen!C40</f>
        <v>0</v>
      </c>
      <c r="N31" s="71"/>
      <c r="O31" s="454">
        <f>IF(M31&gt;0,"in  "&amp;Klassen!AS40&amp;" Stufen ",)</f>
        <v>0</v>
      </c>
      <c r="P31" s="846"/>
      <c r="Q31" s="846"/>
      <c r="R31" s="846"/>
      <c r="S31" s="846"/>
      <c r="T31" s="846"/>
      <c r="U31" s="493">
        <f>IF(M31&gt;0,IF(Klassen!BH40&gt;0,"S"&amp;Klassen!AT40,Klassen!AT40),)</f>
        <v>0</v>
      </c>
      <c r="Z31" s="494">
        <v>8</v>
      </c>
      <c r="AA31" s="494">
        <v>1.2999999999999998</v>
      </c>
      <c r="AB31" s="494">
        <v>104</v>
      </c>
    </row>
    <row r="32" spans="2:28" ht="15" customHeight="1" hidden="1">
      <c r="B32" s="495"/>
      <c r="C32" s="496"/>
      <c r="D32" s="496"/>
      <c r="E32" s="496"/>
      <c r="F32" s="496"/>
      <c r="G32" s="496"/>
      <c r="H32" s="496"/>
      <c r="I32" s="496"/>
      <c r="J32" s="496"/>
      <c r="K32" s="496"/>
      <c r="L32" s="497"/>
      <c r="M32" s="7"/>
      <c r="N32" s="71"/>
      <c r="O32" s="454"/>
      <c r="P32" s="846"/>
      <c r="Q32" s="846"/>
      <c r="R32" s="846"/>
      <c r="S32" s="846"/>
      <c r="T32" s="846"/>
      <c r="U32" s="498"/>
      <c r="Z32" s="494">
        <v>9</v>
      </c>
      <c r="AA32" s="494">
        <v>1.7999999999999998</v>
      </c>
      <c r="AB32" s="494">
        <v>144</v>
      </c>
    </row>
    <row r="33" spans="2:28" ht="15" customHeight="1" hidden="1">
      <c r="B33" s="495"/>
      <c r="C33" s="496"/>
      <c r="D33" s="496"/>
      <c r="E33" s="496"/>
      <c r="F33" s="496"/>
      <c r="G33" s="496"/>
      <c r="H33" s="496"/>
      <c r="I33" s="496"/>
      <c r="J33" s="496"/>
      <c r="K33" s="496"/>
      <c r="L33" s="497"/>
      <c r="M33" s="7"/>
      <c r="N33" s="71"/>
      <c r="O33" s="454"/>
      <c r="P33" s="846"/>
      <c r="Q33" s="846"/>
      <c r="R33" s="846"/>
      <c r="S33" s="846"/>
      <c r="T33" s="846"/>
      <c r="U33" s="498"/>
      <c r="Z33" s="494">
        <v>10</v>
      </c>
      <c r="AA33" s="494">
        <v>2.3</v>
      </c>
      <c r="AB33" s="494">
        <v>184</v>
      </c>
    </row>
    <row r="34" spans="2:28" ht="15" customHeight="1" hidden="1">
      <c r="B34" s="495"/>
      <c r="C34" s="496"/>
      <c r="D34" s="496"/>
      <c r="E34" s="496"/>
      <c r="F34" s="496"/>
      <c r="G34" s="496"/>
      <c r="H34" s="496"/>
      <c r="I34" s="496"/>
      <c r="J34" s="496"/>
      <c r="K34" s="496"/>
      <c r="L34" s="497"/>
      <c r="M34" s="7"/>
      <c r="N34" s="71"/>
      <c r="O34" s="454"/>
      <c r="P34" s="846"/>
      <c r="Q34" s="846"/>
      <c r="R34" s="846"/>
      <c r="S34" s="846"/>
      <c r="T34" s="846"/>
      <c r="U34" s="498"/>
      <c r="Z34" s="494">
        <v>11</v>
      </c>
      <c r="AA34" s="494">
        <v>2.8</v>
      </c>
      <c r="AB34" s="494">
        <v>224</v>
      </c>
    </row>
    <row r="35" spans="2:28" ht="9" customHeight="1" hidden="1">
      <c r="B35" s="495"/>
      <c r="C35" s="496"/>
      <c r="D35" s="496"/>
      <c r="E35" s="496"/>
      <c r="F35" s="496"/>
      <c r="G35" s="496"/>
      <c r="H35" s="496"/>
      <c r="I35" s="496"/>
      <c r="J35" s="496"/>
      <c r="K35" s="496"/>
      <c r="L35" s="497"/>
      <c r="M35" s="7"/>
      <c r="N35" s="71"/>
      <c r="O35" s="454"/>
      <c r="P35" s="846"/>
      <c r="Q35" s="846"/>
      <c r="R35" s="846"/>
      <c r="S35" s="846"/>
      <c r="T35" s="846"/>
      <c r="U35" s="498"/>
      <c r="Z35" s="494">
        <v>12</v>
      </c>
      <c r="AA35" s="494">
        <v>3.3</v>
      </c>
      <c r="AB35" s="494">
        <v>264</v>
      </c>
    </row>
    <row r="36" spans="2:28" ht="9" customHeight="1" hidden="1">
      <c r="B36" s="49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7"/>
      <c r="N36" s="71"/>
      <c r="O36" s="454"/>
      <c r="P36" s="846"/>
      <c r="Q36" s="846"/>
      <c r="R36" s="846"/>
      <c r="S36" s="846"/>
      <c r="T36" s="846"/>
      <c r="U36" s="498"/>
      <c r="Z36" s="494">
        <v>13</v>
      </c>
      <c r="AA36" s="494">
        <v>4.6</v>
      </c>
      <c r="AB36" s="494">
        <v>368</v>
      </c>
    </row>
    <row r="37" spans="2:28" ht="9" customHeight="1" hidden="1">
      <c r="B37" s="49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7"/>
      <c r="N37" s="71"/>
      <c r="O37" s="454"/>
      <c r="P37" s="846"/>
      <c r="Q37" s="846"/>
      <c r="R37" s="846"/>
      <c r="S37" s="846"/>
      <c r="T37" s="846"/>
      <c r="U37" s="498"/>
      <c r="Z37" s="494">
        <v>14</v>
      </c>
      <c r="AA37" s="494">
        <v>5.8999999999999995</v>
      </c>
      <c r="AB37" s="494">
        <v>472</v>
      </c>
    </row>
    <row r="38" spans="2:28" ht="9" customHeight="1" hidden="1">
      <c r="B38" s="49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7"/>
      <c r="N38" s="71"/>
      <c r="O38" s="454"/>
      <c r="P38" s="846"/>
      <c r="Q38" s="846"/>
      <c r="R38" s="846"/>
      <c r="S38" s="846"/>
      <c r="T38" s="846"/>
      <c r="U38" s="498"/>
      <c r="Z38" s="494">
        <v>15</v>
      </c>
      <c r="AA38" s="494">
        <v>7.2</v>
      </c>
      <c r="AB38" s="494">
        <v>576</v>
      </c>
    </row>
    <row r="39" spans="2:28" ht="9" customHeight="1" hidden="1">
      <c r="B39" s="49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7"/>
      <c r="N39" s="71"/>
      <c r="O39" s="454"/>
      <c r="P39" s="846"/>
      <c r="Q39" s="846"/>
      <c r="R39" s="846"/>
      <c r="S39" s="846"/>
      <c r="T39" s="846"/>
      <c r="U39" s="498"/>
      <c r="Z39" s="494">
        <v>16</v>
      </c>
      <c r="AA39" s="494">
        <v>8.5</v>
      </c>
      <c r="AB39" s="494">
        <v>680</v>
      </c>
    </row>
    <row r="40" spans="2:28" ht="9" customHeight="1" hidden="1">
      <c r="B40" s="499"/>
      <c r="C40" s="500"/>
      <c r="D40" s="500"/>
      <c r="E40" s="500"/>
      <c r="F40" s="500"/>
      <c r="G40" s="500"/>
      <c r="H40" s="500"/>
      <c r="I40" s="500"/>
      <c r="J40" s="500"/>
      <c r="K40" s="500"/>
      <c r="L40" s="21"/>
      <c r="M40" s="7"/>
      <c r="N40" s="71"/>
      <c r="O40" s="454"/>
      <c r="P40" s="846"/>
      <c r="Q40" s="846"/>
      <c r="R40" s="846"/>
      <c r="S40" s="846"/>
      <c r="T40" s="846"/>
      <c r="U40" s="498"/>
      <c r="Z40" s="494">
        <v>17</v>
      </c>
      <c r="AA40" s="494">
        <v>9.8</v>
      </c>
      <c r="AB40" s="494">
        <v>784</v>
      </c>
    </row>
    <row r="41" spans="2:28" ht="15">
      <c r="B41" s="490">
        <f>Klassen!F43&amp;Klassen!G43</f>
      </c>
      <c r="C41" s="483">
        <f>Klassen!H43+Klassen!I43</f>
        <v>0</v>
      </c>
      <c r="D41" s="483">
        <f>Klassen!J43+Klassen!K43</f>
        <v>0</v>
      </c>
      <c r="E41" s="486">
        <f>Klassen!L43+Klassen!M43</f>
        <v>0</v>
      </c>
      <c r="F41" s="491">
        <f>Klassen!N43+Klassen!O43</f>
        <v>0</v>
      </c>
      <c r="G41" s="484">
        <f>Klassen!P43+Klassen!Q43</f>
        <v>0</v>
      </c>
      <c r="H41" s="483">
        <f>Klassen!R43+Klassen!S43</f>
        <v>0</v>
      </c>
      <c r="I41" s="492">
        <f>Klassen!T43+Klassen!U43</f>
        <v>0</v>
      </c>
      <c r="J41" s="486">
        <f>Klassen!V43+Klassen!W43</f>
        <v>0</v>
      </c>
      <c r="K41" s="484">
        <f>Klassen!X43+Klassen!Y43</f>
        <v>0</v>
      </c>
      <c r="L41" s="407">
        <f>Klassen!Z43+Klassen!AA43</f>
        <v>0</v>
      </c>
      <c r="M41" s="7">
        <f>Klassen!C43</f>
        <v>0</v>
      </c>
      <c r="N41" s="71"/>
      <c r="O41" s="454">
        <f>IF(M41&gt;0,"in  "&amp;Klassen!AS43&amp;" Stufen ",)</f>
        <v>0</v>
      </c>
      <c r="P41" s="846"/>
      <c r="Q41" s="846"/>
      <c r="R41" s="846"/>
      <c r="S41" s="846"/>
      <c r="T41" s="846"/>
      <c r="U41" s="493">
        <f>IF(M41&gt;0,IF(Klassen!BH43&gt;0,"S"&amp;Klassen!AT43,Klassen!AT43),)</f>
        <v>0</v>
      </c>
      <c r="Z41" s="494">
        <v>18</v>
      </c>
      <c r="AA41" s="494">
        <v>11.100000000000001</v>
      </c>
      <c r="AB41" s="494">
        <v>888</v>
      </c>
    </row>
    <row r="42" spans="2:28" ht="15">
      <c r="B42" s="490">
        <f>Klassen!F44&amp;Klassen!G44</f>
      </c>
      <c r="C42" s="483">
        <f>Klassen!H44+Klassen!I44</f>
        <v>0</v>
      </c>
      <c r="D42" s="483">
        <f>Klassen!J44+Klassen!K44</f>
        <v>0</v>
      </c>
      <c r="E42" s="486">
        <f>Klassen!L44+Klassen!M44</f>
        <v>0</v>
      </c>
      <c r="F42" s="491">
        <f>Klassen!N44+Klassen!O44</f>
        <v>0</v>
      </c>
      <c r="G42" s="484">
        <f>Klassen!P44+Klassen!Q44</f>
        <v>0</v>
      </c>
      <c r="H42" s="483">
        <f>Klassen!R44+Klassen!S44</f>
        <v>0</v>
      </c>
      <c r="I42" s="492">
        <f>Klassen!T44+Klassen!U44</f>
        <v>0</v>
      </c>
      <c r="J42" s="486">
        <f>Klassen!V44+Klassen!W44</f>
        <v>0</v>
      </c>
      <c r="K42" s="484">
        <f>Klassen!X44+Klassen!Y44</f>
        <v>0</v>
      </c>
      <c r="L42" s="407">
        <f>Klassen!Z44+Klassen!AA44</f>
        <v>0</v>
      </c>
      <c r="M42" s="7">
        <f>Klassen!C44</f>
        <v>0</v>
      </c>
      <c r="N42" s="71"/>
      <c r="O42" s="454">
        <f>IF(M42&gt;0,"in  "&amp;Klassen!AS44&amp;" Stufen ",)</f>
        <v>0</v>
      </c>
      <c r="P42" s="9"/>
      <c r="Q42" s="9"/>
      <c r="R42" s="9"/>
      <c r="S42" s="9"/>
      <c r="T42" s="9"/>
      <c r="U42" s="493">
        <f>IF(M42&gt;0,IF(Klassen!BH44&gt;0,"S"&amp;Klassen!AT44,Klassen!AT44),)</f>
        <v>0</v>
      </c>
      <c r="Z42" s="494">
        <v>19</v>
      </c>
      <c r="AA42" s="494">
        <v>12.399999999999999</v>
      </c>
      <c r="AB42" s="494">
        <v>992</v>
      </c>
    </row>
    <row r="43" spans="2:28" ht="15">
      <c r="B43" s="490">
        <f>Klassen!F45&amp;Klassen!G45</f>
      </c>
      <c r="C43" s="483">
        <f>Klassen!H45+Klassen!I45</f>
        <v>0</v>
      </c>
      <c r="D43" s="483">
        <f>Klassen!J45+Klassen!K45</f>
        <v>0</v>
      </c>
      <c r="E43" s="486">
        <f>Klassen!L45+Klassen!M45</f>
        <v>0</v>
      </c>
      <c r="F43" s="491">
        <f>Klassen!N45+Klassen!O45</f>
        <v>0</v>
      </c>
      <c r="G43" s="484">
        <f>Klassen!P45+Klassen!Q45</f>
        <v>0</v>
      </c>
      <c r="H43" s="483">
        <f>Klassen!R45+Klassen!S45</f>
        <v>0</v>
      </c>
      <c r="I43" s="492">
        <f>Klassen!T45+Klassen!U45</f>
        <v>0</v>
      </c>
      <c r="J43" s="486">
        <f>Klassen!V45+Klassen!W45</f>
        <v>0</v>
      </c>
      <c r="K43" s="484">
        <f>Klassen!X45+Klassen!Y45</f>
        <v>0</v>
      </c>
      <c r="L43" s="407">
        <f>Klassen!Z45+Klassen!AA45</f>
        <v>0</v>
      </c>
      <c r="M43" s="7">
        <f>Klassen!C45</f>
        <v>0</v>
      </c>
      <c r="N43" s="71"/>
      <c r="O43" s="454">
        <f>IF(M43&gt;0,"in  "&amp;Klassen!AS45&amp;" Stufen ",)</f>
        <v>0</v>
      </c>
      <c r="P43" s="501"/>
      <c r="Q43" s="502" t="s">
        <v>129</v>
      </c>
      <c r="R43" s="502"/>
      <c r="S43" s="503"/>
      <c r="T43" s="503"/>
      <c r="U43" s="493">
        <f>IF(M43&gt;0,IF(Klassen!BH45&gt;0,"S"&amp;Klassen!AT45,Klassen!AT45),)</f>
        <v>0</v>
      </c>
      <c r="Z43" s="494">
        <v>20</v>
      </c>
      <c r="AA43" s="494">
        <v>13.7</v>
      </c>
      <c r="AB43" s="494">
        <v>1096</v>
      </c>
    </row>
    <row r="44" spans="2:28" ht="15" customHeight="1">
      <c r="B44" s="490">
        <f>Klassen!F46&amp;Klassen!G46</f>
      </c>
      <c r="C44" s="483">
        <f>Klassen!H46+Klassen!I46</f>
        <v>0</v>
      </c>
      <c r="D44" s="483">
        <f>Klassen!J46+Klassen!K46</f>
        <v>0</v>
      </c>
      <c r="E44" s="486">
        <f>Klassen!L46+Klassen!M46</f>
        <v>0</v>
      </c>
      <c r="F44" s="491">
        <f>Klassen!N46+Klassen!O46</f>
        <v>0</v>
      </c>
      <c r="G44" s="484">
        <f>Klassen!P46+Klassen!Q46</f>
        <v>0</v>
      </c>
      <c r="H44" s="483">
        <f>Klassen!R46+Klassen!S46</f>
        <v>0</v>
      </c>
      <c r="I44" s="492">
        <f>Klassen!T46+Klassen!U46</f>
        <v>0</v>
      </c>
      <c r="J44" s="486">
        <f>Klassen!V46+Klassen!W46</f>
        <v>0</v>
      </c>
      <c r="K44" s="484">
        <f>Klassen!X46+Klassen!Y46</f>
        <v>0</v>
      </c>
      <c r="L44" s="407">
        <f>Klassen!Z46+Klassen!AA46</f>
        <v>0</v>
      </c>
      <c r="M44" s="7">
        <f>Klassen!C46</f>
        <v>0</v>
      </c>
      <c r="N44" s="71"/>
      <c r="O44" s="454">
        <f>IF(M44&gt;0,"in  "&amp;Klassen!AS46&amp;" Stufen ",)</f>
        <v>0</v>
      </c>
      <c r="R44" s="852">
        <f ca="1">IF(S78&gt;0,TODAY(),)</f>
        <v>43958</v>
      </c>
      <c r="S44" s="852"/>
      <c r="T44" s="852"/>
      <c r="U44" s="493">
        <f>IF(M44&gt;0,IF(Klassen!BH46&gt;0,"S"&amp;Klassen!AT46,Klassen!AT46),)</f>
        <v>0</v>
      </c>
      <c r="Z44" s="494">
        <v>21</v>
      </c>
      <c r="AA44" s="494">
        <v>15</v>
      </c>
      <c r="AB44" s="494">
        <v>1200</v>
      </c>
    </row>
    <row r="45" spans="2:28" ht="15" customHeight="1">
      <c r="B45" s="504">
        <f>Klassen!F47&amp;Klassen!G47</f>
      </c>
      <c r="C45" s="483">
        <f>Klassen!H47+Klassen!I47</f>
        <v>0</v>
      </c>
      <c r="D45" s="483">
        <f>Klassen!J47+Klassen!K47</f>
        <v>0</v>
      </c>
      <c r="E45" s="486">
        <f>Klassen!L47+Klassen!M47</f>
        <v>0</v>
      </c>
      <c r="F45" s="491">
        <f>Klassen!N47+Klassen!O47</f>
        <v>0</v>
      </c>
      <c r="G45" s="484">
        <f>Klassen!P47+Klassen!Q47</f>
        <v>0</v>
      </c>
      <c r="H45" s="483">
        <f>Klassen!R47+Klassen!S47</f>
        <v>0</v>
      </c>
      <c r="I45" s="492">
        <f>Klassen!T47+Klassen!U47</f>
        <v>0</v>
      </c>
      <c r="J45" s="486">
        <f>Klassen!V47+Klassen!W47</f>
        <v>0</v>
      </c>
      <c r="K45" s="484">
        <f>Klassen!X47+Klassen!Y47</f>
        <v>0</v>
      </c>
      <c r="L45" s="505">
        <f>Klassen!Z47+Klassen!AA47</f>
        <v>0</v>
      </c>
      <c r="M45" s="7">
        <f>Klassen!C47</f>
        <v>0</v>
      </c>
      <c r="N45" s="71"/>
      <c r="O45" s="454">
        <f>IF(M45&gt;0,"in  "&amp;Klassen!AS47&amp;" Stufen ",)</f>
        <v>0</v>
      </c>
      <c r="R45" s="853"/>
      <c r="S45" s="853"/>
      <c r="T45" s="853"/>
      <c r="U45" s="493">
        <f>IF(M45&gt;0,IF(Klassen!BH47&gt;0,"S"&amp;Klassen!AT47,Klassen!AT47),)</f>
        <v>0</v>
      </c>
      <c r="Z45" s="494">
        <v>22</v>
      </c>
      <c r="AA45" s="494">
        <v>15.7</v>
      </c>
      <c r="AB45" s="494">
        <v>1256</v>
      </c>
    </row>
    <row r="46" spans="18:29" s="12" customFormat="1" ht="16.5">
      <c r="R46" s="344"/>
      <c r="S46" s="344" t="s">
        <v>6</v>
      </c>
      <c r="T46" s="573"/>
      <c r="U46" s="574">
        <f>IF(U47&lt;=7,W48,X47)</f>
        <v>0</v>
      </c>
      <c r="Y46" s="575">
        <f>IF(Y47&gt;0," +"&amp;Y47&amp;" STB","")</f>
      </c>
      <c r="Z46" s="494">
        <v>23</v>
      </c>
      <c r="AA46" s="494">
        <v>16.4</v>
      </c>
      <c r="AB46" s="494">
        <v>1312</v>
      </c>
      <c r="AC46" s="506"/>
    </row>
    <row r="47" spans="1:29" s="339" customFormat="1" ht="17.25" thickBot="1">
      <c r="A47" s="12"/>
      <c r="B47" s="345" t="s">
        <v>130</v>
      </c>
      <c r="C47" s="346">
        <f aca="true" t="shared" si="1" ref="C47:L47">SUM(C19,C12,C8)</f>
        <v>0</v>
      </c>
      <c r="D47" s="347">
        <f t="shared" si="1"/>
        <v>0</v>
      </c>
      <c r="E47" s="347">
        <f t="shared" si="1"/>
        <v>0</v>
      </c>
      <c r="F47" s="347">
        <f t="shared" si="1"/>
        <v>0</v>
      </c>
      <c r="G47" s="346">
        <f t="shared" si="1"/>
        <v>0</v>
      </c>
      <c r="H47" s="347">
        <f t="shared" si="1"/>
        <v>0</v>
      </c>
      <c r="I47" s="347">
        <f t="shared" si="1"/>
        <v>0</v>
      </c>
      <c r="J47" s="347">
        <f t="shared" si="1"/>
        <v>0</v>
      </c>
      <c r="K47" s="346">
        <f t="shared" si="1"/>
        <v>0</v>
      </c>
      <c r="L47" s="347">
        <f t="shared" si="1"/>
        <v>0</v>
      </c>
      <c r="M47" s="348">
        <f>SUM(C47:L47)</f>
        <v>0</v>
      </c>
      <c r="T47" s="351">
        <f>IF(U49&gt;0,"für LeitZul:  "&amp;IF(J48="X","..+",)&amp;U49&amp;" Kl "&amp;Y46,)</f>
        <v>0</v>
      </c>
      <c r="U47" s="576">
        <f>U49+X47</f>
        <v>0</v>
      </c>
      <c r="V47"/>
      <c r="W47" s="577">
        <f>GTS!AJ26</f>
        <v>0</v>
      </c>
      <c r="X47" s="577">
        <f>GTS!AK26</f>
        <v>0</v>
      </c>
      <c r="Y47" s="577">
        <f>GTS!AL26</f>
        <v>0</v>
      </c>
      <c r="Z47" s="494">
        <v>24</v>
      </c>
      <c r="AA47" s="494">
        <v>17.099999999999998</v>
      </c>
      <c r="AB47" s="494">
        <v>1368</v>
      </c>
      <c r="AC47" s="506"/>
    </row>
    <row r="48" spans="4:29" ht="17.25" thickBot="1" thickTop="1">
      <c r="D48" s="273" t="s">
        <v>47</v>
      </c>
      <c r="E48" s="847">
        <f>Klassen!AF14</f>
        <v>0</v>
      </c>
      <c r="F48" s="848"/>
      <c r="G48" s="274" t="s">
        <v>80</v>
      </c>
      <c r="J48" s="349">
        <f>IF(OR(ISNUMBER(SEARCH("Bregenz",A1)),ISNUMBER(SEARCH("Weidach",A1)),ISNUMBER(SEARCH("Lauterach",A1)),ISNUMBER(SEARCH("Unterfeld",A1)),ISNUMBER(SEARCH("Langenegg",A1)),ISNUMBER(SEARCH("Kleinwalsertal",A1)),ISNUMBER(SEARCH("Riezlern",A1)),ISNUMBER(SEARCH("Hohenems",A1)),ISNUMBER(SEARCH("Schwefel",A1))),"X",)</f>
        <v>0</v>
      </c>
      <c r="K48" s="350">
        <f>IF(J48&gt;0," ... die Sonderschul-Klassen werden nicht als selbständige Schule geführt",)</f>
        <v>0</v>
      </c>
      <c r="U48">
        <f>20-2-(U49*1.5)-U46</f>
        <v>18</v>
      </c>
      <c r="W48" s="577">
        <f>ROUNDDOWN(W47,0)*0.75</f>
        <v>0</v>
      </c>
      <c r="Y48" s="507">
        <f>IF(OR(ISNUMBER(SEARCH("Langenegg",A1)),ISNUMBER(SEARCH("Lauterach",A1)),ISNUMBER(SEARCH("Schwefel",A1)),ISNUMBER(SEARCH("Hohenems",A1)),ISNUMBER(SEARCH("Weidach",A1))),"X",)</f>
        <v>0</v>
      </c>
      <c r="Z48" s="508" t="s">
        <v>164</v>
      </c>
      <c r="AA48" s="508" t="s">
        <v>165</v>
      </c>
      <c r="AB48" s="508" t="s">
        <v>166</v>
      </c>
      <c r="AC48" s="508" t="s">
        <v>384</v>
      </c>
    </row>
    <row r="49" spans="1:29" ht="15.75" thickTop="1">
      <c r="A49" s="26"/>
      <c r="B49" s="26"/>
      <c r="C49" s="26"/>
      <c r="D49" s="26"/>
      <c r="E49" s="26"/>
      <c r="F49" s="26"/>
      <c r="G49" s="26"/>
      <c r="H49" s="26"/>
      <c r="I49" s="26"/>
      <c r="K49" s="26"/>
      <c r="L49" s="26"/>
      <c r="N49" s="351">
        <f>IF(U49&gt;0,IF(J48&lt;&gt;0,"Leiter-LV:  zusätzliche Einrechnung von "&amp;(U49*1.5)+U46&amp;" +1,5",IF(U47&gt;7,IF(U47&lt;12,"Leiter freigestellt,  SV = "&amp;U48,"Leiter-LV:   freigestellt"),"Leiter-LV =  "&amp;U48)),)</f>
        <v>0</v>
      </c>
      <c r="Q49" s="26"/>
      <c r="R49" s="26"/>
      <c r="S49" s="905">
        <f>IF(T49=0,,"Für Admin. Entlastu.:")</f>
        <v>0</v>
      </c>
      <c r="T49" s="782">
        <f>AB49</f>
        <v>0</v>
      </c>
      <c r="U49" s="509">
        <f>IF(A78&lt;U12,A78,U12)</f>
        <v>0</v>
      </c>
      <c r="V49" s="7"/>
      <c r="W49" s="7"/>
      <c r="X49" s="7"/>
      <c r="Y49" s="510">
        <f>IF(OR(ISNUMBER(SEARCH("koop",A1)),ISNUMBER(SEARCH("agdbe",A1)),ISNUMBER(SEARCH("Sozialpädagogische Schule",A1)),OR(ISNUMBER(SEARCH("arina",A1)),ISNUMBER(SEARCH("ehör",A1)))),"X",)</f>
        <v>0</v>
      </c>
      <c r="Z49" s="511">
        <f>IF(OR(Y48="X",Y49="X"),,U49)</f>
        <v>0</v>
      </c>
      <c r="AA49" s="511">
        <f>LOOKUP(Z49,Z23:Z47,AA23:AA47)</f>
        <v>0</v>
      </c>
      <c r="AB49" s="511">
        <f>LOOKUP(Z49,Z23:Z47,AB23:AB47)</f>
        <v>0</v>
      </c>
      <c r="AC49" s="511">
        <f>IF(OR(ISNUMBER(SEARCH("koop",A1)),ISNUMBER(SEARCH("Jagdberg",A1)),ISNUMBER(SEARCH("Sozialpädagogische Schule",A1)),ISNUMBER(SEARCH("hör",A1))),"pri",)</f>
        <v>0</v>
      </c>
    </row>
    <row r="50" spans="1:20" s="2" customFormat="1" ht="27">
      <c r="A50" s="321" t="s">
        <v>149</v>
      </c>
      <c r="B50" s="512"/>
      <c r="C50" s="321"/>
      <c r="D50" s="321"/>
      <c r="E50" s="321"/>
      <c r="F50" s="321"/>
      <c r="G50" s="321"/>
      <c r="H50" s="15"/>
      <c r="I50" s="14" t="s">
        <v>148</v>
      </c>
      <c r="L50" s="14"/>
      <c r="M50" s="14"/>
      <c r="N50" s="14"/>
      <c r="O50" s="14"/>
      <c r="P50" s="14"/>
      <c r="Q50" s="14"/>
      <c r="T50" s="906">
        <f>IF(T49=0,," = "&amp;AA49&amp;" Verw.")</f>
        <v>0</v>
      </c>
    </row>
    <row r="51" spans="3:20" s="2" customFormat="1" ht="15">
      <c r="C51" s="825" t="s">
        <v>2</v>
      </c>
      <c r="D51" s="826"/>
      <c r="E51" s="826"/>
      <c r="F51" s="826"/>
      <c r="G51" s="827"/>
      <c r="I51" s="32"/>
      <c r="J51" s="831" t="s">
        <v>10</v>
      </c>
      <c r="K51" s="832"/>
      <c r="L51" s="831" t="s">
        <v>11</v>
      </c>
      <c r="M51" s="832"/>
      <c r="N51" s="817" t="s">
        <v>287</v>
      </c>
      <c r="O51" s="818"/>
      <c r="T51" s="408" t="s">
        <v>255</v>
      </c>
    </row>
    <row r="52" spans="3:26" s="11" customFormat="1" ht="15.75">
      <c r="C52" s="828"/>
      <c r="D52" s="829"/>
      <c r="E52" s="829"/>
      <c r="F52" s="829"/>
      <c r="G52" s="830"/>
      <c r="I52" s="33"/>
      <c r="J52" s="833"/>
      <c r="K52" s="823"/>
      <c r="L52" s="833"/>
      <c r="M52" s="823"/>
      <c r="N52" s="819"/>
      <c r="O52" s="820"/>
      <c r="P52" s="2"/>
      <c r="Q52" s="2"/>
      <c r="R52" s="2"/>
      <c r="S52" s="840"/>
      <c r="T52" s="840"/>
      <c r="U52"/>
      <c r="V52"/>
      <c r="W52" s="531" t="s">
        <v>51</v>
      </c>
      <c r="X52" s="531" t="s">
        <v>53</v>
      </c>
      <c r="Y52" s="531" t="s">
        <v>52</v>
      </c>
      <c r="Z52" s="2"/>
    </row>
    <row r="53" spans="1:29" s="24" customFormat="1" ht="71.25" customHeight="1">
      <c r="A53" s="29" t="s">
        <v>7</v>
      </c>
      <c r="B53" s="25"/>
      <c r="C53" s="27" t="s">
        <v>3</v>
      </c>
      <c r="D53" s="27" t="s">
        <v>4</v>
      </c>
      <c r="E53" s="29" t="s">
        <v>5</v>
      </c>
      <c r="F53" s="821" t="s">
        <v>254</v>
      </c>
      <c r="G53" s="822"/>
      <c r="H53" s="23" t="s">
        <v>9</v>
      </c>
      <c r="I53" s="35" t="s">
        <v>28</v>
      </c>
      <c r="J53" s="27" t="s">
        <v>12</v>
      </c>
      <c r="K53" s="34" t="s">
        <v>13</v>
      </c>
      <c r="L53" s="27" t="s">
        <v>12</v>
      </c>
      <c r="M53" s="34" t="s">
        <v>13</v>
      </c>
      <c r="N53" s="819"/>
      <c r="O53" s="820"/>
      <c r="P53" s="2"/>
      <c r="Q53" s="2"/>
      <c r="R53" s="2"/>
      <c r="S53" s="2"/>
      <c r="T53" s="2"/>
      <c r="Y53" s="352" t="s">
        <v>23</v>
      </c>
      <c r="Z53" s="323" t="s">
        <v>24</v>
      </c>
      <c r="AA53" s="323" t="s">
        <v>25</v>
      </c>
      <c r="AB53" s="323" t="s">
        <v>26</v>
      </c>
      <c r="AC53" s="323" t="s">
        <v>27</v>
      </c>
    </row>
    <row r="54" spans="1:29" s="10" customFormat="1" ht="5.25" customHeight="1">
      <c r="A54" s="30"/>
      <c r="B54" s="31"/>
      <c r="C54" s="28"/>
      <c r="D54" s="28"/>
      <c r="E54" s="30"/>
      <c r="F54" s="31"/>
      <c r="G54" s="31"/>
      <c r="I54" s="28"/>
      <c r="J54" s="28"/>
      <c r="K54" s="28"/>
      <c r="L54" s="28"/>
      <c r="M54" s="28"/>
      <c r="N54" s="30"/>
      <c r="P54" s="2"/>
      <c r="Q54" s="2"/>
      <c r="R54" s="2"/>
      <c r="S54" s="2"/>
      <c r="T54" s="2"/>
      <c r="Z54" s="353">
        <v>0</v>
      </c>
      <c r="AA54" s="354">
        <v>0</v>
      </c>
      <c r="AB54" s="354">
        <v>0</v>
      </c>
      <c r="AC54" s="354">
        <v>0</v>
      </c>
    </row>
    <row r="55" spans="1:29" s="10" customFormat="1" ht="5.25" customHeight="1">
      <c r="A55" s="513"/>
      <c r="B55" s="513"/>
      <c r="C55" s="513"/>
      <c r="D55" s="513"/>
      <c r="E55" s="513"/>
      <c r="F55" s="513"/>
      <c r="G55" s="513"/>
      <c r="I55" s="513"/>
      <c r="J55" s="513"/>
      <c r="K55" s="513"/>
      <c r="L55" s="513"/>
      <c r="M55" s="513"/>
      <c r="N55" s="513"/>
      <c r="P55" s="2"/>
      <c r="Q55" s="2"/>
      <c r="R55" s="2"/>
      <c r="S55" s="2"/>
      <c r="T55" s="2"/>
      <c r="Z55" s="353">
        <v>1</v>
      </c>
      <c r="AA55" s="354">
        <v>1</v>
      </c>
      <c r="AB55" s="354">
        <v>0</v>
      </c>
      <c r="AC55" s="354">
        <v>20</v>
      </c>
    </row>
    <row r="56" spans="1:29" s="2" customFormat="1" ht="18" hidden="1">
      <c r="A56" s="514">
        <f aca="true" t="shared" si="2" ref="A56:A67">B20</f>
      </c>
      <c r="B56" s="515"/>
      <c r="C56" s="516">
        <f>Klassen!A29</f>
        <v>0</v>
      </c>
      <c r="D56" s="356">
        <f>Klassen!B29</f>
        <v>0</v>
      </c>
      <c r="E56" s="823">
        <f aca="true" t="shared" si="3" ref="E56:E67">M20</f>
        <v>0</v>
      </c>
      <c r="F56" s="824"/>
      <c r="G56" s="481">
        <f>Klassen!AI29</f>
        <v>0</v>
      </c>
      <c r="H56" s="40">
        <f aca="true" t="shared" si="4" ref="H56:H67">U20</f>
        <v>0</v>
      </c>
      <c r="I56" s="358">
        <f aca="true" t="shared" si="5" ref="I56:I72">IF(E56&gt;0,2,)</f>
        <v>0</v>
      </c>
      <c r="J56" s="357">
        <f aca="true" t="shared" si="6" ref="J56:J76">V56</f>
        <v>0</v>
      </c>
      <c r="K56" s="44">
        <f aca="true" t="shared" si="7" ref="K56:K72">IF(AND(E56&gt;0,E56&lt;3,V56&gt;0),-V56,IF(AND(E56&gt;=10,V56&gt;0,RIGHT(H56,1)&lt;"6"),V56,))</f>
        <v>0</v>
      </c>
      <c r="L56" s="357">
        <f aca="true" t="shared" si="8" ref="L56:L77">W56</f>
        <v>0</v>
      </c>
      <c r="M56" s="44">
        <f aca="true" t="shared" si="9" ref="M56:M73">IF(AND(E56&gt;0,E56&lt;3,W56&gt;0),-W56,IF(AND(E56&gt;=10,W56&gt;0),W56,))</f>
        <v>0</v>
      </c>
      <c r="N56" s="529">
        <f aca="true" t="shared" si="10" ref="N56:N77">X56</f>
        <v>0</v>
      </c>
      <c r="U56" s="26"/>
      <c r="V56" s="16">
        <f aca="true" t="shared" si="11" ref="V56:V77">LOOKUP($H56,$Z$54:$Z$76,AA$54:AA$76)</f>
        <v>0</v>
      </c>
      <c r="W56" s="16">
        <f aca="true" t="shared" si="12" ref="W56:W77">LOOKUP($H56,$Z$54:$Z$76,AB$54:AB$76)</f>
        <v>0</v>
      </c>
      <c r="X56" s="16">
        <f aca="true" t="shared" si="13" ref="X56:X77">LOOKUP($H56,$Z$54:$Z$76,AC$54:AC$76)</f>
        <v>0</v>
      </c>
      <c r="Z56" s="353">
        <v>2</v>
      </c>
      <c r="AA56" s="354">
        <v>1</v>
      </c>
      <c r="AB56" s="354">
        <v>0</v>
      </c>
      <c r="AC56" s="354">
        <v>20</v>
      </c>
    </row>
    <row r="57" spans="1:29" s="2" customFormat="1" ht="18" hidden="1">
      <c r="A57" s="514">
        <f t="shared" si="2"/>
      </c>
      <c r="B57" s="515"/>
      <c r="C57" s="516">
        <f>Klassen!A30</f>
        <v>0</v>
      </c>
      <c r="D57" s="356">
        <f>Klassen!B30</f>
        <v>0</v>
      </c>
      <c r="E57" s="823">
        <f t="shared" si="3"/>
        <v>0</v>
      </c>
      <c r="F57" s="824"/>
      <c r="G57" s="481">
        <f>Klassen!AI30</f>
        <v>0</v>
      </c>
      <c r="H57" s="40">
        <f t="shared" si="4"/>
        <v>0</v>
      </c>
      <c r="I57" s="358">
        <f t="shared" si="5"/>
        <v>0</v>
      </c>
      <c r="J57" s="357">
        <f t="shared" si="6"/>
        <v>0</v>
      </c>
      <c r="K57" s="44">
        <f t="shared" si="7"/>
        <v>0</v>
      </c>
      <c r="L57" s="357">
        <f t="shared" si="8"/>
        <v>0</v>
      </c>
      <c r="M57" s="44">
        <f t="shared" si="9"/>
        <v>0</v>
      </c>
      <c r="N57" s="527">
        <f t="shared" si="10"/>
        <v>0</v>
      </c>
      <c r="U57" s="26"/>
      <c r="V57" s="16">
        <f t="shared" si="11"/>
        <v>0</v>
      </c>
      <c r="W57" s="16">
        <f t="shared" si="12"/>
        <v>0</v>
      </c>
      <c r="X57" s="16">
        <f t="shared" si="13"/>
        <v>0</v>
      </c>
      <c r="Z57" s="353">
        <v>3</v>
      </c>
      <c r="AA57" s="354">
        <v>1</v>
      </c>
      <c r="AB57" s="354">
        <v>0</v>
      </c>
      <c r="AC57" s="354">
        <v>21</v>
      </c>
    </row>
    <row r="58" spans="1:29" ht="18" hidden="1">
      <c r="A58" s="514">
        <f t="shared" si="2"/>
      </c>
      <c r="B58" s="515"/>
      <c r="C58" s="516">
        <f>Klassen!A31</f>
        <v>0</v>
      </c>
      <c r="D58" s="356">
        <f>Klassen!B31</f>
        <v>0</v>
      </c>
      <c r="E58" s="823">
        <f t="shared" si="3"/>
        <v>0</v>
      </c>
      <c r="F58" s="824"/>
      <c r="G58" s="481">
        <f>Klassen!AI31</f>
        <v>0</v>
      </c>
      <c r="H58" s="40">
        <f t="shared" si="4"/>
        <v>0</v>
      </c>
      <c r="I58" s="358">
        <f t="shared" si="5"/>
        <v>0</v>
      </c>
      <c r="J58" s="357">
        <f t="shared" si="6"/>
        <v>0</v>
      </c>
      <c r="K58" s="44">
        <f t="shared" si="7"/>
        <v>0</v>
      </c>
      <c r="L58" s="357">
        <f t="shared" si="8"/>
        <v>0</v>
      </c>
      <c r="M58" s="44">
        <f t="shared" si="9"/>
        <v>0</v>
      </c>
      <c r="N58" s="527">
        <f t="shared" si="10"/>
        <v>0</v>
      </c>
      <c r="O58" s="2"/>
      <c r="P58" s="2"/>
      <c r="Q58" s="2"/>
      <c r="R58" s="2"/>
      <c r="S58" s="2"/>
      <c r="T58" s="2"/>
      <c r="U58" s="26"/>
      <c r="V58" s="16">
        <f t="shared" si="11"/>
        <v>0</v>
      </c>
      <c r="W58" s="16">
        <f t="shared" si="12"/>
        <v>0</v>
      </c>
      <c r="X58" s="16">
        <f t="shared" si="13"/>
        <v>0</v>
      </c>
      <c r="Z58" s="353">
        <v>4</v>
      </c>
      <c r="AA58" s="354">
        <v>1</v>
      </c>
      <c r="AB58" s="354">
        <v>0</v>
      </c>
      <c r="AC58" s="354">
        <v>21</v>
      </c>
    </row>
    <row r="59" spans="1:29" ht="18" hidden="1">
      <c r="A59" s="514">
        <f t="shared" si="2"/>
      </c>
      <c r="B59" s="515"/>
      <c r="C59" s="516">
        <f>Klassen!A32</f>
        <v>0</v>
      </c>
      <c r="D59" s="356">
        <f>Klassen!B32</f>
        <v>0</v>
      </c>
      <c r="E59" s="823">
        <f t="shared" si="3"/>
        <v>0</v>
      </c>
      <c r="F59" s="824"/>
      <c r="G59" s="481">
        <f>Klassen!AI32</f>
        <v>0</v>
      </c>
      <c r="H59" s="40">
        <f t="shared" si="4"/>
        <v>0</v>
      </c>
      <c r="I59" s="358">
        <f t="shared" si="5"/>
        <v>0</v>
      </c>
      <c r="J59" s="357">
        <f t="shared" si="6"/>
        <v>0</v>
      </c>
      <c r="K59" s="44">
        <f t="shared" si="7"/>
        <v>0</v>
      </c>
      <c r="L59" s="357">
        <f t="shared" si="8"/>
        <v>0</v>
      </c>
      <c r="M59" s="44">
        <f t="shared" si="9"/>
        <v>0</v>
      </c>
      <c r="N59" s="527">
        <f t="shared" si="10"/>
        <v>0</v>
      </c>
      <c r="O59" s="2"/>
      <c r="P59" s="2"/>
      <c r="Q59" s="2"/>
      <c r="R59" s="2"/>
      <c r="S59" s="2"/>
      <c r="T59" s="2"/>
      <c r="U59" s="26"/>
      <c r="V59" s="16">
        <f t="shared" si="11"/>
        <v>0</v>
      </c>
      <c r="W59" s="16">
        <f t="shared" si="12"/>
        <v>0</v>
      </c>
      <c r="X59" s="16">
        <f t="shared" si="13"/>
        <v>0</v>
      </c>
      <c r="Z59" s="353">
        <v>5</v>
      </c>
      <c r="AA59" s="354">
        <v>3</v>
      </c>
      <c r="AB59" s="354">
        <v>1.5</v>
      </c>
      <c r="AC59" s="354">
        <v>22</v>
      </c>
    </row>
    <row r="60" spans="1:29" ht="18" hidden="1">
      <c r="A60" s="514">
        <f t="shared" si="2"/>
      </c>
      <c r="B60" s="515"/>
      <c r="C60" s="516">
        <f>Klassen!A33</f>
        <v>0</v>
      </c>
      <c r="D60" s="356">
        <f>Klassen!B33</f>
        <v>0</v>
      </c>
      <c r="E60" s="823">
        <f t="shared" si="3"/>
        <v>0</v>
      </c>
      <c r="F60" s="824"/>
      <c r="G60" s="481">
        <f>Klassen!AI33</f>
        <v>0</v>
      </c>
      <c r="H60" s="40">
        <f t="shared" si="4"/>
        <v>0</v>
      </c>
      <c r="I60" s="358">
        <f t="shared" si="5"/>
        <v>0</v>
      </c>
      <c r="J60" s="357">
        <f t="shared" si="6"/>
        <v>0</v>
      </c>
      <c r="K60" s="44">
        <f t="shared" si="7"/>
        <v>0</v>
      </c>
      <c r="L60" s="357">
        <f t="shared" si="8"/>
        <v>0</v>
      </c>
      <c r="M60" s="44">
        <f t="shared" si="9"/>
        <v>0</v>
      </c>
      <c r="N60" s="527">
        <f t="shared" si="10"/>
        <v>0</v>
      </c>
      <c r="O60" s="2"/>
      <c r="P60" s="2"/>
      <c r="Q60" s="2"/>
      <c r="R60" s="2"/>
      <c r="S60" s="2"/>
      <c r="T60" s="2"/>
      <c r="U60" s="26"/>
      <c r="V60" s="16">
        <f t="shared" si="11"/>
        <v>0</v>
      </c>
      <c r="W60" s="16">
        <f t="shared" si="12"/>
        <v>0</v>
      </c>
      <c r="X60" s="16">
        <f t="shared" si="13"/>
        <v>0</v>
      </c>
      <c r="Z60" s="353">
        <v>6</v>
      </c>
      <c r="AA60" s="354">
        <v>3</v>
      </c>
      <c r="AB60" s="354">
        <v>1.5</v>
      </c>
      <c r="AC60" s="354">
        <v>26</v>
      </c>
    </row>
    <row r="61" spans="1:29" ht="18" hidden="1">
      <c r="A61" s="514">
        <f t="shared" si="2"/>
      </c>
      <c r="B61" s="515"/>
      <c r="C61" s="516">
        <f>Klassen!A34</f>
        <v>0</v>
      </c>
      <c r="D61" s="356">
        <f>Klassen!B34</f>
        <v>0</v>
      </c>
      <c r="E61" s="823">
        <f t="shared" si="3"/>
        <v>0</v>
      </c>
      <c r="F61" s="824"/>
      <c r="G61" s="481">
        <f>Klassen!AI34</f>
        <v>0</v>
      </c>
      <c r="H61" s="40">
        <f t="shared" si="4"/>
        <v>0</v>
      </c>
      <c r="I61" s="358">
        <f t="shared" si="5"/>
        <v>0</v>
      </c>
      <c r="J61" s="357">
        <f t="shared" si="6"/>
        <v>0</v>
      </c>
      <c r="K61" s="44">
        <f t="shared" si="7"/>
        <v>0</v>
      </c>
      <c r="L61" s="357">
        <f t="shared" si="8"/>
        <v>0</v>
      </c>
      <c r="M61" s="44">
        <f t="shared" si="9"/>
        <v>0</v>
      </c>
      <c r="N61" s="527">
        <f t="shared" si="10"/>
        <v>0</v>
      </c>
      <c r="O61" s="2"/>
      <c r="P61" s="2"/>
      <c r="Q61" s="2"/>
      <c r="R61" s="2"/>
      <c r="S61" s="2"/>
      <c r="T61" s="2"/>
      <c r="U61" s="26"/>
      <c r="V61" s="16">
        <f t="shared" si="11"/>
        <v>0</v>
      </c>
      <c r="W61" s="16">
        <f t="shared" si="12"/>
        <v>0</v>
      </c>
      <c r="X61" s="16">
        <f t="shared" si="13"/>
        <v>0</v>
      </c>
      <c r="Z61" s="353">
        <v>7</v>
      </c>
      <c r="AA61" s="354">
        <v>3</v>
      </c>
      <c r="AB61" s="354">
        <v>1.5</v>
      </c>
      <c r="AC61" s="354">
        <v>26</v>
      </c>
    </row>
    <row r="62" spans="1:29" ht="18" hidden="1">
      <c r="A62" s="514">
        <f t="shared" si="2"/>
      </c>
      <c r="B62" s="515"/>
      <c r="C62" s="516">
        <f>Klassen!A35</f>
        <v>0</v>
      </c>
      <c r="D62" s="356">
        <f>Klassen!B35</f>
        <v>0</v>
      </c>
      <c r="E62" s="823">
        <f t="shared" si="3"/>
        <v>0</v>
      </c>
      <c r="F62" s="824"/>
      <c r="G62" s="481">
        <f>Klassen!AI35</f>
        <v>0</v>
      </c>
      <c r="H62" s="40">
        <f t="shared" si="4"/>
        <v>0</v>
      </c>
      <c r="I62" s="358">
        <f t="shared" si="5"/>
        <v>0</v>
      </c>
      <c r="J62" s="357">
        <f t="shared" si="6"/>
        <v>0</v>
      </c>
      <c r="K62" s="44">
        <f t="shared" si="7"/>
        <v>0</v>
      </c>
      <c r="L62" s="357">
        <f t="shared" si="8"/>
        <v>0</v>
      </c>
      <c r="M62" s="44">
        <f t="shared" si="9"/>
        <v>0</v>
      </c>
      <c r="N62" s="527">
        <f t="shared" si="10"/>
        <v>0</v>
      </c>
      <c r="O62" s="2"/>
      <c r="P62" s="2"/>
      <c r="Q62" s="2"/>
      <c r="R62" s="2"/>
      <c r="S62" s="2"/>
      <c r="T62" s="2"/>
      <c r="U62" s="26"/>
      <c r="V62" s="16">
        <f t="shared" si="11"/>
        <v>0</v>
      </c>
      <c r="W62" s="16">
        <f t="shared" si="12"/>
        <v>0</v>
      </c>
      <c r="X62" s="16">
        <f t="shared" si="13"/>
        <v>0</v>
      </c>
      <c r="Z62" s="353">
        <v>8</v>
      </c>
      <c r="AA62" s="354">
        <v>3</v>
      </c>
      <c r="AB62" s="354">
        <v>1.5</v>
      </c>
      <c r="AC62" s="354">
        <v>27</v>
      </c>
    </row>
    <row r="63" spans="1:29" ht="18" hidden="1">
      <c r="A63" s="514">
        <f t="shared" si="2"/>
      </c>
      <c r="B63" s="515"/>
      <c r="C63" s="516">
        <f>Klassen!A36</f>
        <v>0</v>
      </c>
      <c r="D63" s="356">
        <f>Klassen!B36</f>
        <v>0</v>
      </c>
      <c r="E63" s="823">
        <f t="shared" si="3"/>
        <v>0</v>
      </c>
      <c r="F63" s="824"/>
      <c r="G63" s="481">
        <f>Klassen!AI36</f>
        <v>0</v>
      </c>
      <c r="H63" s="40">
        <f t="shared" si="4"/>
        <v>0</v>
      </c>
      <c r="I63" s="358">
        <f t="shared" si="5"/>
        <v>0</v>
      </c>
      <c r="J63" s="357">
        <f t="shared" si="6"/>
        <v>0</v>
      </c>
      <c r="K63" s="44">
        <f t="shared" si="7"/>
        <v>0</v>
      </c>
      <c r="L63" s="357">
        <f t="shared" si="8"/>
        <v>0</v>
      </c>
      <c r="M63" s="44">
        <f t="shared" si="9"/>
        <v>0</v>
      </c>
      <c r="N63" s="527">
        <f t="shared" si="10"/>
        <v>0</v>
      </c>
      <c r="O63" s="2"/>
      <c r="P63" s="2"/>
      <c r="Q63" s="2"/>
      <c r="R63" s="2"/>
      <c r="S63" s="2"/>
      <c r="T63" s="2"/>
      <c r="U63" s="26"/>
      <c r="V63" s="16">
        <f t="shared" si="11"/>
        <v>0</v>
      </c>
      <c r="W63" s="16">
        <f t="shared" si="12"/>
        <v>0</v>
      </c>
      <c r="X63" s="16">
        <f t="shared" si="13"/>
        <v>0</v>
      </c>
      <c r="Z63" s="353">
        <v>9</v>
      </c>
      <c r="AA63" s="354">
        <v>3</v>
      </c>
      <c r="AB63" s="354">
        <v>1.5</v>
      </c>
      <c r="AC63" s="354">
        <v>27</v>
      </c>
    </row>
    <row r="64" spans="1:29" ht="18" hidden="1">
      <c r="A64" s="514">
        <f t="shared" si="2"/>
      </c>
      <c r="B64" s="515"/>
      <c r="C64" s="516">
        <f>Klassen!A37</f>
        <v>0</v>
      </c>
      <c r="D64" s="356">
        <f>Klassen!B37</f>
        <v>0</v>
      </c>
      <c r="E64" s="823">
        <f t="shared" si="3"/>
        <v>0</v>
      </c>
      <c r="F64" s="824"/>
      <c r="G64" s="481">
        <f>Klassen!AI37</f>
        <v>0</v>
      </c>
      <c r="H64" s="40">
        <f t="shared" si="4"/>
        <v>0</v>
      </c>
      <c r="I64" s="358">
        <f t="shared" si="5"/>
        <v>0</v>
      </c>
      <c r="J64" s="357">
        <f t="shared" si="6"/>
        <v>0</v>
      </c>
      <c r="K64" s="44">
        <f t="shared" si="7"/>
        <v>0</v>
      </c>
      <c r="L64" s="357">
        <f t="shared" si="8"/>
        <v>0</v>
      </c>
      <c r="M64" s="44">
        <f t="shared" si="9"/>
        <v>0</v>
      </c>
      <c r="N64" s="527">
        <f t="shared" si="10"/>
        <v>0</v>
      </c>
      <c r="O64" s="2"/>
      <c r="P64" s="2"/>
      <c r="Q64" s="2"/>
      <c r="R64" s="2"/>
      <c r="S64" s="2"/>
      <c r="T64" s="2"/>
      <c r="U64" s="26"/>
      <c r="V64" s="16">
        <f t="shared" si="11"/>
        <v>0</v>
      </c>
      <c r="W64" s="16">
        <f t="shared" si="12"/>
        <v>0</v>
      </c>
      <c r="X64" s="16">
        <f t="shared" si="13"/>
        <v>0</v>
      </c>
      <c r="Z64" s="353" t="s">
        <v>84</v>
      </c>
      <c r="AA64" s="354" t="s">
        <v>85</v>
      </c>
      <c r="AB64" s="354">
        <v>2</v>
      </c>
      <c r="AC64" s="354">
        <v>25</v>
      </c>
    </row>
    <row r="65" spans="1:29" ht="18" hidden="1">
      <c r="A65" s="514">
        <f t="shared" si="2"/>
      </c>
      <c r="B65" s="515"/>
      <c r="C65" s="516">
        <f>Klassen!A38</f>
        <v>0</v>
      </c>
      <c r="D65" s="356">
        <f>Klassen!B38</f>
        <v>0</v>
      </c>
      <c r="E65" s="823">
        <f t="shared" si="3"/>
        <v>0</v>
      </c>
      <c r="F65" s="824"/>
      <c r="G65" s="481">
        <f>Klassen!AI38</f>
        <v>0</v>
      </c>
      <c r="H65" s="40">
        <f t="shared" si="4"/>
        <v>0</v>
      </c>
      <c r="I65" s="358">
        <f t="shared" si="5"/>
        <v>0</v>
      </c>
      <c r="J65" s="357">
        <f t="shared" si="6"/>
        <v>0</v>
      </c>
      <c r="K65" s="44">
        <f t="shared" si="7"/>
        <v>0</v>
      </c>
      <c r="L65" s="357">
        <f t="shared" si="8"/>
        <v>0</v>
      </c>
      <c r="M65" s="44">
        <f t="shared" si="9"/>
        <v>0</v>
      </c>
      <c r="N65" s="527">
        <f t="shared" si="10"/>
        <v>0</v>
      </c>
      <c r="O65" s="2"/>
      <c r="P65" s="2"/>
      <c r="Q65" s="2"/>
      <c r="R65" s="2"/>
      <c r="S65" s="2"/>
      <c r="T65" s="2"/>
      <c r="U65" s="26"/>
      <c r="V65" s="16">
        <f t="shared" si="11"/>
        <v>0</v>
      </c>
      <c r="W65" s="16">
        <f t="shared" si="12"/>
        <v>0</v>
      </c>
      <c r="X65" s="16">
        <f t="shared" si="13"/>
        <v>0</v>
      </c>
      <c r="Z65" s="353" t="s">
        <v>116</v>
      </c>
      <c r="AA65" s="354">
        <v>0</v>
      </c>
      <c r="AB65" s="354" t="s">
        <v>131</v>
      </c>
      <c r="AC65" s="354" t="s">
        <v>132</v>
      </c>
    </row>
    <row r="66" spans="1:29" ht="18" hidden="1">
      <c r="A66" s="514">
        <f t="shared" si="2"/>
      </c>
      <c r="B66" s="515"/>
      <c r="C66" s="516">
        <f>Klassen!A39</f>
        <v>0</v>
      </c>
      <c r="D66" s="356">
        <f>Klassen!B39</f>
        <v>0</v>
      </c>
      <c r="E66" s="823">
        <f t="shared" si="3"/>
        <v>0</v>
      </c>
      <c r="F66" s="824"/>
      <c r="G66" s="481">
        <f>Klassen!AI39</f>
        <v>0</v>
      </c>
      <c r="H66" s="40">
        <f t="shared" si="4"/>
        <v>0</v>
      </c>
      <c r="I66" s="358">
        <f t="shared" si="5"/>
        <v>0</v>
      </c>
      <c r="J66" s="357">
        <f t="shared" si="6"/>
        <v>0</v>
      </c>
      <c r="K66" s="44">
        <f t="shared" si="7"/>
        <v>0</v>
      </c>
      <c r="L66" s="357">
        <f t="shared" si="8"/>
        <v>0</v>
      </c>
      <c r="M66" s="44">
        <f t="shared" si="9"/>
        <v>0</v>
      </c>
      <c r="N66" s="527">
        <f t="shared" si="10"/>
        <v>0</v>
      </c>
      <c r="O66" s="2"/>
      <c r="P66" s="2"/>
      <c r="Q66" s="2"/>
      <c r="R66" s="2"/>
      <c r="S66" s="2"/>
      <c r="T66" s="2"/>
      <c r="U66" s="26"/>
      <c r="V66" s="16">
        <f t="shared" si="11"/>
        <v>0</v>
      </c>
      <c r="W66" s="16">
        <f t="shared" si="12"/>
        <v>0</v>
      </c>
      <c r="X66" s="16">
        <f t="shared" si="13"/>
        <v>0</v>
      </c>
      <c r="Z66" s="353" t="s">
        <v>14</v>
      </c>
      <c r="AA66" s="354">
        <v>0</v>
      </c>
      <c r="AB66" s="354">
        <v>0</v>
      </c>
      <c r="AC66" s="354">
        <v>20</v>
      </c>
    </row>
    <row r="67" spans="1:29" ht="18" hidden="1">
      <c r="A67" s="514">
        <f t="shared" si="2"/>
      </c>
      <c r="B67" s="515"/>
      <c r="C67" s="516">
        <f>Klassen!A40</f>
        <v>0</v>
      </c>
      <c r="D67" s="356">
        <f>Klassen!B40</f>
        <v>0</v>
      </c>
      <c r="E67" s="823">
        <f t="shared" si="3"/>
        <v>0</v>
      </c>
      <c r="F67" s="824"/>
      <c r="G67" s="481">
        <f>Klassen!AI40</f>
        <v>0</v>
      </c>
      <c r="H67" s="40">
        <f t="shared" si="4"/>
        <v>0</v>
      </c>
      <c r="I67" s="358">
        <f t="shared" si="5"/>
        <v>0</v>
      </c>
      <c r="J67" s="357">
        <f t="shared" si="6"/>
        <v>0</v>
      </c>
      <c r="K67" s="44">
        <f t="shared" si="7"/>
        <v>0</v>
      </c>
      <c r="L67" s="357">
        <f t="shared" si="8"/>
        <v>0</v>
      </c>
      <c r="M67" s="44">
        <f t="shared" si="9"/>
        <v>0</v>
      </c>
      <c r="N67" s="527">
        <f t="shared" si="10"/>
        <v>0</v>
      </c>
      <c r="O67" s="2"/>
      <c r="P67" s="2"/>
      <c r="Q67" s="2"/>
      <c r="R67" s="2"/>
      <c r="S67" s="2"/>
      <c r="T67" s="2"/>
      <c r="U67" s="26"/>
      <c r="V67" s="16">
        <f t="shared" si="11"/>
        <v>0</v>
      </c>
      <c r="W67" s="16">
        <f t="shared" si="12"/>
        <v>0</v>
      </c>
      <c r="X67" s="16">
        <f t="shared" si="13"/>
        <v>0</v>
      </c>
      <c r="Z67" s="353" t="s">
        <v>15</v>
      </c>
      <c r="AA67" s="354">
        <v>0</v>
      </c>
      <c r="AB67" s="354">
        <v>0</v>
      </c>
      <c r="AC67" s="354">
        <v>20</v>
      </c>
    </row>
    <row r="68" spans="1:29" ht="18">
      <c r="A68" s="514">
        <f>B41</f>
      </c>
      <c r="B68" s="515"/>
      <c r="C68" s="516">
        <f>Klassen!A43</f>
        <v>0</v>
      </c>
      <c r="D68" s="356">
        <f>Klassen!B43</f>
        <v>0</v>
      </c>
      <c r="E68" s="823">
        <f>M41</f>
        <v>0</v>
      </c>
      <c r="F68" s="824"/>
      <c r="G68" s="481">
        <f>Klassen!AI43</f>
        <v>0</v>
      </c>
      <c r="H68" s="40">
        <f>U41</f>
        <v>0</v>
      </c>
      <c r="I68" s="358">
        <f t="shared" si="5"/>
        <v>0</v>
      </c>
      <c r="J68" s="357">
        <f t="shared" si="6"/>
        <v>0</v>
      </c>
      <c r="K68" s="44">
        <f t="shared" si="7"/>
        <v>0</v>
      </c>
      <c r="L68" s="357">
        <f t="shared" si="8"/>
        <v>0</v>
      </c>
      <c r="M68" s="44">
        <f t="shared" si="9"/>
        <v>0</v>
      </c>
      <c r="N68" s="527">
        <f t="shared" si="10"/>
        <v>0</v>
      </c>
      <c r="O68" s="2"/>
      <c r="P68" s="2"/>
      <c r="Q68" s="2"/>
      <c r="R68" s="2"/>
      <c r="S68" s="2"/>
      <c r="T68" s="2"/>
      <c r="U68" s="26"/>
      <c r="V68" s="16">
        <f t="shared" si="11"/>
        <v>0</v>
      </c>
      <c r="W68" s="16">
        <f t="shared" si="12"/>
        <v>0</v>
      </c>
      <c r="X68" s="16">
        <f t="shared" si="13"/>
        <v>0</v>
      </c>
      <c r="Z68" s="353" t="s">
        <v>16</v>
      </c>
      <c r="AA68" s="354">
        <v>2</v>
      </c>
      <c r="AB68" s="354">
        <v>0</v>
      </c>
      <c r="AC68" s="354">
        <v>21</v>
      </c>
    </row>
    <row r="69" spans="1:29" ht="18">
      <c r="A69" s="514">
        <f>B42</f>
      </c>
      <c r="B69" s="515"/>
      <c r="C69" s="516">
        <f>Klassen!A44</f>
        <v>0</v>
      </c>
      <c r="D69" s="356">
        <f>Klassen!B44</f>
        <v>0</v>
      </c>
      <c r="E69" s="823">
        <f>M42</f>
        <v>0</v>
      </c>
      <c r="F69" s="824"/>
      <c r="G69" s="481">
        <f>Klassen!AI44</f>
        <v>0</v>
      </c>
      <c r="H69" s="40">
        <f>U42</f>
        <v>0</v>
      </c>
      <c r="I69" s="358">
        <f t="shared" si="5"/>
        <v>0</v>
      </c>
      <c r="J69" s="357">
        <f t="shared" si="6"/>
        <v>0</v>
      </c>
      <c r="K69" s="44">
        <f t="shared" si="7"/>
        <v>0</v>
      </c>
      <c r="L69" s="357">
        <f t="shared" si="8"/>
        <v>0</v>
      </c>
      <c r="M69" s="44">
        <f t="shared" si="9"/>
        <v>0</v>
      </c>
      <c r="N69" s="527">
        <f t="shared" si="10"/>
        <v>0</v>
      </c>
      <c r="O69" s="2"/>
      <c r="P69" s="2"/>
      <c r="Q69" s="2"/>
      <c r="R69" s="2"/>
      <c r="S69" s="2"/>
      <c r="T69" s="2"/>
      <c r="U69" s="26"/>
      <c r="V69" s="16">
        <f t="shared" si="11"/>
        <v>0</v>
      </c>
      <c r="W69" s="16">
        <f t="shared" si="12"/>
        <v>0</v>
      </c>
      <c r="X69" s="16">
        <f t="shared" si="13"/>
        <v>0</v>
      </c>
      <c r="Z69" s="353" t="s">
        <v>17</v>
      </c>
      <c r="AA69" s="354">
        <v>2</v>
      </c>
      <c r="AB69" s="354">
        <v>0</v>
      </c>
      <c r="AC69" s="354">
        <v>21</v>
      </c>
    </row>
    <row r="70" spans="1:29" ht="18">
      <c r="A70" s="514">
        <f>B43</f>
      </c>
      <c r="B70" s="515"/>
      <c r="C70" s="516">
        <f>Klassen!A45</f>
        <v>0</v>
      </c>
      <c r="D70" s="356">
        <f>Klassen!B45</f>
        <v>0</v>
      </c>
      <c r="E70" s="823">
        <f>M43</f>
        <v>0</v>
      </c>
      <c r="F70" s="824"/>
      <c r="G70" s="481">
        <f>Klassen!AI45</f>
        <v>0</v>
      </c>
      <c r="H70" s="40">
        <f>U43</f>
        <v>0</v>
      </c>
      <c r="I70" s="358">
        <f t="shared" si="5"/>
        <v>0</v>
      </c>
      <c r="J70" s="357">
        <f t="shared" si="6"/>
        <v>0</v>
      </c>
      <c r="K70" s="44">
        <f t="shared" si="7"/>
        <v>0</v>
      </c>
      <c r="L70" s="357">
        <f t="shared" si="8"/>
        <v>0</v>
      </c>
      <c r="M70" s="44">
        <f t="shared" si="9"/>
        <v>0</v>
      </c>
      <c r="N70" s="527">
        <f t="shared" si="10"/>
        <v>0</v>
      </c>
      <c r="O70" s="2"/>
      <c r="P70" s="2"/>
      <c r="Q70" s="2"/>
      <c r="R70" s="2"/>
      <c r="S70" s="2"/>
      <c r="T70" s="2"/>
      <c r="U70" s="26"/>
      <c r="V70" s="16">
        <f t="shared" si="11"/>
        <v>0</v>
      </c>
      <c r="W70" s="16">
        <f t="shared" si="12"/>
        <v>0</v>
      </c>
      <c r="X70" s="16">
        <f t="shared" si="13"/>
        <v>0</v>
      </c>
      <c r="Z70" s="353" t="s">
        <v>18</v>
      </c>
      <c r="AA70" s="354">
        <v>4</v>
      </c>
      <c r="AB70" s="354">
        <v>2</v>
      </c>
      <c r="AC70" s="354">
        <v>18</v>
      </c>
    </row>
    <row r="71" spans="1:29" ht="18">
      <c r="A71" s="514">
        <f>B44</f>
      </c>
      <c r="B71" s="515"/>
      <c r="C71" s="516">
        <f>Klassen!A46</f>
        <v>0</v>
      </c>
      <c r="D71" s="356">
        <f>Klassen!B46</f>
        <v>0</v>
      </c>
      <c r="E71" s="823">
        <f>M44</f>
        <v>0</v>
      </c>
      <c r="F71" s="824"/>
      <c r="G71" s="481">
        <f>Klassen!AI46</f>
        <v>0</v>
      </c>
      <c r="H71" s="40">
        <f>U44</f>
        <v>0</v>
      </c>
      <c r="I71" s="358">
        <f t="shared" si="5"/>
        <v>0</v>
      </c>
      <c r="J71" s="357">
        <f t="shared" si="6"/>
        <v>0</v>
      </c>
      <c r="K71" s="44">
        <f t="shared" si="7"/>
        <v>0</v>
      </c>
      <c r="L71" s="357">
        <f t="shared" si="8"/>
        <v>0</v>
      </c>
      <c r="M71" s="44">
        <f t="shared" si="9"/>
        <v>0</v>
      </c>
      <c r="N71" s="527">
        <f t="shared" si="10"/>
        <v>0</v>
      </c>
      <c r="O71" s="2"/>
      <c r="P71" s="2"/>
      <c r="Q71" s="2"/>
      <c r="R71" s="2"/>
      <c r="S71" s="2"/>
      <c r="T71" s="2"/>
      <c r="U71" s="26"/>
      <c r="V71" s="16">
        <f t="shared" si="11"/>
        <v>0</v>
      </c>
      <c r="W71" s="16">
        <f t="shared" si="12"/>
        <v>0</v>
      </c>
      <c r="X71" s="16">
        <f t="shared" si="13"/>
        <v>0</v>
      </c>
      <c r="Z71" s="353" t="s">
        <v>19</v>
      </c>
      <c r="AA71" s="354">
        <v>4</v>
      </c>
      <c r="AB71" s="354">
        <v>2</v>
      </c>
      <c r="AC71" s="354">
        <v>18</v>
      </c>
    </row>
    <row r="72" spans="1:29" ht="18">
      <c r="A72" s="514">
        <f>B45</f>
      </c>
      <c r="B72" s="515"/>
      <c r="C72" s="516">
        <f>Klassen!A47</f>
        <v>0</v>
      </c>
      <c r="D72" s="356">
        <f>Klassen!B47</f>
        <v>0</v>
      </c>
      <c r="E72" s="823">
        <f>M45</f>
        <v>0</v>
      </c>
      <c r="F72" s="824"/>
      <c r="G72" s="481">
        <f>Klassen!AI47</f>
        <v>0</v>
      </c>
      <c r="H72" s="40">
        <f>U45</f>
        <v>0</v>
      </c>
      <c r="I72" s="517">
        <f t="shared" si="5"/>
        <v>0</v>
      </c>
      <c r="J72" s="357">
        <f t="shared" si="6"/>
        <v>0</v>
      </c>
      <c r="K72" s="44">
        <f t="shared" si="7"/>
        <v>0</v>
      </c>
      <c r="L72" s="357">
        <f t="shared" si="8"/>
        <v>0</v>
      </c>
      <c r="M72" s="44">
        <f t="shared" si="9"/>
        <v>0</v>
      </c>
      <c r="N72" s="527">
        <f t="shared" si="10"/>
        <v>0</v>
      </c>
      <c r="O72" s="2"/>
      <c r="P72" s="2"/>
      <c r="Q72" s="2"/>
      <c r="R72" s="2"/>
      <c r="S72" s="2"/>
      <c r="T72" s="2"/>
      <c r="U72" s="26"/>
      <c r="V72" s="16">
        <f t="shared" si="11"/>
        <v>0</v>
      </c>
      <c r="W72" s="16">
        <f t="shared" si="12"/>
        <v>0</v>
      </c>
      <c r="X72" s="16">
        <f t="shared" si="13"/>
        <v>0</v>
      </c>
      <c r="Z72" s="353" t="s">
        <v>20</v>
      </c>
      <c r="AA72" s="354">
        <v>4</v>
      </c>
      <c r="AB72" s="354">
        <v>2</v>
      </c>
      <c r="AC72" s="354">
        <v>18</v>
      </c>
    </row>
    <row r="73" spans="1:29" ht="18">
      <c r="A73" s="514">
        <f>B6</f>
      </c>
      <c r="B73" s="518">
        <f>IF(E73&gt;0," [Spr]",)</f>
        <v>0</v>
      </c>
      <c r="C73" s="516">
        <f>Klassen!A22</f>
        <v>0</v>
      </c>
      <c r="D73" s="356">
        <f>Klassen!B22</f>
        <v>0</v>
      </c>
      <c r="E73" s="823">
        <f>Klassen!C22</f>
        <v>0</v>
      </c>
      <c r="F73" s="824"/>
      <c r="G73" s="481">
        <f>Klassen!AI22</f>
        <v>0</v>
      </c>
      <c r="H73" s="355">
        <f>IF(E73&gt;0,Z75,)</f>
        <v>0</v>
      </c>
      <c r="I73" s="41">
        <f>IF(E73&gt;0,1,)</f>
        <v>0</v>
      </c>
      <c r="J73" s="481">
        <f t="shared" si="6"/>
        <v>0</v>
      </c>
      <c r="K73" s="480">
        <f>U73</f>
        <v>0</v>
      </c>
      <c r="L73" s="481">
        <f t="shared" si="8"/>
        <v>0</v>
      </c>
      <c r="M73" s="356">
        <f t="shared" si="9"/>
        <v>0</v>
      </c>
      <c r="N73" s="527">
        <f t="shared" si="10"/>
        <v>0</v>
      </c>
      <c r="O73" s="2"/>
      <c r="P73" s="2"/>
      <c r="Q73" s="2"/>
      <c r="R73" s="2"/>
      <c r="S73" s="2"/>
      <c r="T73" s="2"/>
      <c r="U73" s="16">
        <f>IF(E73&gt;=16,V73,)</f>
        <v>0</v>
      </c>
      <c r="V73" s="16">
        <f t="shared" si="11"/>
        <v>0</v>
      </c>
      <c r="W73" s="16">
        <f t="shared" si="12"/>
        <v>0</v>
      </c>
      <c r="X73" s="16">
        <f t="shared" si="13"/>
        <v>0</v>
      </c>
      <c r="Y73" s="310"/>
      <c r="Z73" s="353" t="s">
        <v>21</v>
      </c>
      <c r="AA73" s="354">
        <v>7</v>
      </c>
      <c r="AB73" s="354">
        <v>4</v>
      </c>
      <c r="AC73" s="354">
        <v>14</v>
      </c>
    </row>
    <row r="74" spans="1:29" ht="18">
      <c r="A74" s="514">
        <f>IF(H8&gt;0,G6,Klassen!F27&amp;Klassen!G27)</f>
      </c>
      <c r="B74" s="518">
        <f>IF(E74&gt;0,IF(H8&gt;0," [Üg]"," [KH]"),)</f>
        <v>0</v>
      </c>
      <c r="C74" s="516">
        <f>IF(H8&gt;0,Klassen!A23,Klassen!A27)</f>
        <v>0</v>
      </c>
      <c r="D74" s="356">
        <f>IF(H8&gt;0,Klassen!B23,Klassen!B27)</f>
        <v>0</v>
      </c>
      <c r="E74" s="823">
        <f>IF(H8&gt;0,Klassen!C23,Klassen!C27)</f>
        <v>0</v>
      </c>
      <c r="F74" s="824"/>
      <c r="G74" s="481">
        <f>IF(H8&gt;0,Klassen!AI23,Klassen!AI27)</f>
        <v>0</v>
      </c>
      <c r="H74" s="355">
        <f>IF(E74&gt;0,IF(H8&gt;0,Z76,Z65),)</f>
        <v>0</v>
      </c>
      <c r="I74" s="41">
        <f>IF(AND(E74&gt;0,H8&gt;0),1,)</f>
        <v>0</v>
      </c>
      <c r="J74" s="519">
        <f>V74</f>
        <v>0</v>
      </c>
      <c r="K74" s="480">
        <f>U74</f>
        <v>0</v>
      </c>
      <c r="L74" s="563"/>
      <c r="M74" s="520"/>
      <c r="N74" s="527">
        <f t="shared" si="10"/>
        <v>0</v>
      </c>
      <c r="O74" s="2"/>
      <c r="P74" s="2"/>
      <c r="Q74" s="2"/>
      <c r="R74" s="2"/>
      <c r="S74" s="2"/>
      <c r="T74" s="2"/>
      <c r="U74" s="16">
        <f>IF(OR(E74&gt;=16,AND(E74&gt;=10,H74="Üg")),V74,)</f>
        <v>0</v>
      </c>
      <c r="V74" s="16">
        <f t="shared" si="11"/>
        <v>0</v>
      </c>
      <c r="W74" s="16">
        <f t="shared" si="12"/>
        <v>0</v>
      </c>
      <c r="X74" s="16">
        <f t="shared" si="13"/>
        <v>0</v>
      </c>
      <c r="Y74" s="310"/>
      <c r="Z74" s="353" t="s">
        <v>22</v>
      </c>
      <c r="AA74" s="354">
        <v>7</v>
      </c>
      <c r="AB74" s="354">
        <v>4</v>
      </c>
      <c r="AC74" s="354">
        <v>14</v>
      </c>
    </row>
    <row r="75" spans="1:29" ht="18">
      <c r="A75" s="514">
        <f>Klassen!F24&amp;Klassen!G24</f>
      </c>
      <c r="B75" s="518">
        <f>IF(E75&gt;0," [BV]",)</f>
        <v>0</v>
      </c>
      <c r="C75" s="516">
        <f>Klassen!A24</f>
        <v>0</v>
      </c>
      <c r="D75" s="356">
        <f>Klassen!B24</f>
        <v>0</v>
      </c>
      <c r="E75" s="823">
        <f>Klassen!C24</f>
        <v>0</v>
      </c>
      <c r="F75" s="824"/>
      <c r="G75" s="481">
        <f>Klassen!AI24</f>
        <v>0</v>
      </c>
      <c r="H75" s="355">
        <f>IF(E75&gt;0,Z$64,)</f>
        <v>0</v>
      </c>
      <c r="I75" s="41">
        <f>IF(E75&gt;0,2,)</f>
        <v>0</v>
      </c>
      <c r="J75" s="357">
        <f t="shared" si="6"/>
        <v>0</v>
      </c>
      <c r="K75" s="44"/>
      <c r="L75" s="481">
        <f t="shared" si="8"/>
        <v>0</v>
      </c>
      <c r="M75" s="44">
        <f>IF(AND(E75&gt;0,E75&lt;3,W75&gt;0),-W75,IF(AND(E75&gt;=10,W75&gt;0),W75,))</f>
        <v>0</v>
      </c>
      <c r="N75" s="527">
        <f>U75</f>
        <v>0</v>
      </c>
      <c r="P75" s="2"/>
      <c r="Q75" s="2"/>
      <c r="S75" s="385" t="s">
        <v>374</v>
      </c>
      <c r="T75" s="388">
        <f>GTS!D39</f>
        <v>0</v>
      </c>
      <c r="U75" s="16">
        <f>X75-IF(J75&lt;99,J75,)+IF(X75&gt;0,2-I75,)</f>
        <v>0</v>
      </c>
      <c r="V75" s="16">
        <f t="shared" si="11"/>
        <v>0</v>
      </c>
      <c r="W75" s="16">
        <f>LOOKUP($H75,$Z$54:$Z$76,AB$54:AB$76)</f>
        <v>0</v>
      </c>
      <c r="X75" s="16">
        <f>LOOKUP($H75,$Z$54:$Z$76,AC$54:AC$76)</f>
        <v>0</v>
      </c>
      <c r="Y75" s="310"/>
      <c r="Z75" s="353" t="s">
        <v>107</v>
      </c>
      <c r="AA75" s="354">
        <v>1</v>
      </c>
      <c r="AB75" s="354">
        <v>0</v>
      </c>
      <c r="AC75" s="354">
        <v>19</v>
      </c>
    </row>
    <row r="76" spans="1:29" ht="18">
      <c r="A76" s="514">
        <f>Klassen!F25&amp;Klassen!G25</f>
      </c>
      <c r="B76" s="518">
        <f>IF(E76&gt;0," [BV]",)</f>
        <v>0</v>
      </c>
      <c r="C76" s="516">
        <f>Klassen!A25</f>
        <v>0</v>
      </c>
      <c r="D76" s="356">
        <f>Klassen!B25</f>
        <v>0</v>
      </c>
      <c r="E76" s="823">
        <f>Klassen!C25</f>
        <v>0</v>
      </c>
      <c r="F76" s="824"/>
      <c r="G76" s="481">
        <f>Klassen!AI25</f>
        <v>0</v>
      </c>
      <c r="H76" s="355">
        <f>IF(E76&gt;0,Z$64,)</f>
        <v>0</v>
      </c>
      <c r="I76" s="41">
        <f>IF(E76&gt;0,2,)</f>
        <v>0</v>
      </c>
      <c r="J76" s="357">
        <f t="shared" si="6"/>
        <v>0</v>
      </c>
      <c r="K76" s="44"/>
      <c r="L76" s="481">
        <f t="shared" si="8"/>
        <v>0</v>
      </c>
      <c r="M76" s="44">
        <f>IF(AND(E76&gt;0,E76&lt;3,W76&gt;0),-W76,IF(AND(E76&gt;=10,W76&gt;0),W76,))</f>
        <v>0</v>
      </c>
      <c r="N76" s="527">
        <f>U76</f>
        <v>0</v>
      </c>
      <c r="O76" s="12">
        <f>IF(V6=2,V78-SUM(I75:N76),)</f>
        <v>0</v>
      </c>
      <c r="P76" s="2"/>
      <c r="Q76" s="2"/>
      <c r="S76" s="2"/>
      <c r="T76" s="385">
        <f>IF(T75&gt;0,"für bis zu "&amp;GTS!$C$6&amp;" teilnehmende Schüler",)</f>
        <v>0</v>
      </c>
      <c r="U76" s="16">
        <f>X76-IF(J76&lt;99,J76,)+IF(X76&gt;0,2-I76,)</f>
        <v>0</v>
      </c>
      <c r="V76" s="16">
        <f t="shared" si="11"/>
        <v>0</v>
      </c>
      <c r="W76" s="16">
        <f>LOOKUP($H76,$Z$54:$Z$76,AB$54:AB$76)</f>
        <v>0</v>
      </c>
      <c r="X76" s="16">
        <f>LOOKUP($H76,$Z$54:$Z$76,AC$54:AC$76)</f>
        <v>0</v>
      </c>
      <c r="Y76" s="310"/>
      <c r="Z76" s="353" t="s">
        <v>108</v>
      </c>
      <c r="AA76" s="354">
        <f>AA59</f>
        <v>3</v>
      </c>
      <c r="AB76" s="354">
        <v>0</v>
      </c>
      <c r="AC76" s="354">
        <v>22</v>
      </c>
    </row>
    <row r="77" spans="1:24" ht="18">
      <c r="A77" s="514">
        <f>Klassen!F26&amp;Klassen!G26</f>
      </c>
      <c r="B77" s="518">
        <f>IF(E77&gt;0," [KH]",)</f>
        <v>0</v>
      </c>
      <c r="C77" s="516">
        <f>Klassen!A26</f>
        <v>0</v>
      </c>
      <c r="D77" s="356">
        <f>Klassen!B26</f>
        <v>0</v>
      </c>
      <c r="E77" s="823">
        <f>Klassen!C26</f>
        <v>0</v>
      </c>
      <c r="F77" s="824"/>
      <c r="G77" s="481">
        <f>Klassen!AI26</f>
        <v>0</v>
      </c>
      <c r="H77" s="355">
        <f>IF(E77&gt;0,Z65,)</f>
        <v>0</v>
      </c>
      <c r="I77" s="521"/>
      <c r="J77" s="522"/>
      <c r="K77" s="522"/>
      <c r="L77" s="523">
        <f t="shared" si="8"/>
        <v>0</v>
      </c>
      <c r="M77" s="524"/>
      <c r="N77" s="562">
        <f t="shared" si="10"/>
        <v>0</v>
      </c>
      <c r="O77" s="2"/>
      <c r="P77" s="528">
        <f>IF(O76&lt;&gt;0,"zusä.",)</f>
        <v>0</v>
      </c>
      <c r="Q77" s="2"/>
      <c r="R77" s="2"/>
      <c r="S77" s="2"/>
      <c r="T77" s="2"/>
      <c r="U77" s="15"/>
      <c r="V77" s="16">
        <f t="shared" si="11"/>
        <v>0</v>
      </c>
      <c r="W77" s="16">
        <f t="shared" si="12"/>
        <v>0</v>
      </c>
      <c r="X77" s="16">
        <f t="shared" si="13"/>
        <v>0</v>
      </c>
    </row>
    <row r="78" spans="1:22" s="7" customFormat="1" ht="23.25">
      <c r="A78" s="36">
        <f>Klassen!F17</f>
        <v>0</v>
      </c>
      <c r="B78" s="525"/>
      <c r="C78" s="38">
        <f>SUM(C56:C77)</f>
        <v>0</v>
      </c>
      <c r="D78" s="359">
        <f>SUM(D56:D77)</f>
        <v>0</v>
      </c>
      <c r="E78" s="837">
        <f>SUM(E56:E77)</f>
        <v>0</v>
      </c>
      <c r="F78" s="838">
        <f>SUM(F56:F77)</f>
        <v>0</v>
      </c>
      <c r="G78" s="39">
        <f>SUM(G56:G77)</f>
        <v>0</v>
      </c>
      <c r="H78" s="13"/>
      <c r="I78" s="37">
        <f>SUM(I56:I77)</f>
        <v>0</v>
      </c>
      <c r="J78" s="835">
        <f>SUM(J56:K77)</f>
        <v>0</v>
      </c>
      <c r="K78" s="836"/>
      <c r="L78" s="835">
        <f>SUM(L56:M77)</f>
        <v>0</v>
      </c>
      <c r="M78" s="836"/>
      <c r="N78" s="530">
        <f>SUM(N56:O77)</f>
        <v>0</v>
      </c>
      <c r="O78" s="2"/>
      <c r="P78" s="2"/>
      <c r="Q78" s="2"/>
      <c r="R78" s="2"/>
      <c r="S78" s="386" t="s">
        <v>46</v>
      </c>
      <c r="T78" s="387"/>
      <c r="U78" s="534"/>
      <c r="V78" s="397">
        <f>IF(L8&gt;=30,100,IF(L8&gt;=27,97,IF(L8&gt;=23,92,IF(L8&gt;=21,82,IF(L8&gt;=19,72,IF(L8&gt;=16,68,60))))))</f>
        <v>60</v>
      </c>
    </row>
    <row r="79" spans="2:12" ht="18">
      <c r="B79" s="15"/>
      <c r="K79" s="834">
        <f>J78+L78</f>
        <v>0</v>
      </c>
      <c r="L79" s="834"/>
    </row>
    <row r="80" spans="1:29" ht="24.75" customHeight="1">
      <c r="A80" s="78" t="s">
        <v>29</v>
      </c>
      <c r="I80" s="72" t="s">
        <v>159</v>
      </c>
      <c r="J80" s="73"/>
      <c r="K80" s="71" t="s">
        <v>30</v>
      </c>
      <c r="L80" s="7"/>
      <c r="M80" s="7"/>
      <c r="N80" s="7"/>
      <c r="O80" s="74"/>
      <c r="P80" s="71" t="s">
        <v>50</v>
      </c>
      <c r="U80" s="420"/>
      <c r="V80" s="420"/>
      <c r="W80" s="543">
        <f>IF(OR(S52=W52,S52=X52),1,)</f>
        <v>0</v>
      </c>
      <c r="X80" s="420"/>
      <c r="Y80" s="420"/>
      <c r="Z80" s="420"/>
      <c r="AA80" s="420"/>
      <c r="AB80" s="420"/>
      <c r="AC80" s="420"/>
    </row>
    <row r="81" spans="21:29" s="9" customFormat="1" ht="11.25" customHeight="1">
      <c r="U81" s="533"/>
      <c r="V81" s="533"/>
      <c r="W81" s="533"/>
      <c r="X81" s="533"/>
      <c r="Y81" s="533"/>
      <c r="Z81" s="533"/>
      <c r="AA81" s="533"/>
      <c r="AB81" s="533"/>
      <c r="AC81" s="533"/>
    </row>
    <row r="82" spans="7:29" ht="24.75" customHeight="1">
      <c r="G82" s="72" t="s">
        <v>48</v>
      </c>
      <c r="H82" s="73"/>
      <c r="I82" s="71" t="s">
        <v>45</v>
      </c>
      <c r="J82" s="7"/>
      <c r="K82" s="7"/>
      <c r="P82" s="72" t="s">
        <v>257</v>
      </c>
      <c r="Q82" s="74"/>
      <c r="R82" s="71" t="s">
        <v>258</v>
      </c>
      <c r="U82" s="420"/>
      <c r="V82" s="420"/>
      <c r="W82" s="420"/>
      <c r="X82" s="420"/>
      <c r="Y82" s="420"/>
      <c r="Z82" s="420"/>
      <c r="AA82" s="420"/>
      <c r="AB82" s="420"/>
      <c r="AC82" s="420"/>
    </row>
    <row r="83" spans="1:29" s="3" customFormat="1" ht="24.75" customHeight="1">
      <c r="A83"/>
      <c r="B83" s="1"/>
      <c r="C83"/>
      <c r="D83"/>
      <c r="E83"/>
      <c r="F83"/>
      <c r="G83"/>
      <c r="H83"/>
      <c r="I83" s="72" t="s">
        <v>49</v>
      </c>
      <c r="J83" s="73"/>
      <c r="M83" s="76" t="s">
        <v>256</v>
      </c>
      <c r="N83" s="77"/>
      <c r="O83" s="75"/>
      <c r="U83" s="429"/>
      <c r="V83" s="429"/>
      <c r="W83" s="429"/>
      <c r="X83" s="429"/>
      <c r="Y83" s="429"/>
      <c r="Z83" s="429"/>
      <c r="AA83" s="429"/>
      <c r="AB83" s="429"/>
      <c r="AC83" s="429"/>
    </row>
    <row r="84" spans="1:29" ht="14.25">
      <c r="A84" s="420"/>
      <c r="B84" s="420"/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537" t="s">
        <v>54</v>
      </c>
      <c r="O84" s="535" t="s">
        <v>259</v>
      </c>
      <c r="R84" s="420"/>
      <c r="S84" s="420"/>
      <c r="T84" s="420"/>
      <c r="U84" s="420"/>
      <c r="V84" s="420"/>
      <c r="W84" s="420"/>
      <c r="X84" s="420"/>
      <c r="Y84" s="420"/>
      <c r="Z84" s="420"/>
      <c r="AA84" s="420"/>
      <c r="AB84" s="420"/>
      <c r="AC84" s="420"/>
    </row>
    <row r="85" spans="1:29" ht="14.25">
      <c r="A85" s="420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20"/>
      <c r="AA85" s="420"/>
      <c r="AB85" s="420"/>
      <c r="AC85" s="420"/>
    </row>
    <row r="86" spans="1:29" ht="14.25">
      <c r="A86" s="420"/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20"/>
      <c r="AA86" s="420"/>
      <c r="AB86" s="420"/>
      <c r="AC86" s="420"/>
    </row>
    <row r="87" spans="1:29" ht="14.25">
      <c r="A87" s="420"/>
      <c r="B87" s="420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0"/>
      <c r="AC87" s="420"/>
    </row>
    <row r="88" spans="1:29" ht="14.25">
      <c r="A88" s="420"/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20"/>
      <c r="AA88" s="420"/>
      <c r="AB88" s="420"/>
      <c r="AC88" s="420"/>
    </row>
    <row r="89" spans="1:29" ht="14.25">
      <c r="A89" s="420"/>
      <c r="B89" s="420"/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20"/>
      <c r="AA89" s="420"/>
      <c r="AB89" s="420"/>
      <c r="AC89" s="420"/>
    </row>
    <row r="90" spans="1:29" ht="14.25">
      <c r="A90" s="420"/>
      <c r="B90" s="420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20"/>
      <c r="AA90" s="420"/>
      <c r="AB90" s="420"/>
      <c r="AC90" s="420"/>
    </row>
    <row r="91" spans="1:29" ht="14.25">
      <c r="A91" s="532"/>
      <c r="B91" s="420"/>
      <c r="C91" s="420"/>
      <c r="D91" s="420"/>
      <c r="E91" s="420"/>
      <c r="F91" s="420"/>
      <c r="G91" s="420"/>
      <c r="H91" s="420"/>
      <c r="I91" s="420"/>
      <c r="J91" s="420"/>
      <c r="K91" s="420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20"/>
      <c r="AA91" s="420"/>
      <c r="AB91" s="420"/>
      <c r="AC91" s="420"/>
    </row>
    <row r="92" spans="1:29" ht="14.25">
      <c r="A92" s="420"/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420"/>
      <c r="AB92" s="420"/>
      <c r="AC92" s="420"/>
    </row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</sheetData>
  <sheetProtection password="C560" sheet="1" formatRows="0"/>
  <mergeCells count="41">
    <mergeCell ref="Q6:T7"/>
    <mergeCell ref="A15:K16"/>
    <mergeCell ref="R11:R12"/>
    <mergeCell ref="P22:T41"/>
    <mergeCell ref="E48:F48"/>
    <mergeCell ref="B17:B19"/>
    <mergeCell ref="R44:T45"/>
    <mergeCell ref="K1:T2"/>
    <mergeCell ref="E69:F69"/>
    <mergeCell ref="E68:F68"/>
    <mergeCell ref="E66:F66"/>
    <mergeCell ref="E65:F65"/>
    <mergeCell ref="S52:T52"/>
    <mergeCell ref="O4:S5"/>
    <mergeCell ref="E61:F61"/>
    <mergeCell ref="E62:F62"/>
    <mergeCell ref="E60:F60"/>
    <mergeCell ref="K79:L79"/>
    <mergeCell ref="E77:F77"/>
    <mergeCell ref="E76:F76"/>
    <mergeCell ref="E73:F73"/>
    <mergeCell ref="L78:M78"/>
    <mergeCell ref="E78:F78"/>
    <mergeCell ref="J78:K78"/>
    <mergeCell ref="E75:F75"/>
    <mergeCell ref="E74:F74"/>
    <mergeCell ref="E72:F72"/>
    <mergeCell ref="E67:F67"/>
    <mergeCell ref="E63:F63"/>
    <mergeCell ref="E64:F64"/>
    <mergeCell ref="E70:F70"/>
    <mergeCell ref="E71:F71"/>
    <mergeCell ref="N51:O53"/>
    <mergeCell ref="F53:G53"/>
    <mergeCell ref="E56:F56"/>
    <mergeCell ref="E59:F59"/>
    <mergeCell ref="E57:F57"/>
    <mergeCell ref="E58:F58"/>
    <mergeCell ref="C51:G52"/>
    <mergeCell ref="J51:K52"/>
    <mergeCell ref="L51:M52"/>
  </mergeCells>
  <conditionalFormatting sqref="J56:J72">
    <cfRule type="cellIs" priority="3" dxfId="23" operator="notEqual" stopIfTrue="1">
      <formula>$V56</formula>
    </cfRule>
  </conditionalFormatting>
  <conditionalFormatting sqref="L74">
    <cfRule type="expression" priority="4" dxfId="19" stopIfTrue="1">
      <formula>$H74="KH"</formula>
    </cfRule>
  </conditionalFormatting>
  <conditionalFormatting sqref="I74">
    <cfRule type="expression" priority="5" dxfId="21" stopIfTrue="1">
      <formula>$H74="KH"</formula>
    </cfRule>
    <cfRule type="cellIs" priority="6" dxfId="7" operator="greaterThan" stopIfTrue="1">
      <formula>1</formula>
    </cfRule>
  </conditionalFormatting>
  <conditionalFormatting sqref="K74">
    <cfRule type="expression" priority="7" dxfId="19" stopIfTrue="1">
      <formula>$H74="KH"</formula>
    </cfRule>
    <cfRule type="cellIs" priority="8" dxfId="6" operator="greaterThan" stopIfTrue="1">
      <formula>$U$74</formula>
    </cfRule>
  </conditionalFormatting>
  <conditionalFormatting sqref="K73">
    <cfRule type="cellIs" priority="9" dxfId="6" operator="greaterThan" stopIfTrue="1">
      <formula>$U73</formula>
    </cfRule>
  </conditionalFormatting>
  <conditionalFormatting sqref="D8">
    <cfRule type="expression" priority="10" dxfId="6" stopIfTrue="1">
      <formula>$W$8="zweng"</formula>
    </cfRule>
  </conditionalFormatting>
  <conditionalFormatting sqref="J48">
    <cfRule type="cellIs" priority="11" dxfId="199" operator="greaterThan" stopIfTrue="1">
      <formula>0</formula>
    </cfRule>
  </conditionalFormatting>
  <conditionalFormatting sqref="A78:B78">
    <cfRule type="expression" priority="12" dxfId="200" stopIfTrue="1">
      <formula>$A$78&gt;$U$12</formula>
    </cfRule>
    <cfRule type="expression" priority="13" dxfId="12" stopIfTrue="1">
      <formula>$A$78&lt;$U$12</formula>
    </cfRule>
  </conditionalFormatting>
  <conditionalFormatting sqref="R16:T16">
    <cfRule type="expression" priority="14" dxfId="12" stopIfTrue="1">
      <formula>AND($R$16&lt;($A$78-$R$10),$U$15=0)</formula>
    </cfRule>
  </conditionalFormatting>
  <conditionalFormatting sqref="Q16 P20:T20">
    <cfRule type="expression" priority="15" dxfId="11" stopIfTrue="1">
      <formula>$U$16&lt;&gt;9.6</formula>
    </cfRule>
  </conditionalFormatting>
  <conditionalFormatting sqref="U16">
    <cfRule type="expression" priority="16" dxfId="201" stopIfTrue="1">
      <formula>$U$16&lt;&gt;9.6</formula>
    </cfRule>
  </conditionalFormatting>
  <conditionalFormatting sqref="E78:F78">
    <cfRule type="cellIs" priority="17" dxfId="202" operator="notEqual" stopIfTrue="1">
      <formula>$M$47</formula>
    </cfRule>
  </conditionalFormatting>
  <conditionalFormatting sqref="I73:I74">
    <cfRule type="cellIs" priority="19" dxfId="7" operator="greaterThan" stopIfTrue="1">
      <formula>1</formula>
    </cfRule>
  </conditionalFormatting>
  <conditionalFormatting sqref="M74">
    <cfRule type="cellIs" priority="20" dxfId="6" operator="greaterThan" stopIfTrue="1">
      <formula>$W$74</formula>
    </cfRule>
  </conditionalFormatting>
  <conditionalFormatting sqref="S52:T52">
    <cfRule type="cellIs" priority="21" dxfId="203" operator="greaterThan" stopIfTrue="1">
      <formula>0</formula>
    </cfRule>
  </conditionalFormatting>
  <conditionalFormatting sqref="T49">
    <cfRule type="cellIs" priority="2" dxfId="204" operator="greaterThan" stopIfTrue="1">
      <formula>0</formula>
    </cfRule>
  </conditionalFormatting>
  <conditionalFormatting sqref="S49:T50">
    <cfRule type="expression" priority="1" dxfId="205" stopIfTrue="1">
      <formula>$AC$49="pri"</formula>
    </cfRule>
  </conditionalFormatting>
  <dataValidations count="6">
    <dataValidation type="list" allowBlank="1" showInputMessage="1" showErrorMessage="1" prompt="bitte auswählen, &#10;falls Führung genehmigt" sqref="S52:T52">
      <formula1>$W52:$Y52</formula1>
    </dataValidation>
    <dataValidation allowBlank="1" showInputMessage="1" showErrorMessage="1" prompt="Je nach links ausgewählter Stundentafel werden hier Vorgabewerte geliefert,&#10;&#10;... die schulautonom noch änderbar sind." sqref="J56 N56 L56"/>
    <dataValidation type="list" allowBlank="1" showInputMessage="1" showErrorMessage="1" sqref="H56:H72">
      <formula1>$Z$54:$Z$76</formula1>
    </dataValidation>
    <dataValidation type="whole" allowBlank="1" showInputMessage="1" showErrorMessage="1" prompt="zu zählen sind PC u. Laptop im Unterricht, auch interaktive Tafeln;&#10;Nicht aber Server, PC für Verwaltung und Lehrer(-Vorbereitung) .." error="erst ab 6 Geräten gibt's was!" sqref="T78">
      <formula1>3</formula1>
      <formula2>66</formula2>
    </dataValidation>
    <dataValidation type="decimal" allowBlank="1" showInputMessage="1" showErrorMessage="1" error="bitte gültige Zahl eingeben!" sqref="J80 O80 H82 J83 Q82">
      <formula1>0</formula1>
      <formula2>222</formula2>
    </dataValidation>
    <dataValidation allowBlank="1" showInputMessage="1" showErrorMessage="1" prompt="EH ist in dieser Klasse nicht vorgesehen" sqref="L74:M74"/>
  </dataValidations>
  <printOptions horizontalCentered="1" verticalCentered="1"/>
  <pageMargins left="0.5511811023622047" right="0.3937007874015748" top="0.5511811023622047" bottom="0.5511811023622047" header="0.3937007874015748" footer="0.3937007874015748"/>
  <pageSetup fitToHeight="1" fitToWidth="1" horizontalDpi="600" verticalDpi="600" orientation="portrait" paperSize="9" scale="78" r:id="rId4"/>
  <headerFooter alignWithMargins="0">
    <oddFooter>&amp;C&amp;8&amp;F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>
    <tabColor indexed="42"/>
  </sheetPr>
  <dimension ref="A1:AC92"/>
  <sheetViews>
    <sheetView showGridLines="0" showZeros="0" zoomScale="70" zoomScaleNormal="70" zoomScalePageLayoutView="0" workbookViewId="0" topLeftCell="A1">
      <selection activeCell="H2" sqref="H2"/>
    </sheetView>
  </sheetViews>
  <sheetFormatPr defaultColWidth="11.00390625" defaultRowHeight="0" customHeight="1" zeroHeight="1"/>
  <cols>
    <col min="1" max="1" width="5.875" style="0" customWidth="1"/>
    <col min="2" max="2" width="6.75390625" style="0" customWidth="1"/>
    <col min="3" max="4" width="5.50390625" style="0" customWidth="1"/>
    <col min="5" max="6" width="4.625" style="0" customWidth="1"/>
    <col min="7" max="11" width="5.50390625" style="0" customWidth="1"/>
    <col min="12" max="12" width="6.00390625" style="0" bestFit="1" customWidth="1"/>
    <col min="13" max="13" width="5.50390625" style="0" customWidth="1"/>
    <col min="14" max="15" width="4.375" style="0" customWidth="1"/>
    <col min="16" max="18" width="5.75390625" style="0" customWidth="1"/>
    <col min="19" max="20" width="4.375" style="0" customWidth="1"/>
    <col min="21" max="21" width="7.375" style="0" customWidth="1"/>
    <col min="22" max="24" width="3.125" style="0" customWidth="1"/>
    <col min="25" max="25" width="2.125" style="0" customWidth="1"/>
    <col min="26" max="29" width="3.625" style="0" customWidth="1"/>
    <col min="30" max="30" width="6.50390625" style="0" customWidth="1"/>
  </cols>
  <sheetData>
    <row r="1" spans="1:29" ht="25.5">
      <c r="A1" s="631" t="str">
        <f>Einleitung!B6</f>
        <v>ASO  . . .</v>
      </c>
      <c r="B1" s="4"/>
      <c r="C1" s="4"/>
      <c r="D1" s="4"/>
      <c r="E1" s="4"/>
      <c r="F1" s="4"/>
      <c r="G1" s="4"/>
      <c r="K1" s="839" t="s">
        <v>147</v>
      </c>
      <c r="L1" s="839"/>
      <c r="M1" s="839"/>
      <c r="N1" s="839"/>
      <c r="O1" s="839"/>
      <c r="P1" s="839"/>
      <c r="Q1" s="839"/>
      <c r="R1" s="839"/>
      <c r="S1" s="839"/>
      <c r="T1" s="839"/>
      <c r="U1" s="420"/>
      <c r="V1" s="420"/>
      <c r="W1" s="420"/>
      <c r="X1" s="420"/>
      <c r="Y1" s="420"/>
      <c r="Z1" s="420"/>
      <c r="AA1" s="420"/>
      <c r="AB1" s="420"/>
      <c r="AC1" s="538"/>
    </row>
    <row r="2" spans="1:29" ht="25.5">
      <c r="A2" s="5"/>
      <c r="B2" s="8" t="s">
        <v>8</v>
      </c>
      <c r="C2" s="5"/>
      <c r="D2" s="5"/>
      <c r="E2" s="5"/>
      <c r="F2" s="5"/>
      <c r="G2" s="5"/>
      <c r="H2" s="5"/>
      <c r="I2" s="487"/>
      <c r="J2" s="4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420"/>
      <c r="V2" s="420"/>
      <c r="W2" s="420"/>
      <c r="X2" s="420"/>
      <c r="Y2" s="420"/>
      <c r="Z2" s="420"/>
      <c r="AA2" s="420"/>
      <c r="AB2" s="420"/>
      <c r="AC2" s="538"/>
    </row>
    <row r="3" spans="1:29" s="6" customFormat="1" ht="27" customHeight="1">
      <c r="A3" s="3"/>
      <c r="B3" s="3"/>
      <c r="C3" s="3"/>
      <c r="D3" s="3"/>
      <c r="E3" s="3"/>
      <c r="F3" s="3"/>
      <c r="G3" s="3"/>
      <c r="H3" s="3"/>
      <c r="I3" s="526" t="s">
        <v>253</v>
      </c>
      <c r="J3" s="5"/>
      <c r="K3" s="488"/>
      <c r="L3" s="488"/>
      <c r="M3" s="488"/>
      <c r="N3" s="488"/>
      <c r="O3" s="488"/>
      <c r="P3" s="3"/>
      <c r="Q3" s="3"/>
      <c r="R3" s="3"/>
      <c r="S3" s="3"/>
      <c r="T3" s="3"/>
      <c r="U3" s="429"/>
      <c r="V3" s="429"/>
      <c r="W3" s="429"/>
      <c r="X3" s="429"/>
      <c r="Y3" s="429"/>
      <c r="Z3" s="429"/>
      <c r="AA3" s="429"/>
      <c r="AB3" s="429"/>
      <c r="AC3" s="536"/>
    </row>
    <row r="4" spans="1:19" s="12" customFormat="1" ht="20.25" customHeight="1">
      <c r="A4" s="1" t="s">
        <v>106</v>
      </c>
      <c r="O4" s="841" t="s">
        <v>1</v>
      </c>
      <c r="P4" s="841"/>
      <c r="Q4" s="841"/>
      <c r="R4" s="841"/>
      <c r="S4" s="841"/>
    </row>
    <row r="5" spans="15:19" s="9" customFormat="1" ht="6.75" customHeight="1">
      <c r="O5" s="841"/>
      <c r="P5" s="841"/>
      <c r="Q5" s="841"/>
      <c r="R5" s="841"/>
      <c r="S5" s="841"/>
    </row>
    <row r="6" spans="2:22" s="2" customFormat="1" ht="14.25" customHeight="1">
      <c r="B6" s="482">
        <f>Klassen!F22&amp;Klassen!G22</f>
      </c>
      <c r="C6" s="322" t="s">
        <v>133</v>
      </c>
      <c r="K6" s="634" t="s">
        <v>134</v>
      </c>
      <c r="L6" s="482">
        <f>Klassen!F24&amp;Klassen!G24&amp;Klassen!G25</f>
      </c>
      <c r="Q6" s="842" t="str">
        <f>Einleitung!D2</f>
        <v>2020/2021</v>
      </c>
      <c r="R6" s="842"/>
      <c r="S6" s="842"/>
      <c r="T6" s="842"/>
      <c r="V6" s="323">
        <f>IF(L8&gt;13,2,IF(L8&gt;0,1,))</f>
        <v>0</v>
      </c>
    </row>
    <row r="7" spans="1:20" s="2" customFormat="1" ht="14.25" customHeight="1">
      <c r="A7" s="324"/>
      <c r="B7" s="325" t="s">
        <v>109</v>
      </c>
      <c r="C7" s="43" t="s">
        <v>110</v>
      </c>
      <c r="D7" s="43" t="s">
        <v>111</v>
      </c>
      <c r="K7" s="325" t="s">
        <v>113</v>
      </c>
      <c r="L7" s="43" t="s">
        <v>114</v>
      </c>
      <c r="Q7" s="842"/>
      <c r="R7" s="842"/>
      <c r="S7" s="842"/>
      <c r="T7" s="842"/>
    </row>
    <row r="8" spans="2:23" s="2" customFormat="1" ht="14.25">
      <c r="B8" s="325" t="s">
        <v>115</v>
      </c>
      <c r="C8" s="483">
        <f>SUM(Klassen!H22:I22)</f>
        <v>0</v>
      </c>
      <c r="D8" s="484">
        <f>SUM(Klassen!J22:K22)</f>
        <v>0</v>
      </c>
      <c r="K8" s="325" t="s">
        <v>115</v>
      </c>
      <c r="L8" s="485">
        <f>SUM(Klassen!Z24:AA25)</f>
        <v>0</v>
      </c>
      <c r="M8" s="326">
        <f>SUM(C8:L8)</f>
        <v>0</v>
      </c>
      <c r="V8" s="323">
        <f>IF((C8+D8)&gt;0,1,)</f>
        <v>0</v>
      </c>
      <c r="W8" s="323">
        <f>IF(AND((C8+D8)&gt;0,(C8+D8)&lt;10),"zweng",)</f>
        <v>0</v>
      </c>
    </row>
    <row r="9" spans="3:29" s="2" customFormat="1" ht="20.25">
      <c r="C9" s="327">
        <f>IF(D8&gt;0,SUM(C8:D8),)</f>
        <v>0</v>
      </c>
      <c r="D9" s="328"/>
      <c r="R9" s="7"/>
      <c r="V9" s="323">
        <f>IF(H8&gt;0,1,)</f>
        <v>0</v>
      </c>
      <c r="AC9" s="1"/>
    </row>
    <row r="10" spans="2:22" s="2" customFormat="1" ht="15">
      <c r="B10" s="482">
        <f>Klassen!F26&amp;Klassen!G26&amp;Klassen!G27</f>
      </c>
      <c r="C10" s="322" t="s">
        <v>135</v>
      </c>
      <c r="Q10" s="329">
        <f>IF(R10&gt;0,"'Spezial-Bereich' mit",)</f>
        <v>0</v>
      </c>
      <c r="R10" s="330">
        <f>SUM(V6:V10)</f>
        <v>0</v>
      </c>
      <c r="S10">
        <f>IF(R10&gt;0,"Klassen",)</f>
        <v>0</v>
      </c>
      <c r="V10" s="323">
        <f>IF(M12&gt;10,2,IF(M12&gt;0,1,))</f>
        <v>0</v>
      </c>
    </row>
    <row r="11" spans="1:18" s="2" customFormat="1" ht="14.25" customHeight="1">
      <c r="A11" s="324"/>
      <c r="B11" s="325" t="s">
        <v>109</v>
      </c>
      <c r="C11" s="43" t="s">
        <v>110</v>
      </c>
      <c r="D11" s="43" t="s">
        <v>111</v>
      </c>
      <c r="E11" s="43" t="s">
        <v>117</v>
      </c>
      <c r="F11" s="43" t="s">
        <v>118</v>
      </c>
      <c r="G11" s="43" t="s">
        <v>119</v>
      </c>
      <c r="H11" s="43" t="s">
        <v>112</v>
      </c>
      <c r="I11" s="43" t="s">
        <v>120</v>
      </c>
      <c r="J11" s="43" t="s">
        <v>121</v>
      </c>
      <c r="K11" s="43" t="s">
        <v>122</v>
      </c>
      <c r="L11" s="43" t="s">
        <v>114</v>
      </c>
      <c r="R11" s="845">
        <f>IF(R10&gt;0,"+",)</f>
        <v>0</v>
      </c>
    </row>
    <row r="12" spans="1:21" s="12" customFormat="1" ht="14.25" customHeight="1">
      <c r="A12" s="2"/>
      <c r="B12" s="325" t="s">
        <v>115</v>
      </c>
      <c r="C12" s="483"/>
      <c r="D12" s="486">
        <f>SUM(Klassen!J26:Klassen!K27)</f>
        <v>0</v>
      </c>
      <c r="E12" s="486">
        <f>SUM(Klassen!L26:Klassen!M27)</f>
        <v>0</v>
      </c>
      <c r="F12" s="486">
        <f>SUM(Klassen!N26:Klassen!O27)</f>
        <v>0</v>
      </c>
      <c r="G12" s="486">
        <f>SUM(Klassen!P26:Klassen!Q27)</f>
        <v>0</v>
      </c>
      <c r="H12" s="486">
        <f>SUM(Klassen!R26:Klassen!S27)</f>
        <v>0</v>
      </c>
      <c r="I12" s="486">
        <f>SUM(Klassen!T26:Klassen!U27)</f>
        <v>0</v>
      </c>
      <c r="J12" s="486">
        <f>SUM(Klassen!V26:Klassen!W27)</f>
        <v>0</v>
      </c>
      <c r="K12" s="486">
        <f>SUM(Klassen!X26:Klassen!Y27)</f>
        <v>0</v>
      </c>
      <c r="L12" s="484">
        <f>SUM(Klassen!Z26:Klassen!AA27)</f>
        <v>0</v>
      </c>
      <c r="M12" s="326">
        <f>SUM(C12:L12)</f>
        <v>0</v>
      </c>
      <c r="R12" s="845"/>
      <c r="T12" s="331">
        <f>ROUNDUP(P18/U16,1)</f>
        <v>0</v>
      </c>
      <c r="U12" s="323">
        <f>R10+R16</f>
        <v>0</v>
      </c>
    </row>
    <row r="13" spans="2:29" s="9" customFormat="1" ht="14.25">
      <c r="B13" s="332"/>
      <c r="AC13" s="2"/>
    </row>
    <row r="14" spans="2:29" s="9" customFormat="1" ht="14.25">
      <c r="B14" s="332"/>
      <c r="P14" s="333"/>
      <c r="Q14" s="333"/>
      <c r="R14" s="333"/>
      <c r="S14" s="333"/>
      <c r="T14" s="334"/>
      <c r="AC14" s="2"/>
    </row>
    <row r="15" spans="1:20" s="2" customFormat="1" ht="15" customHeight="1">
      <c r="A15" s="843" t="s">
        <v>123</v>
      </c>
      <c r="B15" s="844"/>
      <c r="C15" s="844"/>
      <c r="D15" s="844"/>
      <c r="E15" s="844"/>
      <c r="F15" s="844"/>
      <c r="G15" s="844"/>
      <c r="H15" s="844"/>
      <c r="I15" s="844"/>
      <c r="J15" s="844"/>
      <c r="K15" s="844"/>
      <c r="M15" t="s">
        <v>124</v>
      </c>
      <c r="T15" s="405">
        <f>IF(R16&lt;T12,"(höchstens aber)  ",)</f>
        <v>0</v>
      </c>
    </row>
    <row r="16" spans="1:21" s="9" customFormat="1" ht="15.75">
      <c r="A16" s="844"/>
      <c r="B16" s="844"/>
      <c r="C16" s="844"/>
      <c r="D16" s="844"/>
      <c r="E16" s="844"/>
      <c r="F16" s="844"/>
      <c r="G16" s="844"/>
      <c r="H16" s="844"/>
      <c r="I16" s="844"/>
      <c r="J16" s="844"/>
      <c r="K16" s="844"/>
      <c r="Q16" s="329">
        <f>IF(R16&gt;0,"berechn. Schüler / "&amp;U16&amp;"  =",)</f>
        <v>0</v>
      </c>
      <c r="R16" s="336">
        <f>IF(AND(OR(ISNUMBER(SEARCH("Mäder",A1)),ISNUMBER(SEARCH("hör",A1))),T12&gt;10),10,ROUNDUP(P18/U16,0))</f>
        <v>0</v>
      </c>
      <c r="S16">
        <f>IF(R16&gt;0,"Klassen",)</f>
        <v>0</v>
      </c>
      <c r="T16" s="335"/>
      <c r="U16" s="639">
        <f>IF(OR(ISNUMBER(SEARCH("koop",A1)),ISNUMBER(SEARCH("Jagdberg",A1)),ISNUMBER(SEARCH("Sozialpädagogische Schule",A1))),7.56,IF(OR(ISNUMBER(SEARCH("Carina",A1)),RIGHT(I2,1)="#"),8.1,IF(ISNUMBER(SEARCH("hör",A1)),6.2,9.6)))</f>
        <v>9.6</v>
      </c>
    </row>
    <row r="17" spans="1:20" ht="16.5" customHeight="1">
      <c r="A17" s="2"/>
      <c r="B17" s="849" t="s">
        <v>7</v>
      </c>
      <c r="C17" s="338" t="s">
        <v>125</v>
      </c>
      <c r="D17" s="42"/>
      <c r="E17" s="22"/>
      <c r="F17" s="22"/>
      <c r="G17" s="22"/>
      <c r="H17" s="22"/>
      <c r="Q17" s="21">
        <f>SUM(E56:F72)-Q18</f>
        <v>0</v>
      </c>
      <c r="R17" s="3" t="s">
        <v>126</v>
      </c>
      <c r="T17" s="335"/>
    </row>
    <row r="18" spans="1:20" ht="14.25">
      <c r="A18" s="2"/>
      <c r="B18" s="850"/>
      <c r="C18" s="43" t="s">
        <v>110</v>
      </c>
      <c r="D18" s="43" t="s">
        <v>111</v>
      </c>
      <c r="E18" s="43" t="s">
        <v>117</v>
      </c>
      <c r="F18" s="43" t="s">
        <v>118</v>
      </c>
      <c r="G18" s="43" t="s">
        <v>119</v>
      </c>
      <c r="H18" s="43" t="s">
        <v>112</v>
      </c>
      <c r="I18" s="43" t="s">
        <v>120</v>
      </c>
      <c r="J18" s="43" t="s">
        <v>121</v>
      </c>
      <c r="K18" s="43" t="s">
        <v>122</v>
      </c>
      <c r="L18" s="43" t="s">
        <v>114</v>
      </c>
      <c r="P18" s="489">
        <f>SUM(Q17:Q20)</f>
        <v>0</v>
      </c>
      <c r="Q18" s="21">
        <f>SUM(G56:G72)</f>
        <v>0</v>
      </c>
      <c r="R18" s="3" t="s">
        <v>127</v>
      </c>
      <c r="T18" s="335"/>
    </row>
    <row r="19" spans="1:26" s="12" customFormat="1" ht="14.25">
      <c r="A19" s="2"/>
      <c r="B19" s="851"/>
      <c r="C19" s="340">
        <f aca="true" t="shared" si="0" ref="C19:L19">SUM(C20:C45)</f>
        <v>0</v>
      </c>
      <c r="D19" s="340">
        <f t="shared" si="0"/>
        <v>0</v>
      </c>
      <c r="E19" s="340">
        <f t="shared" si="0"/>
        <v>0</v>
      </c>
      <c r="F19" s="340">
        <f t="shared" si="0"/>
        <v>0</v>
      </c>
      <c r="G19" s="340">
        <f t="shared" si="0"/>
        <v>0</v>
      </c>
      <c r="H19" s="340">
        <f t="shared" si="0"/>
        <v>0</v>
      </c>
      <c r="I19" s="340">
        <f t="shared" si="0"/>
        <v>0</v>
      </c>
      <c r="J19" s="340">
        <f t="shared" si="0"/>
        <v>0</v>
      </c>
      <c r="K19" s="340">
        <f t="shared" si="0"/>
        <v>0</v>
      </c>
      <c r="L19" s="406">
        <f t="shared" si="0"/>
        <v>0</v>
      </c>
      <c r="N19" s="341" t="s">
        <v>128</v>
      </c>
      <c r="P19"/>
      <c r="Q19" s="21">
        <f>Q18*U19</f>
        <v>0</v>
      </c>
      <c r="R19" s="3">
        <f>IF(AND(Q18&gt;0,U19&gt;0)," + Zuschlag á "&amp;U19,)</f>
        <v>0</v>
      </c>
      <c r="S19" s="342"/>
      <c r="T19" s="335"/>
      <c r="U19" s="337">
        <f>IF(U16=9.6,0.7,0)</f>
        <v>0.7</v>
      </c>
      <c r="Z19"/>
    </row>
    <row r="20" spans="2:21" ht="15">
      <c r="B20" s="490">
        <f>Klassen!F29&amp;Klassen!G29</f>
      </c>
      <c r="C20" s="483">
        <f>Klassen!H29+Klassen!I29</f>
        <v>0</v>
      </c>
      <c r="D20" s="483">
        <f>Klassen!J29+Klassen!K29</f>
        <v>0</v>
      </c>
      <c r="E20" s="486">
        <f>Klassen!L29+Klassen!M29</f>
        <v>0</v>
      </c>
      <c r="F20" s="491">
        <f>Klassen!N29+Klassen!O29</f>
        <v>0</v>
      </c>
      <c r="G20" s="484">
        <f>Klassen!P29+Klassen!Q29</f>
        <v>0</v>
      </c>
      <c r="H20" s="483">
        <f>Klassen!R29+Klassen!S29</f>
        <v>0</v>
      </c>
      <c r="I20" s="492">
        <f>Klassen!T29+Klassen!U29</f>
        <v>0</v>
      </c>
      <c r="J20" s="486">
        <f>Klassen!V29+Klassen!W29</f>
        <v>0</v>
      </c>
      <c r="K20" s="484">
        <f>Klassen!X29+Klassen!Y29</f>
        <v>0</v>
      </c>
      <c r="L20" s="407">
        <f>Klassen!Z29+Klassen!AA29</f>
        <v>0</v>
      </c>
      <c r="M20" s="7">
        <f>Klassen!C29</f>
        <v>0</v>
      </c>
      <c r="N20" s="71"/>
      <c r="O20" s="454">
        <f>IF(M20&gt;0,"in  "&amp;Klassen!AS29&amp;" Stufen ",)</f>
        <v>0</v>
      </c>
      <c r="R20" s="395">
        <f>IF(U16&lt;&gt;9.6,"&gt;&gt; SondBere",)</f>
        <v>0</v>
      </c>
      <c r="S20" s="396">
        <f>IF(U16&lt;&gt;9.6,"(… statt 9,6)",)</f>
        <v>0</v>
      </c>
      <c r="U20" s="493">
        <f>IF(M20&gt;0,IF(Klassen!BH29&gt;0,"S"&amp;Klassen!AT29,Klassen!AT29),)</f>
        <v>0</v>
      </c>
    </row>
    <row r="21" spans="2:21" ht="15">
      <c r="B21" s="490">
        <f>Klassen!F30&amp;Klassen!G30</f>
      </c>
      <c r="C21" s="483">
        <f>Klassen!H30+Klassen!I30</f>
        <v>0</v>
      </c>
      <c r="D21" s="483">
        <f>Klassen!J30+Klassen!K30</f>
        <v>0</v>
      </c>
      <c r="E21" s="486">
        <f>Klassen!L30+Klassen!M30</f>
        <v>0</v>
      </c>
      <c r="F21" s="491">
        <f>Klassen!N30+Klassen!O30</f>
        <v>0</v>
      </c>
      <c r="G21" s="484">
        <f>Klassen!P30+Klassen!Q30</f>
        <v>0</v>
      </c>
      <c r="H21" s="483">
        <f>Klassen!R30+Klassen!S30</f>
        <v>0</v>
      </c>
      <c r="I21" s="492">
        <f>Klassen!T30+Klassen!U30</f>
        <v>0</v>
      </c>
      <c r="J21" s="486">
        <f>Klassen!V30+Klassen!W30</f>
        <v>0</v>
      </c>
      <c r="K21" s="484">
        <f>Klassen!X30+Klassen!Y30</f>
        <v>0</v>
      </c>
      <c r="L21" s="407">
        <f>Klassen!Z30+Klassen!AA30</f>
        <v>0</v>
      </c>
      <c r="M21" s="7">
        <f>Klassen!C30</f>
        <v>0</v>
      </c>
      <c r="N21" s="71"/>
      <c r="O21" s="454">
        <f>IF(M21&gt;0,"in  "&amp;Klassen!AS30&amp;" Stufen ",)</f>
        <v>0</v>
      </c>
      <c r="T21" s="343" t="str">
        <f>Einleitung!D1</f>
        <v>BilDiV, pr3  04/20</v>
      </c>
      <c r="U21" s="493">
        <f>IF(M21&gt;0,IF(Klassen!BH30&gt;0,"S"&amp;Klassen!AT30,Klassen!AT30),)</f>
        <v>0</v>
      </c>
    </row>
    <row r="22" spans="2:21" ht="15">
      <c r="B22" s="490">
        <f>Klassen!F31&amp;Klassen!G31</f>
      </c>
      <c r="C22" s="483">
        <f>Klassen!H31+Klassen!I31</f>
        <v>0</v>
      </c>
      <c r="D22" s="483">
        <f>Klassen!J31+Klassen!K31</f>
        <v>0</v>
      </c>
      <c r="E22" s="486">
        <f>Klassen!L31+Klassen!M31</f>
        <v>0</v>
      </c>
      <c r="F22" s="491">
        <f>Klassen!N31+Klassen!O31</f>
        <v>0</v>
      </c>
      <c r="G22" s="484">
        <f>Klassen!P31+Klassen!Q31</f>
        <v>0</v>
      </c>
      <c r="H22" s="483">
        <f>Klassen!R31+Klassen!S31</f>
        <v>0</v>
      </c>
      <c r="I22" s="492">
        <f>Klassen!T31+Klassen!U31</f>
        <v>0</v>
      </c>
      <c r="J22" s="486">
        <f>Klassen!V31+Klassen!W31</f>
        <v>0</v>
      </c>
      <c r="K22" s="484">
        <f>Klassen!X31+Klassen!Y31</f>
        <v>0</v>
      </c>
      <c r="L22" s="407">
        <f>Klassen!Z31+Klassen!AA31</f>
        <v>0</v>
      </c>
      <c r="M22" s="7">
        <f>Klassen!C31</f>
        <v>0</v>
      </c>
      <c r="N22" s="71"/>
      <c r="O22" s="454">
        <f>IF(M22&gt;0,"in  "&amp;Klassen!AS31&amp;" Stufen ",)</f>
        <v>0</v>
      </c>
      <c r="P22" s="846"/>
      <c r="Q22" s="846"/>
      <c r="R22" s="846"/>
      <c r="S22" s="846"/>
      <c r="T22" s="846"/>
      <c r="U22" s="493">
        <f>IF(M22&gt;0,IF(Klassen!BH31&gt;0,"S"&amp;Klassen!AT31,Klassen!AT31),)</f>
        <v>0</v>
      </c>
    </row>
    <row r="23" spans="2:28" ht="15">
      <c r="B23" s="490">
        <f>Klassen!F32&amp;Klassen!G32</f>
      </c>
      <c r="C23" s="483">
        <f>Klassen!H32+Klassen!I32</f>
        <v>0</v>
      </c>
      <c r="D23" s="483">
        <f>Klassen!J32+Klassen!K32</f>
        <v>0</v>
      </c>
      <c r="E23" s="486">
        <f>Klassen!L32+Klassen!M32</f>
        <v>0</v>
      </c>
      <c r="F23" s="491">
        <f>Klassen!N32+Klassen!O32</f>
        <v>0</v>
      </c>
      <c r="G23" s="484">
        <f>Klassen!P32+Klassen!Q32</f>
        <v>0</v>
      </c>
      <c r="H23" s="483">
        <f>Klassen!R32+Klassen!S32</f>
        <v>0</v>
      </c>
      <c r="I23" s="492">
        <f>Klassen!T32+Klassen!U32</f>
        <v>0</v>
      </c>
      <c r="J23" s="486">
        <f>Klassen!V32+Klassen!W32</f>
        <v>0</v>
      </c>
      <c r="K23" s="484">
        <f>Klassen!X32+Klassen!Y32</f>
        <v>0</v>
      </c>
      <c r="L23" s="407">
        <f>Klassen!Z32+Klassen!AA32</f>
        <v>0</v>
      </c>
      <c r="M23" s="7">
        <f>Klassen!C32</f>
        <v>0</v>
      </c>
      <c r="N23" s="71"/>
      <c r="O23" s="454">
        <f>IF(M23&gt;0,"in  "&amp;Klassen!AS32&amp;" Stufen ",)</f>
        <v>0</v>
      </c>
      <c r="P23" s="846"/>
      <c r="Q23" s="846"/>
      <c r="R23" s="846"/>
      <c r="S23" s="846"/>
      <c r="T23" s="846"/>
      <c r="U23" s="493">
        <f>IF(M23&gt;0,IF(Klassen!BH32&gt;0,"S"&amp;Klassen!AT32,Klassen!AT32),)</f>
        <v>0</v>
      </c>
      <c r="Z23" s="494">
        <v>0</v>
      </c>
      <c r="AA23" s="494">
        <v>0</v>
      </c>
      <c r="AB23" s="494">
        <v>0</v>
      </c>
    </row>
    <row r="24" spans="2:28" ht="15">
      <c r="B24" s="490">
        <f>Klassen!F33&amp;Klassen!G33</f>
      </c>
      <c r="C24" s="483">
        <f>Klassen!H33+Klassen!I33</f>
        <v>0</v>
      </c>
      <c r="D24" s="483">
        <f>Klassen!J33+Klassen!K33</f>
        <v>0</v>
      </c>
      <c r="E24" s="486">
        <f>Klassen!L33+Klassen!M33</f>
        <v>0</v>
      </c>
      <c r="F24" s="491">
        <f>Klassen!N33+Klassen!O33</f>
        <v>0</v>
      </c>
      <c r="G24" s="484">
        <f>Klassen!P33+Klassen!Q33</f>
        <v>0</v>
      </c>
      <c r="H24" s="483">
        <f>Klassen!R33+Klassen!S33</f>
        <v>0</v>
      </c>
      <c r="I24" s="492">
        <f>Klassen!T33+Klassen!U33</f>
        <v>0</v>
      </c>
      <c r="J24" s="486">
        <f>Klassen!V33+Klassen!W33</f>
        <v>0</v>
      </c>
      <c r="K24" s="484">
        <f>Klassen!X33+Klassen!Y33</f>
        <v>0</v>
      </c>
      <c r="L24" s="407">
        <f>Klassen!Z33+Klassen!AA33</f>
        <v>0</v>
      </c>
      <c r="M24" s="7">
        <f>Klassen!C33</f>
        <v>0</v>
      </c>
      <c r="N24" s="71"/>
      <c r="O24" s="454">
        <f>IF(M24&gt;0,"in  "&amp;Klassen!AS33&amp;" Stufen ",)</f>
        <v>0</v>
      </c>
      <c r="P24" s="846"/>
      <c r="Q24" s="846"/>
      <c r="R24" s="846"/>
      <c r="S24" s="846"/>
      <c r="T24" s="846"/>
      <c r="U24" s="493">
        <f>IF(M24&gt;0,IF(Klassen!BH33&gt;0,"S"&amp;Klassen!AT33,Klassen!AT33),)</f>
        <v>0</v>
      </c>
      <c r="Z24" s="494">
        <v>1</v>
      </c>
      <c r="AA24" s="494">
        <v>0.5</v>
      </c>
      <c r="AB24" s="494">
        <v>40</v>
      </c>
    </row>
    <row r="25" spans="2:28" ht="15">
      <c r="B25" s="490">
        <f>Klassen!F34&amp;Klassen!G34</f>
      </c>
      <c r="C25" s="483">
        <f>Klassen!H34+Klassen!I34</f>
        <v>0</v>
      </c>
      <c r="D25" s="483">
        <f>Klassen!J34+Klassen!K34</f>
        <v>0</v>
      </c>
      <c r="E25" s="486">
        <f>Klassen!L34+Klassen!M34</f>
        <v>0</v>
      </c>
      <c r="F25" s="491">
        <f>Klassen!N34+Klassen!O34</f>
        <v>0</v>
      </c>
      <c r="G25" s="484">
        <f>Klassen!P34+Klassen!Q34</f>
        <v>0</v>
      </c>
      <c r="H25" s="483">
        <f>Klassen!R34+Klassen!S34</f>
        <v>0</v>
      </c>
      <c r="I25" s="492">
        <f>Klassen!T34+Klassen!U34</f>
        <v>0</v>
      </c>
      <c r="J25" s="486">
        <f>Klassen!V34+Klassen!W34</f>
        <v>0</v>
      </c>
      <c r="K25" s="484">
        <f>Klassen!X34+Klassen!Y34</f>
        <v>0</v>
      </c>
      <c r="L25" s="407">
        <f>Klassen!Z34+Klassen!AA34</f>
        <v>0</v>
      </c>
      <c r="M25" s="7">
        <f>Klassen!C34</f>
        <v>0</v>
      </c>
      <c r="N25" s="71"/>
      <c r="O25" s="454">
        <f>IF(M25&gt;0,"in  "&amp;Klassen!AS34&amp;" Stufen ",)</f>
        <v>0</v>
      </c>
      <c r="P25" s="846"/>
      <c r="Q25" s="846"/>
      <c r="R25" s="846"/>
      <c r="S25" s="846"/>
      <c r="T25" s="846"/>
      <c r="U25" s="493">
        <f>IF(M25&gt;0,IF(Klassen!BH34&gt;0,"S"&amp;Klassen!AT34,Klassen!AT34),)</f>
        <v>0</v>
      </c>
      <c r="Z25" s="494">
        <v>2</v>
      </c>
      <c r="AA25" s="494">
        <v>0.7</v>
      </c>
      <c r="AB25" s="494">
        <v>56</v>
      </c>
    </row>
    <row r="26" spans="2:28" ht="15">
      <c r="B26" s="490">
        <f>Klassen!F35&amp;Klassen!G35</f>
      </c>
      <c r="C26" s="483">
        <f>Klassen!H35+Klassen!I35</f>
        <v>0</v>
      </c>
      <c r="D26" s="483">
        <f>Klassen!J35+Klassen!K35</f>
        <v>0</v>
      </c>
      <c r="E26" s="486">
        <f>Klassen!L35+Klassen!M35</f>
        <v>0</v>
      </c>
      <c r="F26" s="491">
        <f>Klassen!N35+Klassen!O35</f>
        <v>0</v>
      </c>
      <c r="G26" s="484">
        <f>Klassen!P35+Klassen!Q35</f>
        <v>0</v>
      </c>
      <c r="H26" s="483">
        <f>Klassen!R35+Klassen!S35</f>
        <v>0</v>
      </c>
      <c r="I26" s="492">
        <f>Klassen!T35+Klassen!U35</f>
        <v>0</v>
      </c>
      <c r="J26" s="486">
        <f>Klassen!V35+Klassen!W35</f>
        <v>0</v>
      </c>
      <c r="K26" s="484">
        <f>Klassen!X35+Klassen!Y35</f>
        <v>0</v>
      </c>
      <c r="L26" s="407">
        <f>Klassen!Z35+Klassen!AA35</f>
        <v>0</v>
      </c>
      <c r="M26" s="7">
        <f>Klassen!C35</f>
        <v>0</v>
      </c>
      <c r="N26" s="71"/>
      <c r="O26" s="454">
        <f>IF(M26&gt;0,"in  "&amp;Klassen!AS35&amp;" Stufen ",)</f>
        <v>0</v>
      </c>
      <c r="P26" s="846"/>
      <c r="Q26" s="846"/>
      <c r="R26" s="846"/>
      <c r="S26" s="846"/>
      <c r="T26" s="846"/>
      <c r="U26" s="493">
        <f>IF(M26&gt;0,IF(Klassen!BH35&gt;0,"S"&amp;Klassen!AT35,Klassen!AT35),)</f>
        <v>0</v>
      </c>
      <c r="Z26" s="494">
        <v>3</v>
      </c>
      <c r="AA26" s="494">
        <v>0.8999999999999999</v>
      </c>
      <c r="AB26" s="494">
        <v>72</v>
      </c>
    </row>
    <row r="27" spans="2:28" ht="15">
      <c r="B27" s="490">
        <f>Klassen!F36&amp;Klassen!G36</f>
      </c>
      <c r="C27" s="483">
        <f>Klassen!H36+Klassen!I36</f>
        <v>0</v>
      </c>
      <c r="D27" s="483">
        <f>Klassen!J36+Klassen!K36</f>
        <v>0</v>
      </c>
      <c r="E27" s="486">
        <f>Klassen!L36+Klassen!M36</f>
        <v>0</v>
      </c>
      <c r="F27" s="491">
        <f>Klassen!N36+Klassen!O36</f>
        <v>0</v>
      </c>
      <c r="G27" s="484">
        <f>Klassen!P36+Klassen!Q36</f>
        <v>0</v>
      </c>
      <c r="H27" s="483">
        <f>Klassen!R36+Klassen!S36</f>
        <v>0</v>
      </c>
      <c r="I27" s="492">
        <f>Klassen!T36+Klassen!U36</f>
        <v>0</v>
      </c>
      <c r="J27" s="486">
        <f>Klassen!V36+Klassen!W36</f>
        <v>0</v>
      </c>
      <c r="K27" s="484">
        <f>Klassen!X36+Klassen!Y36</f>
        <v>0</v>
      </c>
      <c r="L27" s="407">
        <f>Klassen!Z36+Klassen!AA36</f>
        <v>0</v>
      </c>
      <c r="M27" s="7">
        <f>Klassen!C36</f>
        <v>0</v>
      </c>
      <c r="N27" s="71"/>
      <c r="O27" s="454">
        <f>IF(M27&gt;0,"in  "&amp;Klassen!AS36&amp;" Stufen ",)</f>
        <v>0</v>
      </c>
      <c r="P27" s="846"/>
      <c r="Q27" s="846"/>
      <c r="R27" s="846"/>
      <c r="S27" s="846"/>
      <c r="T27" s="846"/>
      <c r="U27" s="493">
        <f>IF(M27&gt;0,IF(Klassen!BH36&gt;0,"S"&amp;Klassen!AT36,Klassen!AT36),)</f>
        <v>0</v>
      </c>
      <c r="Z27" s="494">
        <v>4</v>
      </c>
      <c r="AA27" s="494">
        <v>1.0999999999999999</v>
      </c>
      <c r="AB27" s="494">
        <v>88</v>
      </c>
    </row>
    <row r="28" spans="2:28" ht="15">
      <c r="B28" s="490">
        <f>Klassen!F37&amp;Klassen!G37</f>
      </c>
      <c r="C28" s="483">
        <f>Klassen!H37+Klassen!I37</f>
        <v>0</v>
      </c>
      <c r="D28" s="483">
        <f>Klassen!J37+Klassen!K37</f>
        <v>0</v>
      </c>
      <c r="E28" s="486">
        <f>Klassen!L37+Klassen!M37</f>
        <v>0</v>
      </c>
      <c r="F28" s="491">
        <f>Klassen!N37+Klassen!O37</f>
        <v>0</v>
      </c>
      <c r="G28" s="484">
        <f>Klassen!P37+Klassen!Q37</f>
        <v>0</v>
      </c>
      <c r="H28" s="483">
        <f>Klassen!R37+Klassen!S37</f>
        <v>0</v>
      </c>
      <c r="I28" s="492">
        <f>Klassen!T37+Klassen!U37</f>
        <v>0</v>
      </c>
      <c r="J28" s="486">
        <f>Klassen!V37+Klassen!W37</f>
        <v>0</v>
      </c>
      <c r="K28" s="484">
        <f>Klassen!X37+Klassen!Y37</f>
        <v>0</v>
      </c>
      <c r="L28" s="407">
        <f>Klassen!Z37+Klassen!AA37</f>
        <v>0</v>
      </c>
      <c r="M28" s="7">
        <f>Klassen!C37</f>
        <v>0</v>
      </c>
      <c r="N28" s="71"/>
      <c r="O28" s="454">
        <f>IF(M28&gt;0,"in  "&amp;Klassen!AS37&amp;" Stufen ",)</f>
        <v>0</v>
      </c>
      <c r="P28" s="846"/>
      <c r="Q28" s="846"/>
      <c r="R28" s="846"/>
      <c r="S28" s="846"/>
      <c r="T28" s="846"/>
      <c r="U28" s="493">
        <f>IF(M28&gt;0,IF(Klassen!BH37&gt;0,"S"&amp;Klassen!AT37,Klassen!AT37),)</f>
        <v>0</v>
      </c>
      <c r="Z28" s="494">
        <v>5</v>
      </c>
      <c r="AA28" s="494">
        <v>1.4</v>
      </c>
      <c r="AB28" s="494">
        <v>112</v>
      </c>
    </row>
    <row r="29" spans="2:28" ht="15">
      <c r="B29" s="490">
        <f>Klassen!F38&amp;Klassen!G38</f>
      </c>
      <c r="C29" s="483">
        <f>Klassen!H38+Klassen!I38</f>
        <v>0</v>
      </c>
      <c r="D29" s="483">
        <f>Klassen!J38+Klassen!K38</f>
        <v>0</v>
      </c>
      <c r="E29" s="486">
        <f>Klassen!L38+Klassen!M38</f>
        <v>0</v>
      </c>
      <c r="F29" s="491">
        <f>Klassen!N38+Klassen!O38</f>
        <v>0</v>
      </c>
      <c r="G29" s="484">
        <f>Klassen!P38+Klassen!Q38</f>
        <v>0</v>
      </c>
      <c r="H29" s="483">
        <f>Klassen!R38+Klassen!S38</f>
        <v>0</v>
      </c>
      <c r="I29" s="492">
        <f>Klassen!T38+Klassen!U38</f>
        <v>0</v>
      </c>
      <c r="J29" s="486">
        <f>Klassen!V38+Klassen!W38</f>
        <v>0</v>
      </c>
      <c r="K29" s="484">
        <f>Klassen!X38+Klassen!Y38</f>
        <v>0</v>
      </c>
      <c r="L29" s="407">
        <f>Klassen!Z38+Klassen!AA38</f>
        <v>0</v>
      </c>
      <c r="M29" s="7">
        <f>Klassen!C38</f>
        <v>0</v>
      </c>
      <c r="N29" s="71"/>
      <c r="O29" s="454">
        <f>IF(M29&gt;0,"in  "&amp;Klassen!AS38&amp;" Stufen ",)</f>
        <v>0</v>
      </c>
      <c r="P29" s="846"/>
      <c r="Q29" s="846"/>
      <c r="R29" s="846"/>
      <c r="S29" s="846"/>
      <c r="T29" s="846"/>
      <c r="U29" s="493">
        <f>IF(M29&gt;0,IF(Klassen!BH38&gt;0,"S"&amp;Klassen!AT38,Klassen!AT38),)</f>
        <v>0</v>
      </c>
      <c r="Z29" s="494">
        <v>6</v>
      </c>
      <c r="AA29" s="494">
        <v>1.7</v>
      </c>
      <c r="AB29" s="494">
        <v>136</v>
      </c>
    </row>
    <row r="30" spans="2:28" ht="15">
      <c r="B30" s="490">
        <f>Klassen!F39&amp;Klassen!G39</f>
      </c>
      <c r="C30" s="483">
        <f>Klassen!H39+Klassen!I39</f>
        <v>0</v>
      </c>
      <c r="D30" s="483">
        <f>Klassen!J39+Klassen!K39</f>
        <v>0</v>
      </c>
      <c r="E30" s="486">
        <f>Klassen!L39+Klassen!M39</f>
        <v>0</v>
      </c>
      <c r="F30" s="491">
        <f>Klassen!N39+Klassen!O39</f>
        <v>0</v>
      </c>
      <c r="G30" s="484">
        <f>Klassen!P39+Klassen!Q39</f>
        <v>0</v>
      </c>
      <c r="H30" s="483">
        <f>Klassen!R39+Klassen!S39</f>
        <v>0</v>
      </c>
      <c r="I30" s="492">
        <f>Klassen!T39+Klassen!U39</f>
        <v>0</v>
      </c>
      <c r="J30" s="486">
        <f>Klassen!V39+Klassen!W39</f>
        <v>0</v>
      </c>
      <c r="K30" s="484">
        <f>Klassen!X39+Klassen!Y39</f>
        <v>0</v>
      </c>
      <c r="L30" s="407">
        <f>Klassen!Z39+Klassen!AA39</f>
        <v>0</v>
      </c>
      <c r="M30" s="7">
        <f>Klassen!C39</f>
        <v>0</v>
      </c>
      <c r="N30" s="71"/>
      <c r="O30" s="454">
        <f>IF(M30&gt;0,"in  "&amp;Klassen!AS39&amp;" Stufen ",)</f>
        <v>0</v>
      </c>
      <c r="P30" s="846"/>
      <c r="Q30" s="846"/>
      <c r="R30" s="846"/>
      <c r="S30" s="846"/>
      <c r="T30" s="846"/>
      <c r="U30" s="493">
        <f>IF(M30&gt;0,IF(Klassen!BH39&gt;0,"S"&amp;Klassen!AT39,Klassen!AT39),)</f>
        <v>0</v>
      </c>
      <c r="Z30" s="494">
        <v>7</v>
      </c>
      <c r="AA30" s="494">
        <v>2</v>
      </c>
      <c r="AB30" s="494">
        <v>160</v>
      </c>
    </row>
    <row r="31" spans="2:28" ht="15">
      <c r="B31" s="490">
        <f>Klassen!F40&amp;Klassen!G40</f>
      </c>
      <c r="C31" s="483">
        <f>Klassen!H40+Klassen!I40</f>
        <v>0</v>
      </c>
      <c r="D31" s="483">
        <f>Klassen!J40+Klassen!K40</f>
        <v>0</v>
      </c>
      <c r="E31" s="486">
        <f>Klassen!L40+Klassen!M40</f>
        <v>0</v>
      </c>
      <c r="F31" s="491">
        <f>Klassen!N40+Klassen!O40</f>
        <v>0</v>
      </c>
      <c r="G31" s="484">
        <f>Klassen!P40+Klassen!Q40</f>
        <v>0</v>
      </c>
      <c r="H31" s="483">
        <f>Klassen!R40+Klassen!S40</f>
        <v>0</v>
      </c>
      <c r="I31" s="492">
        <f>Klassen!T40+Klassen!U40</f>
        <v>0</v>
      </c>
      <c r="J31" s="486">
        <f>Klassen!V40+Klassen!W40</f>
        <v>0</v>
      </c>
      <c r="K31" s="484">
        <f>Klassen!X40+Klassen!Y40</f>
        <v>0</v>
      </c>
      <c r="L31" s="407">
        <f>Klassen!Z40+Klassen!AA40</f>
        <v>0</v>
      </c>
      <c r="M31" s="7">
        <f>Klassen!C40</f>
        <v>0</v>
      </c>
      <c r="N31" s="71"/>
      <c r="O31" s="454">
        <f>IF(M31&gt;0,"in  "&amp;Klassen!AS40&amp;" Stufen ",)</f>
        <v>0</v>
      </c>
      <c r="P31" s="846"/>
      <c r="Q31" s="846"/>
      <c r="R31" s="846"/>
      <c r="S31" s="846"/>
      <c r="T31" s="846"/>
      <c r="U31" s="493">
        <f>IF(M31&gt;0,IF(Klassen!BH40&gt;0,"S"&amp;Klassen!AT40,Klassen!AT40),)</f>
        <v>0</v>
      </c>
      <c r="Z31" s="494">
        <v>8</v>
      </c>
      <c r="AA31" s="494">
        <v>1.2999999999999998</v>
      </c>
      <c r="AB31" s="494">
        <v>104</v>
      </c>
    </row>
    <row r="32" spans="2:28" ht="15" customHeight="1" hidden="1">
      <c r="B32" s="495"/>
      <c r="C32" s="496"/>
      <c r="D32" s="496"/>
      <c r="E32" s="496"/>
      <c r="F32" s="496"/>
      <c r="G32" s="496"/>
      <c r="H32" s="496"/>
      <c r="I32" s="496"/>
      <c r="J32" s="496"/>
      <c r="K32" s="496"/>
      <c r="L32" s="497"/>
      <c r="M32" s="7"/>
      <c r="N32" s="71"/>
      <c r="O32" s="454"/>
      <c r="P32" s="846"/>
      <c r="Q32" s="846"/>
      <c r="R32" s="846"/>
      <c r="S32" s="846"/>
      <c r="T32" s="846"/>
      <c r="U32" s="498"/>
      <c r="Z32" s="494">
        <v>9</v>
      </c>
      <c r="AA32" s="494">
        <v>1.7999999999999998</v>
      </c>
      <c r="AB32" s="494">
        <v>144</v>
      </c>
    </row>
    <row r="33" spans="2:28" ht="15" customHeight="1" hidden="1">
      <c r="B33" s="495"/>
      <c r="C33" s="496"/>
      <c r="D33" s="496"/>
      <c r="E33" s="496"/>
      <c r="F33" s="496"/>
      <c r="G33" s="496"/>
      <c r="H33" s="496"/>
      <c r="I33" s="496"/>
      <c r="J33" s="496"/>
      <c r="K33" s="496"/>
      <c r="L33" s="497"/>
      <c r="M33" s="7"/>
      <c r="N33" s="71"/>
      <c r="O33" s="454"/>
      <c r="P33" s="846"/>
      <c r="Q33" s="846"/>
      <c r="R33" s="846"/>
      <c r="S33" s="846"/>
      <c r="T33" s="846"/>
      <c r="U33" s="498"/>
      <c r="Z33" s="494">
        <v>10</v>
      </c>
      <c r="AA33" s="494">
        <v>2.3</v>
      </c>
      <c r="AB33" s="494">
        <v>184</v>
      </c>
    </row>
    <row r="34" spans="2:28" ht="15" customHeight="1" hidden="1">
      <c r="B34" s="495"/>
      <c r="C34" s="496"/>
      <c r="D34" s="496"/>
      <c r="E34" s="496"/>
      <c r="F34" s="496"/>
      <c r="G34" s="496"/>
      <c r="H34" s="496"/>
      <c r="I34" s="496"/>
      <c r="J34" s="496"/>
      <c r="K34" s="496"/>
      <c r="L34" s="497"/>
      <c r="M34" s="7"/>
      <c r="N34" s="71"/>
      <c r="O34" s="454"/>
      <c r="P34" s="846"/>
      <c r="Q34" s="846"/>
      <c r="R34" s="846"/>
      <c r="S34" s="846"/>
      <c r="T34" s="846"/>
      <c r="U34" s="498"/>
      <c r="Z34" s="494">
        <v>11</v>
      </c>
      <c r="AA34" s="494">
        <v>2.8</v>
      </c>
      <c r="AB34" s="494">
        <v>224</v>
      </c>
    </row>
    <row r="35" spans="2:28" ht="9" customHeight="1" hidden="1">
      <c r="B35" s="495"/>
      <c r="C35" s="496"/>
      <c r="D35" s="496"/>
      <c r="E35" s="496"/>
      <c r="F35" s="496"/>
      <c r="G35" s="496"/>
      <c r="H35" s="496"/>
      <c r="I35" s="496"/>
      <c r="J35" s="496"/>
      <c r="K35" s="496"/>
      <c r="L35" s="497"/>
      <c r="M35" s="7"/>
      <c r="N35" s="71"/>
      <c r="O35" s="454"/>
      <c r="P35" s="846"/>
      <c r="Q35" s="846"/>
      <c r="R35" s="846"/>
      <c r="S35" s="846"/>
      <c r="T35" s="846"/>
      <c r="U35" s="498"/>
      <c r="Z35" s="494">
        <v>12</v>
      </c>
      <c r="AA35" s="494">
        <v>3.3</v>
      </c>
      <c r="AB35" s="494">
        <v>264</v>
      </c>
    </row>
    <row r="36" spans="2:28" ht="9" customHeight="1" hidden="1">
      <c r="B36" s="49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7"/>
      <c r="N36" s="71"/>
      <c r="O36" s="454"/>
      <c r="P36" s="846"/>
      <c r="Q36" s="846"/>
      <c r="R36" s="846"/>
      <c r="S36" s="846"/>
      <c r="T36" s="846"/>
      <c r="U36" s="498"/>
      <c r="Z36" s="494">
        <v>13</v>
      </c>
      <c r="AA36" s="494">
        <v>4.6</v>
      </c>
      <c r="AB36" s="494">
        <v>368</v>
      </c>
    </row>
    <row r="37" spans="2:28" ht="9" customHeight="1" hidden="1">
      <c r="B37" s="49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7"/>
      <c r="N37" s="71"/>
      <c r="O37" s="454"/>
      <c r="P37" s="846"/>
      <c r="Q37" s="846"/>
      <c r="R37" s="846"/>
      <c r="S37" s="846"/>
      <c r="T37" s="846"/>
      <c r="U37" s="498"/>
      <c r="Z37" s="494">
        <v>14</v>
      </c>
      <c r="AA37" s="494">
        <v>5.8999999999999995</v>
      </c>
      <c r="AB37" s="494">
        <v>472</v>
      </c>
    </row>
    <row r="38" spans="2:28" ht="9" customHeight="1" hidden="1">
      <c r="B38" s="49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7"/>
      <c r="N38" s="71"/>
      <c r="O38" s="454"/>
      <c r="P38" s="846"/>
      <c r="Q38" s="846"/>
      <c r="R38" s="846"/>
      <c r="S38" s="846"/>
      <c r="T38" s="846"/>
      <c r="U38" s="498"/>
      <c r="Z38" s="494">
        <v>15</v>
      </c>
      <c r="AA38" s="494">
        <v>7.2</v>
      </c>
      <c r="AB38" s="494">
        <v>576</v>
      </c>
    </row>
    <row r="39" spans="2:28" ht="9" customHeight="1" hidden="1">
      <c r="B39" s="49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7"/>
      <c r="N39" s="71"/>
      <c r="O39" s="454"/>
      <c r="P39" s="846"/>
      <c r="Q39" s="846"/>
      <c r="R39" s="846"/>
      <c r="S39" s="846"/>
      <c r="T39" s="846"/>
      <c r="U39" s="498"/>
      <c r="Z39" s="494">
        <v>16</v>
      </c>
      <c r="AA39" s="494">
        <v>8.5</v>
      </c>
      <c r="AB39" s="494">
        <v>680</v>
      </c>
    </row>
    <row r="40" spans="2:28" ht="9" customHeight="1" hidden="1">
      <c r="B40" s="499"/>
      <c r="C40" s="500"/>
      <c r="D40" s="500"/>
      <c r="E40" s="500"/>
      <c r="F40" s="500"/>
      <c r="G40" s="500"/>
      <c r="H40" s="500"/>
      <c r="I40" s="500"/>
      <c r="J40" s="500"/>
      <c r="K40" s="500"/>
      <c r="L40" s="21"/>
      <c r="M40" s="7"/>
      <c r="N40" s="71"/>
      <c r="O40" s="454"/>
      <c r="P40" s="846"/>
      <c r="Q40" s="846"/>
      <c r="R40" s="846"/>
      <c r="S40" s="846"/>
      <c r="T40" s="846"/>
      <c r="U40" s="498"/>
      <c r="Z40" s="494">
        <v>17</v>
      </c>
      <c r="AA40" s="494">
        <v>9.8</v>
      </c>
      <c r="AB40" s="494">
        <v>784</v>
      </c>
    </row>
    <row r="41" spans="2:28" ht="15">
      <c r="B41" s="490">
        <f>Klassen!F43&amp;Klassen!G43</f>
      </c>
      <c r="C41" s="483">
        <f>Klassen!H43+Klassen!I43</f>
        <v>0</v>
      </c>
      <c r="D41" s="483">
        <f>Klassen!J43+Klassen!K43</f>
        <v>0</v>
      </c>
      <c r="E41" s="486">
        <f>Klassen!L43+Klassen!M43</f>
        <v>0</v>
      </c>
      <c r="F41" s="491">
        <f>Klassen!N43+Klassen!O43</f>
        <v>0</v>
      </c>
      <c r="G41" s="484">
        <f>Klassen!P43+Klassen!Q43</f>
        <v>0</v>
      </c>
      <c r="H41" s="483">
        <f>Klassen!R43+Klassen!S43</f>
        <v>0</v>
      </c>
      <c r="I41" s="492">
        <f>Klassen!T43+Klassen!U43</f>
        <v>0</v>
      </c>
      <c r="J41" s="486">
        <f>Klassen!V43+Klassen!W43</f>
        <v>0</v>
      </c>
      <c r="K41" s="484">
        <f>Klassen!X43+Klassen!Y43</f>
        <v>0</v>
      </c>
      <c r="L41" s="407">
        <f>Klassen!Z43+Klassen!AA43</f>
        <v>0</v>
      </c>
      <c r="M41" s="7">
        <f>Klassen!C43</f>
        <v>0</v>
      </c>
      <c r="N41" s="71"/>
      <c r="O41" s="454">
        <f>IF(M41&gt;0,"in  "&amp;Klassen!AS43&amp;" Stufen ",)</f>
        <v>0</v>
      </c>
      <c r="P41" s="846"/>
      <c r="Q41" s="846"/>
      <c r="R41" s="846"/>
      <c r="S41" s="846"/>
      <c r="T41" s="846"/>
      <c r="U41" s="493">
        <f>IF(M41&gt;0,IF(Klassen!BH43&gt;0,"S"&amp;Klassen!AT43,Klassen!AT43),)</f>
        <v>0</v>
      </c>
      <c r="Z41" s="494">
        <v>18</v>
      </c>
      <c r="AA41" s="494">
        <v>11.100000000000001</v>
      </c>
      <c r="AB41" s="494">
        <v>888</v>
      </c>
    </row>
    <row r="42" spans="2:28" ht="15">
      <c r="B42" s="490">
        <f>Klassen!F44&amp;Klassen!G44</f>
      </c>
      <c r="C42" s="483">
        <f>Klassen!H44+Klassen!I44</f>
        <v>0</v>
      </c>
      <c r="D42" s="483">
        <f>Klassen!J44+Klassen!K44</f>
        <v>0</v>
      </c>
      <c r="E42" s="486">
        <f>Klassen!L44+Klassen!M44</f>
        <v>0</v>
      </c>
      <c r="F42" s="491">
        <f>Klassen!N44+Klassen!O44</f>
        <v>0</v>
      </c>
      <c r="G42" s="484">
        <f>Klassen!P44+Klassen!Q44</f>
        <v>0</v>
      </c>
      <c r="H42" s="483">
        <f>Klassen!R44+Klassen!S44</f>
        <v>0</v>
      </c>
      <c r="I42" s="492">
        <f>Klassen!T44+Klassen!U44</f>
        <v>0</v>
      </c>
      <c r="J42" s="486">
        <f>Klassen!V44+Klassen!W44</f>
        <v>0</v>
      </c>
      <c r="K42" s="484">
        <f>Klassen!X44+Klassen!Y44</f>
        <v>0</v>
      </c>
      <c r="L42" s="407">
        <f>Klassen!Z44+Klassen!AA44</f>
        <v>0</v>
      </c>
      <c r="M42" s="7">
        <f>Klassen!C44</f>
        <v>0</v>
      </c>
      <c r="N42" s="71"/>
      <c r="O42" s="454">
        <f>IF(M42&gt;0,"in  "&amp;Klassen!AS44&amp;" Stufen ",)</f>
        <v>0</v>
      </c>
      <c r="P42" s="9"/>
      <c r="Q42" s="9"/>
      <c r="R42" s="9"/>
      <c r="S42" s="9"/>
      <c r="T42" s="9"/>
      <c r="U42" s="493">
        <f>IF(M42&gt;0,IF(Klassen!BH44&gt;0,"S"&amp;Klassen!AT44,Klassen!AT44),)</f>
        <v>0</v>
      </c>
      <c r="Z42" s="494">
        <v>19</v>
      </c>
      <c r="AA42" s="494">
        <v>12.399999999999999</v>
      </c>
      <c r="AB42" s="494">
        <v>992</v>
      </c>
    </row>
    <row r="43" spans="2:28" ht="15">
      <c r="B43" s="490">
        <f>Klassen!F45&amp;Klassen!G45</f>
      </c>
      <c r="C43" s="483">
        <f>Klassen!H45+Klassen!I45</f>
        <v>0</v>
      </c>
      <c r="D43" s="483">
        <f>Klassen!J45+Klassen!K45</f>
        <v>0</v>
      </c>
      <c r="E43" s="486">
        <f>Klassen!L45+Klassen!M45</f>
        <v>0</v>
      </c>
      <c r="F43" s="491">
        <f>Klassen!N45+Klassen!O45</f>
        <v>0</v>
      </c>
      <c r="G43" s="484">
        <f>Klassen!P45+Klassen!Q45</f>
        <v>0</v>
      </c>
      <c r="H43" s="483">
        <f>Klassen!R45+Klassen!S45</f>
        <v>0</v>
      </c>
      <c r="I43" s="492">
        <f>Klassen!T45+Klassen!U45</f>
        <v>0</v>
      </c>
      <c r="J43" s="486">
        <f>Klassen!V45+Klassen!W45</f>
        <v>0</v>
      </c>
      <c r="K43" s="484">
        <f>Klassen!X45+Klassen!Y45</f>
        <v>0</v>
      </c>
      <c r="L43" s="407">
        <f>Klassen!Z45+Klassen!AA45</f>
        <v>0</v>
      </c>
      <c r="M43" s="7">
        <f>Klassen!C45</f>
        <v>0</v>
      </c>
      <c r="N43" s="71"/>
      <c r="O43" s="454">
        <f>IF(M43&gt;0,"in  "&amp;Klassen!AS45&amp;" Stufen ",)</f>
        <v>0</v>
      </c>
      <c r="P43" s="501"/>
      <c r="Q43" s="502" t="s">
        <v>129</v>
      </c>
      <c r="R43" s="502"/>
      <c r="S43" s="503"/>
      <c r="T43" s="503"/>
      <c r="U43" s="493">
        <f>IF(M43&gt;0,IF(Klassen!BH45&gt;0,"S"&amp;Klassen!AT45,Klassen!AT45),)</f>
        <v>0</v>
      </c>
      <c r="Z43" s="494">
        <v>20</v>
      </c>
      <c r="AA43" s="494">
        <v>13.7</v>
      </c>
      <c r="AB43" s="494">
        <v>1096</v>
      </c>
    </row>
    <row r="44" spans="2:28" ht="15" customHeight="1">
      <c r="B44" s="490">
        <f>Klassen!F46&amp;Klassen!G46</f>
      </c>
      <c r="C44" s="483">
        <f>Klassen!H46+Klassen!I46</f>
        <v>0</v>
      </c>
      <c r="D44" s="483">
        <f>Klassen!J46+Klassen!K46</f>
        <v>0</v>
      </c>
      <c r="E44" s="486">
        <f>Klassen!L46+Klassen!M46</f>
        <v>0</v>
      </c>
      <c r="F44" s="491">
        <f>Klassen!N46+Klassen!O46</f>
        <v>0</v>
      </c>
      <c r="G44" s="484">
        <f>Klassen!P46+Klassen!Q46</f>
        <v>0</v>
      </c>
      <c r="H44" s="483">
        <f>Klassen!R46+Klassen!S46</f>
        <v>0</v>
      </c>
      <c r="I44" s="492">
        <f>Klassen!T46+Klassen!U46</f>
        <v>0</v>
      </c>
      <c r="J44" s="486">
        <f>Klassen!V46+Klassen!W46</f>
        <v>0</v>
      </c>
      <c r="K44" s="484">
        <f>Klassen!X46+Klassen!Y46</f>
        <v>0</v>
      </c>
      <c r="L44" s="407">
        <f>Klassen!Z46+Klassen!AA46</f>
        <v>0</v>
      </c>
      <c r="M44" s="7">
        <f>Klassen!C46</f>
        <v>0</v>
      </c>
      <c r="N44" s="71"/>
      <c r="O44" s="454">
        <f>IF(M44&gt;0,"in  "&amp;Klassen!AS46&amp;" Stufen ",)</f>
        <v>0</v>
      </c>
      <c r="R44" s="852">
        <f ca="1">IF(S78&gt;0,TODAY(),)</f>
        <v>43958</v>
      </c>
      <c r="S44" s="852"/>
      <c r="T44" s="852"/>
      <c r="U44" s="493">
        <f>IF(M44&gt;0,IF(Klassen!BH46&gt;0,"S"&amp;Klassen!AT46,Klassen!AT46),)</f>
        <v>0</v>
      </c>
      <c r="Z44" s="494">
        <v>21</v>
      </c>
      <c r="AA44" s="494">
        <v>15</v>
      </c>
      <c r="AB44" s="494">
        <v>1200</v>
      </c>
    </row>
    <row r="45" spans="2:28" ht="15" customHeight="1">
      <c r="B45" s="504">
        <f>Klassen!F47&amp;Klassen!G47</f>
      </c>
      <c r="C45" s="483">
        <f>Klassen!H47+Klassen!I47</f>
        <v>0</v>
      </c>
      <c r="D45" s="483">
        <f>Klassen!J47+Klassen!K47</f>
        <v>0</v>
      </c>
      <c r="E45" s="486">
        <f>Klassen!L47+Klassen!M47</f>
        <v>0</v>
      </c>
      <c r="F45" s="491">
        <f>Klassen!N47+Klassen!O47</f>
        <v>0</v>
      </c>
      <c r="G45" s="484">
        <f>Klassen!P47+Klassen!Q47</f>
        <v>0</v>
      </c>
      <c r="H45" s="483">
        <f>Klassen!R47+Klassen!S47</f>
        <v>0</v>
      </c>
      <c r="I45" s="492">
        <f>Klassen!T47+Klassen!U47</f>
        <v>0</v>
      </c>
      <c r="J45" s="486">
        <f>Klassen!V47+Klassen!W47</f>
        <v>0</v>
      </c>
      <c r="K45" s="484">
        <f>Klassen!X47+Klassen!Y47</f>
        <v>0</v>
      </c>
      <c r="L45" s="505">
        <f>Klassen!Z47+Klassen!AA47</f>
        <v>0</v>
      </c>
      <c r="M45" s="7">
        <f>Klassen!C47</f>
        <v>0</v>
      </c>
      <c r="N45" s="71"/>
      <c r="O45" s="454">
        <f>IF(M45&gt;0,"in  "&amp;Klassen!AS47&amp;" Stufen ",)</f>
        <v>0</v>
      </c>
      <c r="R45" s="853"/>
      <c r="S45" s="853"/>
      <c r="T45" s="853"/>
      <c r="U45" s="493">
        <f>IF(M45&gt;0,IF(Klassen!BH47&gt;0,"S"&amp;Klassen!AT47,Klassen!AT47),)</f>
        <v>0</v>
      </c>
      <c r="Z45" s="494">
        <v>22</v>
      </c>
      <c r="AA45" s="494">
        <v>15.7</v>
      </c>
      <c r="AB45" s="494">
        <v>1256</v>
      </c>
    </row>
    <row r="46" spans="18:29" s="12" customFormat="1" ht="16.5">
      <c r="R46" s="344"/>
      <c r="S46" s="344" t="s">
        <v>6</v>
      </c>
      <c r="T46" s="573"/>
      <c r="U46" s="574">
        <f>IF(U47&lt;=7,W48,X47)</f>
        <v>0</v>
      </c>
      <c r="Y46" s="575">
        <f>IF(Y47&gt;0," +"&amp;Y47&amp;" STB","")</f>
      </c>
      <c r="Z46" s="494">
        <v>23</v>
      </c>
      <c r="AA46" s="494">
        <v>16.4</v>
      </c>
      <c r="AB46" s="494">
        <v>1312</v>
      </c>
      <c r="AC46" s="506"/>
    </row>
    <row r="47" spans="1:29" s="339" customFormat="1" ht="17.25" thickBot="1">
      <c r="A47" s="12"/>
      <c r="B47" s="345" t="s">
        <v>130</v>
      </c>
      <c r="C47" s="346">
        <f aca="true" t="shared" si="1" ref="C47:L47">SUM(C19,C12,C8)</f>
        <v>0</v>
      </c>
      <c r="D47" s="347">
        <f t="shared" si="1"/>
        <v>0</v>
      </c>
      <c r="E47" s="347">
        <f t="shared" si="1"/>
        <v>0</v>
      </c>
      <c r="F47" s="347">
        <f t="shared" si="1"/>
        <v>0</v>
      </c>
      <c r="G47" s="346">
        <f t="shared" si="1"/>
        <v>0</v>
      </c>
      <c r="H47" s="347">
        <f t="shared" si="1"/>
        <v>0</v>
      </c>
      <c r="I47" s="347">
        <f t="shared" si="1"/>
        <v>0</v>
      </c>
      <c r="J47" s="347">
        <f t="shared" si="1"/>
        <v>0</v>
      </c>
      <c r="K47" s="346">
        <f t="shared" si="1"/>
        <v>0</v>
      </c>
      <c r="L47" s="347">
        <f t="shared" si="1"/>
        <v>0</v>
      </c>
      <c r="M47" s="348">
        <f>SUM(C47:L47)</f>
        <v>0</v>
      </c>
      <c r="T47" s="351">
        <f>IF(U49&gt;0,"für LeitZul:  "&amp;IF(J48="X","..+",)&amp;U49&amp;" Kl "&amp;Y46,)</f>
        <v>0</v>
      </c>
      <c r="U47" s="576">
        <f>U49+X47</f>
        <v>0</v>
      </c>
      <c r="V47"/>
      <c r="W47" s="577">
        <f>GTS!AJ26</f>
        <v>0</v>
      </c>
      <c r="X47" s="577">
        <f>GTS!AK26</f>
        <v>0</v>
      </c>
      <c r="Y47" s="577">
        <f>GTS!AL26</f>
        <v>0</v>
      </c>
      <c r="Z47" s="494">
        <v>24</v>
      </c>
      <c r="AA47" s="494">
        <v>17.099999999999998</v>
      </c>
      <c r="AB47" s="494">
        <v>1368</v>
      </c>
      <c r="AC47" s="506"/>
    </row>
    <row r="48" spans="4:29" ht="17.25" thickBot="1" thickTop="1">
      <c r="D48" s="273" t="s">
        <v>47</v>
      </c>
      <c r="E48" s="847">
        <f>Klassen!AF14</f>
        <v>0</v>
      </c>
      <c r="F48" s="848"/>
      <c r="G48" s="274" t="s">
        <v>80</v>
      </c>
      <c r="J48" s="349">
        <f>IF(OR(ISNUMBER(SEARCH("Bregenz",A1)),ISNUMBER(SEARCH("Weidach",A1)),ISNUMBER(SEARCH("Lauterach",A1)),ISNUMBER(SEARCH("Unterfeld",A1)),ISNUMBER(SEARCH("Langenegg",A1)),ISNUMBER(SEARCH("Kleinwalsertal",A1)),ISNUMBER(SEARCH("Riezlern",A1)),ISNUMBER(SEARCH("Hohenems",A1)),ISNUMBER(SEARCH("Schwefel",A1))),"X",)</f>
        <v>0</v>
      </c>
      <c r="K48" s="350">
        <f>IF(J48&gt;0," ... die Sonderschul-Klassen werden nicht als selbständige Schule geführt",)</f>
        <v>0</v>
      </c>
      <c r="U48">
        <f>20-2-(U49*1.5)-U46</f>
        <v>18</v>
      </c>
      <c r="W48" s="577">
        <f>ROUNDDOWN(W47,0)*0.75</f>
        <v>0</v>
      </c>
      <c r="Y48" s="507">
        <f>IF(OR(ISNUMBER(SEARCH("Langenegg",A1)),ISNUMBER(SEARCH("Lauterach",A1)),ISNUMBER(SEARCH("Weidach",A1))),"X",)</f>
        <v>0</v>
      </c>
      <c r="Z48" s="508" t="s">
        <v>164</v>
      </c>
      <c r="AA48" s="508" t="s">
        <v>165</v>
      </c>
      <c r="AB48" s="508" t="s">
        <v>166</v>
      </c>
      <c r="AC48" s="508" t="s">
        <v>384</v>
      </c>
    </row>
    <row r="49" spans="1:29" ht="15.75" thickTop="1">
      <c r="A49" s="26"/>
      <c r="B49" s="26"/>
      <c r="C49" s="26"/>
      <c r="D49" s="26"/>
      <c r="E49" s="26"/>
      <c r="F49" s="26"/>
      <c r="G49" s="26"/>
      <c r="H49" s="26"/>
      <c r="I49" s="26"/>
      <c r="K49" s="26"/>
      <c r="L49" s="26"/>
      <c r="N49" s="351">
        <f>IF(U49&gt;0,IF(J48&lt;&gt;0,"Leiter-LV:  zusätzliche Einrechnung von "&amp;(U49*1.5)+U46&amp;" +1,5",IF(U47&gt;7,IF(U47&lt;12,"Leiter freigestellt,  SV = "&amp;U48,"Leiter-LV:   freigestellt"),"Leiter-LV =  "&amp;U48)),)</f>
        <v>0</v>
      </c>
      <c r="Q49" s="26"/>
      <c r="R49" s="26"/>
      <c r="S49" s="905">
        <f>IF(T49=0,,"Für Admin. Entlastu.:")</f>
        <v>0</v>
      </c>
      <c r="T49" s="782">
        <f>AB49</f>
        <v>0</v>
      </c>
      <c r="U49" s="509">
        <f>IF(A78&lt;U12,A78,U12)</f>
        <v>0</v>
      </c>
      <c r="V49" s="7"/>
      <c r="W49" s="7"/>
      <c r="X49" s="7"/>
      <c r="Y49" s="507">
        <f>IF(OR(ISNUMBER(SEARCH("Langenegg",A2)),ISNUMBER(SEARCH("Lauterach",A2)),ISNUMBER(SEARCH("Schwefel",A2)),ISNUMBER(SEARCH("Hohenems",A2)),ISNUMBER(SEARCH("Weidach",A2))),"X",)</f>
        <v>0</v>
      </c>
      <c r="Z49" s="511">
        <f>IF(OR(Y48="X",Y49="X"),,U49)</f>
        <v>0</v>
      </c>
      <c r="AA49" s="511">
        <f>LOOKUP(Z49,Z23:Z47,AA23:AA47)</f>
        <v>0</v>
      </c>
      <c r="AB49" s="511">
        <f>LOOKUP(Z49,Z23:Z47,AB23:AB47)</f>
        <v>0</v>
      </c>
      <c r="AC49" s="511">
        <f>IF(OR(ISNUMBER(SEARCH("koop",A1)),ISNUMBER(SEARCH("Jagdberg",A1)),ISNUMBER(SEARCH("Sozialpädagogische Schule",A1)),ISNUMBER(SEARCH("hör",A1))),"pri",)</f>
        <v>0</v>
      </c>
    </row>
    <row r="50" spans="1:20" s="2" customFormat="1" ht="27">
      <c r="A50" s="321" t="s">
        <v>149</v>
      </c>
      <c r="B50" s="512"/>
      <c r="C50" s="321"/>
      <c r="D50" s="321"/>
      <c r="E50" s="321"/>
      <c r="F50" s="321"/>
      <c r="G50" s="321"/>
      <c r="H50" s="15"/>
      <c r="I50" s="14" t="s">
        <v>148</v>
      </c>
      <c r="L50" s="14"/>
      <c r="M50" s="14"/>
      <c r="N50" s="14"/>
      <c r="O50" s="14"/>
      <c r="P50" s="14"/>
      <c r="Q50" s="14"/>
      <c r="T50" s="906">
        <f>IF(T49=0,," = "&amp;AA49&amp;" Verw.")</f>
        <v>0</v>
      </c>
    </row>
    <row r="51" spans="3:20" s="2" customFormat="1" ht="15">
      <c r="C51" s="825" t="s">
        <v>2</v>
      </c>
      <c r="D51" s="826"/>
      <c r="E51" s="826"/>
      <c r="F51" s="826"/>
      <c r="G51" s="827"/>
      <c r="I51" s="32"/>
      <c r="J51" s="831" t="s">
        <v>10</v>
      </c>
      <c r="K51" s="832"/>
      <c r="L51" s="831" t="s">
        <v>11</v>
      </c>
      <c r="M51" s="832"/>
      <c r="N51" s="817" t="s">
        <v>287</v>
      </c>
      <c r="O51" s="818"/>
      <c r="T51" s="408" t="s">
        <v>255</v>
      </c>
    </row>
    <row r="52" spans="3:26" s="11" customFormat="1" ht="15.75">
      <c r="C52" s="828"/>
      <c r="D52" s="829"/>
      <c r="E52" s="829"/>
      <c r="F52" s="829"/>
      <c r="G52" s="830"/>
      <c r="I52" s="33"/>
      <c r="J52" s="833"/>
      <c r="K52" s="823"/>
      <c r="L52" s="833"/>
      <c r="M52" s="823"/>
      <c r="N52" s="819"/>
      <c r="O52" s="820"/>
      <c r="P52" s="2"/>
      <c r="Q52" s="2"/>
      <c r="R52" s="2"/>
      <c r="S52" s="840"/>
      <c r="T52" s="840"/>
      <c r="U52"/>
      <c r="V52"/>
      <c r="W52" s="531" t="s">
        <v>51</v>
      </c>
      <c r="X52" s="531" t="s">
        <v>53</v>
      </c>
      <c r="Y52" s="531" t="s">
        <v>52</v>
      </c>
      <c r="Z52" s="2"/>
    </row>
    <row r="53" spans="1:29" s="24" customFormat="1" ht="71.25" customHeight="1">
      <c r="A53" s="29" t="s">
        <v>7</v>
      </c>
      <c r="B53" s="25"/>
      <c r="C53" s="27" t="s">
        <v>3</v>
      </c>
      <c r="D53" s="27" t="s">
        <v>4</v>
      </c>
      <c r="E53" s="29" t="s">
        <v>5</v>
      </c>
      <c r="F53" s="821" t="s">
        <v>254</v>
      </c>
      <c r="G53" s="822"/>
      <c r="H53" s="23" t="s">
        <v>9</v>
      </c>
      <c r="I53" s="35" t="s">
        <v>28</v>
      </c>
      <c r="J53" s="27" t="s">
        <v>12</v>
      </c>
      <c r="K53" s="34" t="s">
        <v>13</v>
      </c>
      <c r="L53" s="27" t="s">
        <v>12</v>
      </c>
      <c r="M53" s="34" t="s">
        <v>13</v>
      </c>
      <c r="N53" s="819"/>
      <c r="O53" s="820"/>
      <c r="P53" s="2"/>
      <c r="Q53" s="2"/>
      <c r="R53" s="2"/>
      <c r="S53" s="2"/>
      <c r="T53" s="2"/>
      <c r="Y53" s="352" t="s">
        <v>23</v>
      </c>
      <c r="Z53" s="323" t="s">
        <v>24</v>
      </c>
      <c r="AA53" s="323" t="s">
        <v>25</v>
      </c>
      <c r="AB53" s="323" t="s">
        <v>26</v>
      </c>
      <c r="AC53" s="323" t="s">
        <v>27</v>
      </c>
    </row>
    <row r="54" spans="1:29" s="10" customFormat="1" ht="5.25" customHeight="1">
      <c r="A54" s="30"/>
      <c r="B54" s="31"/>
      <c r="C54" s="28"/>
      <c r="D54" s="28"/>
      <c r="E54" s="30"/>
      <c r="F54" s="31"/>
      <c r="G54" s="31"/>
      <c r="I54" s="28"/>
      <c r="J54" s="28"/>
      <c r="K54" s="28"/>
      <c r="L54" s="28"/>
      <c r="M54" s="28"/>
      <c r="N54" s="30"/>
      <c r="P54" s="2"/>
      <c r="Q54" s="2"/>
      <c r="R54" s="2"/>
      <c r="S54" s="2"/>
      <c r="T54" s="2"/>
      <c r="Z54" s="353">
        <v>0</v>
      </c>
      <c r="AA54" s="354">
        <v>0</v>
      </c>
      <c r="AB54" s="354">
        <v>0</v>
      </c>
      <c r="AC54" s="354">
        <v>0</v>
      </c>
    </row>
    <row r="55" spans="1:29" s="10" customFormat="1" ht="5.25" customHeight="1">
      <c r="A55" s="513"/>
      <c r="B55" s="513"/>
      <c r="C55" s="513"/>
      <c r="D55" s="513"/>
      <c r="E55" s="513"/>
      <c r="F55" s="513"/>
      <c r="G55" s="513"/>
      <c r="I55" s="513"/>
      <c r="J55" s="513"/>
      <c r="K55" s="513"/>
      <c r="L55" s="513"/>
      <c r="M55" s="513"/>
      <c r="N55" s="513"/>
      <c r="P55" s="2"/>
      <c r="Q55" s="2"/>
      <c r="R55" s="2"/>
      <c r="S55" s="2"/>
      <c r="T55" s="2"/>
      <c r="Z55" s="353">
        <v>1</v>
      </c>
      <c r="AA55" s="354">
        <v>1</v>
      </c>
      <c r="AB55" s="354">
        <v>0</v>
      </c>
      <c r="AC55" s="354">
        <v>20</v>
      </c>
    </row>
    <row r="56" spans="1:29" s="2" customFormat="1" ht="18">
      <c r="A56" s="514">
        <f aca="true" t="shared" si="2" ref="A56:A67">B20</f>
      </c>
      <c r="B56" s="515"/>
      <c r="C56" s="516">
        <f>Klassen!A29</f>
        <v>0</v>
      </c>
      <c r="D56" s="356">
        <f>Klassen!B29</f>
        <v>0</v>
      </c>
      <c r="E56" s="823">
        <f aca="true" t="shared" si="3" ref="E56:E67">M20</f>
        <v>0</v>
      </c>
      <c r="F56" s="824"/>
      <c r="G56" s="481">
        <f>Klassen!AI29</f>
        <v>0</v>
      </c>
      <c r="H56" s="40">
        <f aca="true" t="shared" si="4" ref="H56:H67">U20</f>
        <v>0</v>
      </c>
      <c r="I56" s="358">
        <f aca="true" t="shared" si="5" ref="I56:I72">IF(E56&gt;0,2,)</f>
        <v>0</v>
      </c>
      <c r="J56" s="357">
        <f aca="true" t="shared" si="6" ref="J56:J76">V56</f>
        <v>0</v>
      </c>
      <c r="K56" s="44">
        <f aca="true" t="shared" si="7" ref="K56:K72">IF(AND(E56&gt;0,E56&lt;3,V56&gt;0),-V56,IF(AND(E56&gt;=10,V56&gt;0,RIGHT(H56,1)&lt;"6"),V56,))</f>
        <v>0</v>
      </c>
      <c r="L56" s="357">
        <f aca="true" t="shared" si="8" ref="L56:L77">W56</f>
        <v>0</v>
      </c>
      <c r="M56" s="44">
        <f aca="true" t="shared" si="9" ref="M56:M73">IF(AND(E56&gt;0,E56&lt;3,W56&gt;0),-W56,IF(AND(E56&gt;=10,W56&gt;0),W56,))</f>
        <v>0</v>
      </c>
      <c r="N56" s="529">
        <f aca="true" t="shared" si="10" ref="N56:N77">X56</f>
        <v>0</v>
      </c>
      <c r="U56" s="26"/>
      <c r="V56" s="16">
        <f aca="true" t="shared" si="11" ref="V56:V77">LOOKUP($H56,$Z$54:$Z$76,AA$54:AA$76)</f>
        <v>0</v>
      </c>
      <c r="W56" s="16">
        <f aca="true" t="shared" si="12" ref="W56:W77">LOOKUP($H56,$Z$54:$Z$76,AB$54:AB$76)</f>
        <v>0</v>
      </c>
      <c r="X56" s="16">
        <f aca="true" t="shared" si="13" ref="X56:X77">LOOKUP($H56,$Z$54:$Z$76,AC$54:AC$76)</f>
        <v>0</v>
      </c>
      <c r="Z56" s="353">
        <v>2</v>
      </c>
      <c r="AA56" s="354">
        <v>1</v>
      </c>
      <c r="AB56" s="354">
        <v>0</v>
      </c>
      <c r="AC56" s="354">
        <v>20</v>
      </c>
    </row>
    <row r="57" spans="1:29" s="2" customFormat="1" ht="18">
      <c r="A57" s="514">
        <f t="shared" si="2"/>
      </c>
      <c r="B57" s="515"/>
      <c r="C57" s="516">
        <f>Klassen!A30</f>
        <v>0</v>
      </c>
      <c r="D57" s="356">
        <f>Klassen!B30</f>
        <v>0</v>
      </c>
      <c r="E57" s="823">
        <f t="shared" si="3"/>
        <v>0</v>
      </c>
      <c r="F57" s="824"/>
      <c r="G57" s="481">
        <f>Klassen!AI30</f>
        <v>0</v>
      </c>
      <c r="H57" s="40">
        <f t="shared" si="4"/>
        <v>0</v>
      </c>
      <c r="I57" s="358">
        <f t="shared" si="5"/>
        <v>0</v>
      </c>
      <c r="J57" s="357">
        <f t="shared" si="6"/>
        <v>0</v>
      </c>
      <c r="K57" s="44">
        <f t="shared" si="7"/>
        <v>0</v>
      </c>
      <c r="L57" s="357">
        <f t="shared" si="8"/>
        <v>0</v>
      </c>
      <c r="M57" s="44">
        <f t="shared" si="9"/>
        <v>0</v>
      </c>
      <c r="N57" s="527">
        <f t="shared" si="10"/>
        <v>0</v>
      </c>
      <c r="U57" s="26"/>
      <c r="V57" s="16">
        <f t="shared" si="11"/>
        <v>0</v>
      </c>
      <c r="W57" s="16">
        <f t="shared" si="12"/>
        <v>0</v>
      </c>
      <c r="X57" s="16">
        <f t="shared" si="13"/>
        <v>0</v>
      </c>
      <c r="Z57" s="353">
        <v>3</v>
      </c>
      <c r="AA57" s="354">
        <v>1</v>
      </c>
      <c r="AB57" s="354">
        <v>0</v>
      </c>
      <c r="AC57" s="354">
        <v>21</v>
      </c>
    </row>
    <row r="58" spans="1:29" ht="18">
      <c r="A58" s="514">
        <f t="shared" si="2"/>
      </c>
      <c r="B58" s="515"/>
      <c r="C58" s="516">
        <f>Klassen!A31</f>
        <v>0</v>
      </c>
      <c r="D58" s="356">
        <f>Klassen!B31</f>
        <v>0</v>
      </c>
      <c r="E58" s="823">
        <f t="shared" si="3"/>
        <v>0</v>
      </c>
      <c r="F58" s="824"/>
      <c r="G58" s="481">
        <f>Klassen!AI31</f>
        <v>0</v>
      </c>
      <c r="H58" s="40">
        <f t="shared" si="4"/>
        <v>0</v>
      </c>
      <c r="I58" s="358">
        <f t="shared" si="5"/>
        <v>0</v>
      </c>
      <c r="J58" s="357">
        <f t="shared" si="6"/>
        <v>0</v>
      </c>
      <c r="K58" s="44">
        <f t="shared" si="7"/>
        <v>0</v>
      </c>
      <c r="L58" s="357">
        <f t="shared" si="8"/>
        <v>0</v>
      </c>
      <c r="M58" s="44">
        <f t="shared" si="9"/>
        <v>0</v>
      </c>
      <c r="N58" s="527">
        <f t="shared" si="10"/>
        <v>0</v>
      </c>
      <c r="O58" s="2"/>
      <c r="P58" s="2"/>
      <c r="Q58" s="2"/>
      <c r="R58" s="2"/>
      <c r="S58" s="2"/>
      <c r="T58" s="2"/>
      <c r="U58" s="26"/>
      <c r="V58" s="16">
        <f t="shared" si="11"/>
        <v>0</v>
      </c>
      <c r="W58" s="16">
        <f t="shared" si="12"/>
        <v>0</v>
      </c>
      <c r="X58" s="16">
        <f t="shared" si="13"/>
        <v>0</v>
      </c>
      <c r="Z58" s="353">
        <v>4</v>
      </c>
      <c r="AA58" s="354">
        <v>1</v>
      </c>
      <c r="AB58" s="354">
        <v>0</v>
      </c>
      <c r="AC58" s="354">
        <v>21</v>
      </c>
    </row>
    <row r="59" spans="1:29" ht="18">
      <c r="A59" s="514">
        <f t="shared" si="2"/>
      </c>
      <c r="B59" s="515"/>
      <c r="C59" s="516">
        <f>Klassen!A32</f>
        <v>0</v>
      </c>
      <c r="D59" s="356">
        <f>Klassen!B32</f>
        <v>0</v>
      </c>
      <c r="E59" s="823">
        <f t="shared" si="3"/>
        <v>0</v>
      </c>
      <c r="F59" s="824"/>
      <c r="G59" s="481">
        <f>Klassen!AI32</f>
        <v>0</v>
      </c>
      <c r="H59" s="40">
        <f t="shared" si="4"/>
        <v>0</v>
      </c>
      <c r="I59" s="358">
        <f t="shared" si="5"/>
        <v>0</v>
      </c>
      <c r="J59" s="357">
        <f t="shared" si="6"/>
        <v>0</v>
      </c>
      <c r="K59" s="44">
        <f t="shared" si="7"/>
        <v>0</v>
      </c>
      <c r="L59" s="357">
        <f t="shared" si="8"/>
        <v>0</v>
      </c>
      <c r="M59" s="44">
        <f t="shared" si="9"/>
        <v>0</v>
      </c>
      <c r="N59" s="527">
        <f t="shared" si="10"/>
        <v>0</v>
      </c>
      <c r="O59" s="2"/>
      <c r="P59" s="2"/>
      <c r="Q59" s="2"/>
      <c r="R59" s="2"/>
      <c r="S59" s="2"/>
      <c r="T59" s="2"/>
      <c r="U59" s="26"/>
      <c r="V59" s="16">
        <f t="shared" si="11"/>
        <v>0</v>
      </c>
      <c r="W59" s="16">
        <f t="shared" si="12"/>
        <v>0</v>
      </c>
      <c r="X59" s="16">
        <f t="shared" si="13"/>
        <v>0</v>
      </c>
      <c r="Z59" s="353">
        <v>5</v>
      </c>
      <c r="AA59" s="354">
        <v>3</v>
      </c>
      <c r="AB59" s="354">
        <v>1.5</v>
      </c>
      <c r="AC59" s="354">
        <v>22</v>
      </c>
    </row>
    <row r="60" spans="1:29" ht="18">
      <c r="A60" s="514">
        <f t="shared" si="2"/>
      </c>
      <c r="B60" s="515"/>
      <c r="C60" s="516">
        <f>Klassen!A33</f>
        <v>0</v>
      </c>
      <c r="D60" s="356">
        <f>Klassen!B33</f>
        <v>0</v>
      </c>
      <c r="E60" s="823">
        <f t="shared" si="3"/>
        <v>0</v>
      </c>
      <c r="F60" s="824"/>
      <c r="G60" s="481">
        <f>Klassen!AI33</f>
        <v>0</v>
      </c>
      <c r="H60" s="40">
        <f t="shared" si="4"/>
        <v>0</v>
      </c>
      <c r="I60" s="358">
        <f t="shared" si="5"/>
        <v>0</v>
      </c>
      <c r="J60" s="357">
        <f t="shared" si="6"/>
        <v>0</v>
      </c>
      <c r="K60" s="44">
        <f t="shared" si="7"/>
        <v>0</v>
      </c>
      <c r="L60" s="357">
        <f t="shared" si="8"/>
        <v>0</v>
      </c>
      <c r="M60" s="44">
        <f t="shared" si="9"/>
        <v>0</v>
      </c>
      <c r="N60" s="527">
        <f t="shared" si="10"/>
        <v>0</v>
      </c>
      <c r="O60" s="2"/>
      <c r="P60" s="2"/>
      <c r="Q60" s="2"/>
      <c r="R60" s="2"/>
      <c r="S60" s="2"/>
      <c r="T60" s="2"/>
      <c r="U60" s="26"/>
      <c r="V60" s="16">
        <f t="shared" si="11"/>
        <v>0</v>
      </c>
      <c r="W60" s="16">
        <f t="shared" si="12"/>
        <v>0</v>
      </c>
      <c r="X60" s="16">
        <f t="shared" si="13"/>
        <v>0</v>
      </c>
      <c r="Z60" s="353">
        <v>6</v>
      </c>
      <c r="AA60" s="354">
        <v>3</v>
      </c>
      <c r="AB60" s="354">
        <v>1.5</v>
      </c>
      <c r="AC60" s="354">
        <v>26</v>
      </c>
    </row>
    <row r="61" spans="1:29" ht="18">
      <c r="A61" s="514">
        <f t="shared" si="2"/>
      </c>
      <c r="B61" s="515"/>
      <c r="C61" s="516">
        <f>Klassen!A34</f>
        <v>0</v>
      </c>
      <c r="D61" s="356">
        <f>Klassen!B34</f>
        <v>0</v>
      </c>
      <c r="E61" s="823">
        <f t="shared" si="3"/>
        <v>0</v>
      </c>
      <c r="F61" s="824"/>
      <c r="G61" s="481">
        <f>Klassen!AI34</f>
        <v>0</v>
      </c>
      <c r="H61" s="40">
        <f t="shared" si="4"/>
        <v>0</v>
      </c>
      <c r="I61" s="358">
        <f t="shared" si="5"/>
        <v>0</v>
      </c>
      <c r="J61" s="357">
        <f t="shared" si="6"/>
        <v>0</v>
      </c>
      <c r="K61" s="44">
        <f t="shared" si="7"/>
        <v>0</v>
      </c>
      <c r="L61" s="357">
        <f t="shared" si="8"/>
        <v>0</v>
      </c>
      <c r="M61" s="44">
        <f t="shared" si="9"/>
        <v>0</v>
      </c>
      <c r="N61" s="527">
        <f t="shared" si="10"/>
        <v>0</v>
      </c>
      <c r="O61" s="2"/>
      <c r="P61" s="2"/>
      <c r="Q61" s="2"/>
      <c r="R61" s="2"/>
      <c r="S61" s="2"/>
      <c r="T61" s="2"/>
      <c r="U61" s="26"/>
      <c r="V61" s="16">
        <f t="shared" si="11"/>
        <v>0</v>
      </c>
      <c r="W61" s="16">
        <f t="shared" si="12"/>
        <v>0</v>
      </c>
      <c r="X61" s="16">
        <f t="shared" si="13"/>
        <v>0</v>
      </c>
      <c r="Z61" s="353">
        <v>7</v>
      </c>
      <c r="AA61" s="354">
        <v>3</v>
      </c>
      <c r="AB61" s="354">
        <v>1.5</v>
      </c>
      <c r="AC61" s="354">
        <v>26</v>
      </c>
    </row>
    <row r="62" spans="1:29" ht="18">
      <c r="A62" s="514">
        <f t="shared" si="2"/>
      </c>
      <c r="B62" s="515"/>
      <c r="C62" s="516">
        <f>Klassen!A35</f>
        <v>0</v>
      </c>
      <c r="D62" s="356">
        <f>Klassen!B35</f>
        <v>0</v>
      </c>
      <c r="E62" s="823">
        <f t="shared" si="3"/>
        <v>0</v>
      </c>
      <c r="F62" s="824"/>
      <c r="G62" s="481">
        <f>Klassen!AI35</f>
        <v>0</v>
      </c>
      <c r="H62" s="40">
        <f t="shared" si="4"/>
        <v>0</v>
      </c>
      <c r="I62" s="358">
        <f t="shared" si="5"/>
        <v>0</v>
      </c>
      <c r="J62" s="357">
        <f t="shared" si="6"/>
        <v>0</v>
      </c>
      <c r="K62" s="44">
        <f t="shared" si="7"/>
        <v>0</v>
      </c>
      <c r="L62" s="357">
        <f t="shared" si="8"/>
        <v>0</v>
      </c>
      <c r="M62" s="44">
        <f t="shared" si="9"/>
        <v>0</v>
      </c>
      <c r="N62" s="527">
        <f t="shared" si="10"/>
        <v>0</v>
      </c>
      <c r="O62" s="2"/>
      <c r="P62" s="2"/>
      <c r="Q62" s="2"/>
      <c r="R62" s="2"/>
      <c r="S62" s="2"/>
      <c r="T62" s="2"/>
      <c r="U62" s="26"/>
      <c r="V62" s="16">
        <f t="shared" si="11"/>
        <v>0</v>
      </c>
      <c r="W62" s="16">
        <f t="shared" si="12"/>
        <v>0</v>
      </c>
      <c r="X62" s="16">
        <f t="shared" si="13"/>
        <v>0</v>
      </c>
      <c r="Z62" s="353">
        <v>8</v>
      </c>
      <c r="AA62" s="354">
        <v>3</v>
      </c>
      <c r="AB62" s="354">
        <v>1.5</v>
      </c>
      <c r="AC62" s="354">
        <v>27</v>
      </c>
    </row>
    <row r="63" spans="1:29" ht="18">
      <c r="A63" s="514">
        <f t="shared" si="2"/>
      </c>
      <c r="B63" s="515"/>
      <c r="C63" s="516">
        <f>Klassen!A36</f>
        <v>0</v>
      </c>
      <c r="D63" s="356">
        <f>Klassen!B36</f>
        <v>0</v>
      </c>
      <c r="E63" s="823">
        <f t="shared" si="3"/>
        <v>0</v>
      </c>
      <c r="F63" s="824"/>
      <c r="G63" s="481">
        <f>Klassen!AI36</f>
        <v>0</v>
      </c>
      <c r="H63" s="40">
        <f t="shared" si="4"/>
        <v>0</v>
      </c>
      <c r="I63" s="358">
        <f t="shared" si="5"/>
        <v>0</v>
      </c>
      <c r="J63" s="357">
        <f t="shared" si="6"/>
        <v>0</v>
      </c>
      <c r="K63" s="44">
        <f t="shared" si="7"/>
        <v>0</v>
      </c>
      <c r="L63" s="357">
        <f t="shared" si="8"/>
        <v>0</v>
      </c>
      <c r="M63" s="44">
        <f t="shared" si="9"/>
        <v>0</v>
      </c>
      <c r="N63" s="527">
        <f t="shared" si="10"/>
        <v>0</v>
      </c>
      <c r="O63" s="2"/>
      <c r="P63" s="2"/>
      <c r="Q63" s="2"/>
      <c r="R63" s="2"/>
      <c r="S63" s="2"/>
      <c r="T63" s="2"/>
      <c r="U63" s="26"/>
      <c r="V63" s="16">
        <f t="shared" si="11"/>
        <v>0</v>
      </c>
      <c r="W63" s="16">
        <f t="shared" si="12"/>
        <v>0</v>
      </c>
      <c r="X63" s="16">
        <f t="shared" si="13"/>
        <v>0</v>
      </c>
      <c r="Z63" s="353">
        <v>9</v>
      </c>
      <c r="AA63" s="354">
        <v>3</v>
      </c>
      <c r="AB63" s="354">
        <v>1.5</v>
      </c>
      <c r="AC63" s="354">
        <v>27</v>
      </c>
    </row>
    <row r="64" spans="1:29" ht="18">
      <c r="A64" s="514">
        <f t="shared" si="2"/>
      </c>
      <c r="B64" s="515"/>
      <c r="C64" s="516">
        <f>Klassen!A37</f>
        <v>0</v>
      </c>
      <c r="D64" s="356">
        <f>Klassen!B37</f>
        <v>0</v>
      </c>
      <c r="E64" s="823">
        <f t="shared" si="3"/>
        <v>0</v>
      </c>
      <c r="F64" s="824"/>
      <c r="G64" s="481">
        <f>Klassen!AI37</f>
        <v>0</v>
      </c>
      <c r="H64" s="40">
        <f t="shared" si="4"/>
        <v>0</v>
      </c>
      <c r="I64" s="358">
        <f t="shared" si="5"/>
        <v>0</v>
      </c>
      <c r="J64" s="357">
        <f t="shared" si="6"/>
        <v>0</v>
      </c>
      <c r="K64" s="44">
        <f t="shared" si="7"/>
        <v>0</v>
      </c>
      <c r="L64" s="357">
        <f t="shared" si="8"/>
        <v>0</v>
      </c>
      <c r="M64" s="44">
        <f t="shared" si="9"/>
        <v>0</v>
      </c>
      <c r="N64" s="527">
        <f t="shared" si="10"/>
        <v>0</v>
      </c>
      <c r="O64" s="2"/>
      <c r="P64" s="2"/>
      <c r="Q64" s="2"/>
      <c r="R64" s="2"/>
      <c r="S64" s="2"/>
      <c r="T64" s="2"/>
      <c r="U64" s="26"/>
      <c r="V64" s="16">
        <f t="shared" si="11"/>
        <v>0</v>
      </c>
      <c r="W64" s="16">
        <f t="shared" si="12"/>
        <v>0</v>
      </c>
      <c r="X64" s="16">
        <f t="shared" si="13"/>
        <v>0</v>
      </c>
      <c r="Z64" s="353" t="s">
        <v>84</v>
      </c>
      <c r="AA64" s="354" t="s">
        <v>85</v>
      </c>
      <c r="AB64" s="354">
        <v>2</v>
      </c>
      <c r="AC64" s="354">
        <v>25</v>
      </c>
    </row>
    <row r="65" spans="1:29" ht="18">
      <c r="A65" s="514">
        <f t="shared" si="2"/>
      </c>
      <c r="B65" s="515"/>
      <c r="C65" s="516">
        <f>Klassen!A38</f>
        <v>0</v>
      </c>
      <c r="D65" s="356">
        <f>Klassen!B38</f>
        <v>0</v>
      </c>
      <c r="E65" s="823">
        <f t="shared" si="3"/>
        <v>0</v>
      </c>
      <c r="F65" s="824"/>
      <c r="G65" s="481">
        <f>Klassen!AI38</f>
        <v>0</v>
      </c>
      <c r="H65" s="40">
        <f t="shared" si="4"/>
        <v>0</v>
      </c>
      <c r="I65" s="358">
        <f t="shared" si="5"/>
        <v>0</v>
      </c>
      <c r="J65" s="357">
        <f t="shared" si="6"/>
        <v>0</v>
      </c>
      <c r="K65" s="44">
        <f t="shared" si="7"/>
        <v>0</v>
      </c>
      <c r="L65" s="357">
        <f t="shared" si="8"/>
        <v>0</v>
      </c>
      <c r="M65" s="44">
        <f t="shared" si="9"/>
        <v>0</v>
      </c>
      <c r="N65" s="527">
        <f t="shared" si="10"/>
        <v>0</v>
      </c>
      <c r="O65" s="2"/>
      <c r="P65" s="2"/>
      <c r="Q65" s="2"/>
      <c r="R65" s="2"/>
      <c r="S65" s="2"/>
      <c r="T65" s="2"/>
      <c r="U65" s="26"/>
      <c r="V65" s="16">
        <f t="shared" si="11"/>
        <v>0</v>
      </c>
      <c r="W65" s="16">
        <f t="shared" si="12"/>
        <v>0</v>
      </c>
      <c r="X65" s="16">
        <f t="shared" si="13"/>
        <v>0</v>
      </c>
      <c r="Z65" s="353" t="s">
        <v>116</v>
      </c>
      <c r="AA65" s="354">
        <v>0</v>
      </c>
      <c r="AB65" s="354" t="s">
        <v>131</v>
      </c>
      <c r="AC65" s="354" t="s">
        <v>132</v>
      </c>
    </row>
    <row r="66" spans="1:29" ht="18">
      <c r="A66" s="514">
        <f t="shared" si="2"/>
      </c>
      <c r="B66" s="515"/>
      <c r="C66" s="516">
        <f>Klassen!A39</f>
        <v>0</v>
      </c>
      <c r="D66" s="356">
        <f>Klassen!B39</f>
        <v>0</v>
      </c>
      <c r="E66" s="823">
        <f t="shared" si="3"/>
        <v>0</v>
      </c>
      <c r="F66" s="824"/>
      <c r="G66" s="481">
        <f>Klassen!AI39</f>
        <v>0</v>
      </c>
      <c r="H66" s="40">
        <f t="shared" si="4"/>
        <v>0</v>
      </c>
      <c r="I66" s="358">
        <f t="shared" si="5"/>
        <v>0</v>
      </c>
      <c r="J66" s="357">
        <f t="shared" si="6"/>
        <v>0</v>
      </c>
      <c r="K66" s="44">
        <f t="shared" si="7"/>
        <v>0</v>
      </c>
      <c r="L66" s="357">
        <f t="shared" si="8"/>
        <v>0</v>
      </c>
      <c r="M66" s="44">
        <f t="shared" si="9"/>
        <v>0</v>
      </c>
      <c r="N66" s="527">
        <f t="shared" si="10"/>
        <v>0</v>
      </c>
      <c r="O66" s="2"/>
      <c r="P66" s="2"/>
      <c r="Q66" s="2"/>
      <c r="R66" s="2"/>
      <c r="S66" s="2"/>
      <c r="T66" s="2"/>
      <c r="U66" s="26"/>
      <c r="V66" s="16">
        <f t="shared" si="11"/>
        <v>0</v>
      </c>
      <c r="W66" s="16">
        <f t="shared" si="12"/>
        <v>0</v>
      </c>
      <c r="X66" s="16">
        <f t="shared" si="13"/>
        <v>0</v>
      </c>
      <c r="Z66" s="353" t="s">
        <v>14</v>
      </c>
      <c r="AA66" s="354">
        <v>0</v>
      </c>
      <c r="AB66" s="354">
        <v>0</v>
      </c>
      <c r="AC66" s="354">
        <v>20</v>
      </c>
    </row>
    <row r="67" spans="1:29" ht="18">
      <c r="A67" s="514">
        <f t="shared" si="2"/>
      </c>
      <c r="B67" s="515"/>
      <c r="C67" s="516">
        <f>Klassen!A40</f>
        <v>0</v>
      </c>
      <c r="D67" s="356">
        <f>Klassen!B40</f>
        <v>0</v>
      </c>
      <c r="E67" s="823">
        <f t="shared" si="3"/>
        <v>0</v>
      </c>
      <c r="F67" s="824"/>
      <c r="G67" s="481">
        <f>Klassen!AI40</f>
        <v>0</v>
      </c>
      <c r="H67" s="40">
        <f t="shared" si="4"/>
        <v>0</v>
      </c>
      <c r="I67" s="358">
        <f t="shared" si="5"/>
        <v>0</v>
      </c>
      <c r="J67" s="357">
        <f t="shared" si="6"/>
        <v>0</v>
      </c>
      <c r="K67" s="44">
        <f t="shared" si="7"/>
        <v>0</v>
      </c>
      <c r="L67" s="357">
        <f t="shared" si="8"/>
        <v>0</v>
      </c>
      <c r="M67" s="44">
        <f t="shared" si="9"/>
        <v>0</v>
      </c>
      <c r="N67" s="527">
        <f t="shared" si="10"/>
        <v>0</v>
      </c>
      <c r="O67" s="2"/>
      <c r="P67" s="2"/>
      <c r="Q67" s="2"/>
      <c r="R67" s="2"/>
      <c r="S67" s="2"/>
      <c r="T67" s="2"/>
      <c r="U67" s="26"/>
      <c r="V67" s="16">
        <f t="shared" si="11"/>
        <v>0</v>
      </c>
      <c r="W67" s="16">
        <f t="shared" si="12"/>
        <v>0</v>
      </c>
      <c r="X67" s="16">
        <f t="shared" si="13"/>
        <v>0</v>
      </c>
      <c r="Z67" s="353" t="s">
        <v>15</v>
      </c>
      <c r="AA67" s="354">
        <v>0</v>
      </c>
      <c r="AB67" s="354">
        <v>0</v>
      </c>
      <c r="AC67" s="354">
        <v>20</v>
      </c>
    </row>
    <row r="68" spans="1:29" ht="18">
      <c r="A68" s="514">
        <f>B41</f>
      </c>
      <c r="B68" s="515"/>
      <c r="C68" s="516">
        <f>Klassen!A43</f>
        <v>0</v>
      </c>
      <c r="D68" s="356">
        <f>Klassen!B43</f>
        <v>0</v>
      </c>
      <c r="E68" s="823">
        <f>M41</f>
        <v>0</v>
      </c>
      <c r="F68" s="824"/>
      <c r="G68" s="481">
        <f>Klassen!AI43</f>
        <v>0</v>
      </c>
      <c r="H68" s="40">
        <f>U41</f>
        <v>0</v>
      </c>
      <c r="I68" s="358">
        <f t="shared" si="5"/>
        <v>0</v>
      </c>
      <c r="J68" s="357">
        <f t="shared" si="6"/>
        <v>0</v>
      </c>
      <c r="K68" s="44">
        <f t="shared" si="7"/>
        <v>0</v>
      </c>
      <c r="L68" s="357">
        <f t="shared" si="8"/>
        <v>0</v>
      </c>
      <c r="M68" s="44">
        <f t="shared" si="9"/>
        <v>0</v>
      </c>
      <c r="N68" s="527">
        <f t="shared" si="10"/>
        <v>0</v>
      </c>
      <c r="O68" s="2"/>
      <c r="P68" s="2"/>
      <c r="Q68" s="2"/>
      <c r="R68" s="2"/>
      <c r="S68" s="2"/>
      <c r="T68" s="2"/>
      <c r="U68" s="26"/>
      <c r="V68" s="16">
        <f t="shared" si="11"/>
        <v>0</v>
      </c>
      <c r="W68" s="16">
        <f t="shared" si="12"/>
        <v>0</v>
      </c>
      <c r="X68" s="16">
        <f t="shared" si="13"/>
        <v>0</v>
      </c>
      <c r="Z68" s="353" t="s">
        <v>16</v>
      </c>
      <c r="AA68" s="354">
        <v>2</v>
      </c>
      <c r="AB68" s="354">
        <v>0</v>
      </c>
      <c r="AC68" s="354">
        <v>21</v>
      </c>
    </row>
    <row r="69" spans="1:29" ht="18">
      <c r="A69" s="514">
        <f>B42</f>
      </c>
      <c r="B69" s="515"/>
      <c r="C69" s="516">
        <f>Klassen!A44</f>
        <v>0</v>
      </c>
      <c r="D69" s="356">
        <f>Klassen!B44</f>
        <v>0</v>
      </c>
      <c r="E69" s="823">
        <f>M42</f>
        <v>0</v>
      </c>
      <c r="F69" s="824"/>
      <c r="G69" s="481">
        <f>Klassen!AI44</f>
        <v>0</v>
      </c>
      <c r="H69" s="40">
        <f>U42</f>
        <v>0</v>
      </c>
      <c r="I69" s="358">
        <f t="shared" si="5"/>
        <v>0</v>
      </c>
      <c r="J69" s="357">
        <f t="shared" si="6"/>
        <v>0</v>
      </c>
      <c r="K69" s="44">
        <f t="shared" si="7"/>
        <v>0</v>
      </c>
      <c r="L69" s="357">
        <f t="shared" si="8"/>
        <v>0</v>
      </c>
      <c r="M69" s="44">
        <f t="shared" si="9"/>
        <v>0</v>
      </c>
      <c r="N69" s="527">
        <f t="shared" si="10"/>
        <v>0</v>
      </c>
      <c r="O69" s="2"/>
      <c r="P69" s="2"/>
      <c r="Q69" s="2"/>
      <c r="R69" s="2"/>
      <c r="S69" s="2"/>
      <c r="T69" s="2"/>
      <c r="U69" s="26"/>
      <c r="V69" s="16">
        <f t="shared" si="11"/>
        <v>0</v>
      </c>
      <c r="W69" s="16">
        <f t="shared" si="12"/>
        <v>0</v>
      </c>
      <c r="X69" s="16">
        <f t="shared" si="13"/>
        <v>0</v>
      </c>
      <c r="Z69" s="353" t="s">
        <v>17</v>
      </c>
      <c r="AA69" s="354">
        <v>2</v>
      </c>
      <c r="AB69" s="354">
        <v>0</v>
      </c>
      <c r="AC69" s="354">
        <v>21</v>
      </c>
    </row>
    <row r="70" spans="1:29" ht="18">
      <c r="A70" s="514">
        <f>B43</f>
      </c>
      <c r="B70" s="515"/>
      <c r="C70" s="516">
        <f>Klassen!A45</f>
        <v>0</v>
      </c>
      <c r="D70" s="356">
        <f>Klassen!B45</f>
        <v>0</v>
      </c>
      <c r="E70" s="823">
        <f>M43</f>
        <v>0</v>
      </c>
      <c r="F70" s="824"/>
      <c r="G70" s="481">
        <f>Klassen!AI45</f>
        <v>0</v>
      </c>
      <c r="H70" s="40">
        <f>U43</f>
        <v>0</v>
      </c>
      <c r="I70" s="358">
        <f t="shared" si="5"/>
        <v>0</v>
      </c>
      <c r="J70" s="357">
        <f t="shared" si="6"/>
        <v>0</v>
      </c>
      <c r="K70" s="44">
        <f t="shared" si="7"/>
        <v>0</v>
      </c>
      <c r="L70" s="357">
        <f t="shared" si="8"/>
        <v>0</v>
      </c>
      <c r="M70" s="44">
        <f t="shared" si="9"/>
        <v>0</v>
      </c>
      <c r="N70" s="527">
        <f t="shared" si="10"/>
        <v>0</v>
      </c>
      <c r="O70" s="2"/>
      <c r="P70" s="2"/>
      <c r="Q70" s="2"/>
      <c r="R70" s="2"/>
      <c r="S70" s="2"/>
      <c r="T70" s="2"/>
      <c r="U70" s="26"/>
      <c r="V70" s="16">
        <f t="shared" si="11"/>
        <v>0</v>
      </c>
      <c r="W70" s="16">
        <f t="shared" si="12"/>
        <v>0</v>
      </c>
      <c r="X70" s="16">
        <f t="shared" si="13"/>
        <v>0</v>
      </c>
      <c r="Z70" s="353" t="s">
        <v>18</v>
      </c>
      <c r="AA70" s="354">
        <v>4</v>
      </c>
      <c r="AB70" s="354">
        <v>2</v>
      </c>
      <c r="AC70" s="354">
        <v>18</v>
      </c>
    </row>
    <row r="71" spans="1:29" ht="18">
      <c r="A71" s="514">
        <f>B44</f>
      </c>
      <c r="B71" s="515"/>
      <c r="C71" s="516">
        <f>Klassen!A46</f>
        <v>0</v>
      </c>
      <c r="D71" s="356">
        <f>Klassen!B46</f>
        <v>0</v>
      </c>
      <c r="E71" s="823">
        <f>M44</f>
        <v>0</v>
      </c>
      <c r="F71" s="824"/>
      <c r="G71" s="481">
        <f>Klassen!AI46</f>
        <v>0</v>
      </c>
      <c r="H71" s="40">
        <f>U44</f>
        <v>0</v>
      </c>
      <c r="I71" s="358">
        <f t="shared" si="5"/>
        <v>0</v>
      </c>
      <c r="J71" s="357">
        <f t="shared" si="6"/>
        <v>0</v>
      </c>
      <c r="K71" s="44">
        <f t="shared" si="7"/>
        <v>0</v>
      </c>
      <c r="L71" s="357">
        <f t="shared" si="8"/>
        <v>0</v>
      </c>
      <c r="M71" s="44">
        <f t="shared" si="9"/>
        <v>0</v>
      </c>
      <c r="N71" s="527">
        <f t="shared" si="10"/>
        <v>0</v>
      </c>
      <c r="O71" s="2"/>
      <c r="P71" s="2"/>
      <c r="Q71" s="2"/>
      <c r="R71" s="2"/>
      <c r="S71" s="2"/>
      <c r="T71" s="2"/>
      <c r="U71" s="26"/>
      <c r="V71" s="16">
        <f t="shared" si="11"/>
        <v>0</v>
      </c>
      <c r="W71" s="16">
        <f t="shared" si="12"/>
        <v>0</v>
      </c>
      <c r="X71" s="16">
        <f t="shared" si="13"/>
        <v>0</v>
      </c>
      <c r="Z71" s="353" t="s">
        <v>19</v>
      </c>
      <c r="AA71" s="354">
        <v>4</v>
      </c>
      <c r="AB71" s="354">
        <v>2</v>
      </c>
      <c r="AC71" s="354">
        <v>18</v>
      </c>
    </row>
    <row r="72" spans="1:29" ht="18">
      <c r="A72" s="514">
        <f>B45</f>
      </c>
      <c r="B72" s="515"/>
      <c r="C72" s="516">
        <f>Klassen!A47</f>
        <v>0</v>
      </c>
      <c r="D72" s="356">
        <f>Klassen!B47</f>
        <v>0</v>
      </c>
      <c r="E72" s="823">
        <f>M45</f>
        <v>0</v>
      </c>
      <c r="F72" s="824"/>
      <c r="G72" s="481">
        <f>Klassen!AI47</f>
        <v>0</v>
      </c>
      <c r="H72" s="40">
        <f>U45</f>
        <v>0</v>
      </c>
      <c r="I72" s="517">
        <f t="shared" si="5"/>
        <v>0</v>
      </c>
      <c r="J72" s="357">
        <f t="shared" si="6"/>
        <v>0</v>
      </c>
      <c r="K72" s="44">
        <f t="shared" si="7"/>
        <v>0</v>
      </c>
      <c r="L72" s="357">
        <f t="shared" si="8"/>
        <v>0</v>
      </c>
      <c r="M72" s="44">
        <f t="shared" si="9"/>
        <v>0</v>
      </c>
      <c r="N72" s="527">
        <f t="shared" si="10"/>
        <v>0</v>
      </c>
      <c r="O72" s="2"/>
      <c r="P72" s="2"/>
      <c r="Q72" s="2"/>
      <c r="R72" s="2"/>
      <c r="S72" s="2"/>
      <c r="T72" s="2"/>
      <c r="U72" s="26"/>
      <c r="V72" s="16">
        <f t="shared" si="11"/>
        <v>0</v>
      </c>
      <c r="W72" s="16">
        <f t="shared" si="12"/>
        <v>0</v>
      </c>
      <c r="X72" s="16">
        <f t="shared" si="13"/>
        <v>0</v>
      </c>
      <c r="Z72" s="353" t="s">
        <v>20</v>
      </c>
      <c r="AA72" s="354">
        <v>4</v>
      </c>
      <c r="AB72" s="354">
        <v>2</v>
      </c>
      <c r="AC72" s="354">
        <v>18</v>
      </c>
    </row>
    <row r="73" spans="1:29" ht="18">
      <c r="A73" s="514">
        <f>B6</f>
      </c>
      <c r="B73" s="518">
        <f>IF(E73&gt;0," [Spr]",)</f>
        <v>0</v>
      </c>
      <c r="C73" s="516">
        <f>Klassen!A22</f>
        <v>0</v>
      </c>
      <c r="D73" s="356">
        <f>Klassen!B22</f>
        <v>0</v>
      </c>
      <c r="E73" s="823">
        <f>Klassen!C22</f>
        <v>0</v>
      </c>
      <c r="F73" s="824"/>
      <c r="G73" s="481">
        <f>Klassen!AI22</f>
        <v>0</v>
      </c>
      <c r="H73" s="355">
        <f>IF(E73&gt;0,Z75,)</f>
        <v>0</v>
      </c>
      <c r="I73" s="41">
        <f>IF(E73&gt;0,1,)</f>
        <v>0</v>
      </c>
      <c r="J73" s="481">
        <f t="shared" si="6"/>
        <v>0</v>
      </c>
      <c r="K73" s="480">
        <f>U73</f>
        <v>0</v>
      </c>
      <c r="L73" s="481">
        <f t="shared" si="8"/>
        <v>0</v>
      </c>
      <c r="M73" s="356">
        <f t="shared" si="9"/>
        <v>0</v>
      </c>
      <c r="N73" s="527">
        <f t="shared" si="10"/>
        <v>0</v>
      </c>
      <c r="O73" s="2"/>
      <c r="P73" s="2"/>
      <c r="Q73" s="2"/>
      <c r="R73" s="2"/>
      <c r="S73" s="2"/>
      <c r="T73" s="2"/>
      <c r="U73" s="16">
        <f>IF(E73&gt;=16,V73,)</f>
        <v>0</v>
      </c>
      <c r="V73" s="16">
        <f t="shared" si="11"/>
        <v>0</v>
      </c>
      <c r="W73" s="16">
        <f t="shared" si="12"/>
        <v>0</v>
      </c>
      <c r="X73" s="16">
        <f t="shared" si="13"/>
        <v>0</v>
      </c>
      <c r="Y73" s="310"/>
      <c r="Z73" s="353" t="s">
        <v>21</v>
      </c>
      <c r="AA73" s="354">
        <v>7</v>
      </c>
      <c r="AB73" s="354">
        <v>4</v>
      </c>
      <c r="AC73" s="354">
        <v>14</v>
      </c>
    </row>
    <row r="74" spans="1:29" ht="18">
      <c r="A74" s="514">
        <f>IF(H8&gt;0,G6,Klassen!F27&amp;Klassen!G27)</f>
      </c>
      <c r="B74" s="518">
        <f>IF(E74&gt;0,IF(H8&gt;0," [Üg]"," [KH]"),)</f>
        <v>0</v>
      </c>
      <c r="C74" s="516">
        <f>IF(H8&gt;0,Klassen!A23,Klassen!A27)</f>
        <v>0</v>
      </c>
      <c r="D74" s="356">
        <f>IF(H8&gt;0,Klassen!B23,Klassen!B27)</f>
        <v>0</v>
      </c>
      <c r="E74" s="823">
        <f>IF(H8&gt;0,Klassen!C23,Klassen!C27)</f>
        <v>0</v>
      </c>
      <c r="F74" s="824"/>
      <c r="G74" s="481">
        <f>IF(H8&gt;0,Klassen!AI23,Klassen!AI27)</f>
        <v>0</v>
      </c>
      <c r="H74" s="355">
        <f>IF(E74&gt;0,IF(H8&gt;0,Z76,Z65),)</f>
        <v>0</v>
      </c>
      <c r="I74" s="41">
        <f>IF(AND(E74&gt;0,H8&gt;0),1,)</f>
        <v>0</v>
      </c>
      <c r="J74" s="519">
        <f>V74</f>
        <v>0</v>
      </c>
      <c r="K74" s="480">
        <f>U74</f>
        <v>0</v>
      </c>
      <c r="L74" s="563"/>
      <c r="M74" s="520"/>
      <c r="N74" s="527">
        <f t="shared" si="10"/>
        <v>0</v>
      </c>
      <c r="O74" s="2"/>
      <c r="P74" s="2"/>
      <c r="Q74" s="2"/>
      <c r="R74" s="2"/>
      <c r="S74" s="2"/>
      <c r="T74" s="2"/>
      <c r="U74" s="16">
        <f>IF(OR(E74&gt;=16,AND(E74&gt;=10,H74="Üg")),V74,)</f>
        <v>0</v>
      </c>
      <c r="V74" s="16">
        <f t="shared" si="11"/>
        <v>0</v>
      </c>
      <c r="W74" s="16">
        <f t="shared" si="12"/>
        <v>0</v>
      </c>
      <c r="X74" s="16">
        <f t="shared" si="13"/>
        <v>0</v>
      </c>
      <c r="Y74" s="310"/>
      <c r="Z74" s="353" t="s">
        <v>22</v>
      </c>
      <c r="AA74" s="354">
        <v>7</v>
      </c>
      <c r="AB74" s="354">
        <v>4</v>
      </c>
      <c r="AC74" s="354">
        <v>14</v>
      </c>
    </row>
    <row r="75" spans="1:29" ht="18">
      <c r="A75" s="514">
        <f>Klassen!F24&amp;Klassen!G24</f>
      </c>
      <c r="B75" s="518">
        <f>IF(E75&gt;0," [BV]",)</f>
        <v>0</v>
      </c>
      <c r="C75" s="516">
        <f>Klassen!A24</f>
        <v>0</v>
      </c>
      <c r="D75" s="356">
        <f>Klassen!B24</f>
        <v>0</v>
      </c>
      <c r="E75" s="823">
        <f>Klassen!C24</f>
        <v>0</v>
      </c>
      <c r="F75" s="824"/>
      <c r="G75" s="481">
        <f>Klassen!AI24</f>
        <v>0</v>
      </c>
      <c r="H75" s="355">
        <f>IF(E75&gt;0,Z$64,)</f>
        <v>0</v>
      </c>
      <c r="I75" s="41">
        <f>IF(E75&gt;0,2,)</f>
        <v>0</v>
      </c>
      <c r="J75" s="357">
        <f t="shared" si="6"/>
        <v>0</v>
      </c>
      <c r="K75" s="44"/>
      <c r="L75" s="481">
        <f t="shared" si="8"/>
        <v>0</v>
      </c>
      <c r="M75" s="44">
        <f>IF(AND(E75&gt;0,E75&lt;3,W75&gt;0),-W75,IF(AND(E75&gt;=10,W75&gt;0),W75,))</f>
        <v>0</v>
      </c>
      <c r="N75" s="527">
        <f>U75</f>
        <v>0</v>
      </c>
      <c r="P75" s="2"/>
      <c r="Q75" s="2"/>
      <c r="S75" s="385" t="s">
        <v>374</v>
      </c>
      <c r="T75" s="388">
        <f>GTS!D39</f>
        <v>0</v>
      </c>
      <c r="U75" s="16">
        <f>X75-IF(J75&lt;99,J75,)+IF(X75&gt;0,2-I75,)</f>
        <v>0</v>
      </c>
      <c r="V75" s="16">
        <f t="shared" si="11"/>
        <v>0</v>
      </c>
      <c r="W75" s="16">
        <f t="shared" si="12"/>
        <v>0</v>
      </c>
      <c r="X75" s="16">
        <f t="shared" si="13"/>
        <v>0</v>
      </c>
      <c r="Y75" s="310"/>
      <c r="Z75" s="353" t="s">
        <v>107</v>
      </c>
      <c r="AA75" s="354">
        <v>1</v>
      </c>
      <c r="AB75" s="354">
        <v>0</v>
      </c>
      <c r="AC75" s="354">
        <v>19</v>
      </c>
    </row>
    <row r="76" spans="1:29" ht="18">
      <c r="A76" s="514">
        <f>Klassen!F25&amp;Klassen!G25</f>
      </c>
      <c r="B76" s="518">
        <f>IF(E76&gt;0," [BV]",)</f>
        <v>0</v>
      </c>
      <c r="C76" s="516">
        <f>Klassen!A25</f>
        <v>0</v>
      </c>
      <c r="D76" s="356">
        <f>Klassen!B25</f>
        <v>0</v>
      </c>
      <c r="E76" s="823">
        <f>Klassen!C25</f>
        <v>0</v>
      </c>
      <c r="F76" s="824"/>
      <c r="G76" s="481">
        <f>Klassen!AI25</f>
        <v>0</v>
      </c>
      <c r="H76" s="355">
        <f>IF(E76&gt;0,Z$64,)</f>
        <v>0</v>
      </c>
      <c r="I76" s="41">
        <f>IF(E76&gt;0,2,)</f>
        <v>0</v>
      </c>
      <c r="J76" s="357">
        <f t="shared" si="6"/>
        <v>0</v>
      </c>
      <c r="K76" s="44"/>
      <c r="L76" s="481">
        <f t="shared" si="8"/>
        <v>0</v>
      </c>
      <c r="M76" s="44">
        <f>IF(AND(E76&gt;0,E76&lt;3,W76&gt;0),-W76,IF(AND(E76&gt;=10,W76&gt;0),W76,))</f>
        <v>0</v>
      </c>
      <c r="N76" s="527">
        <f>U76</f>
        <v>0</v>
      </c>
      <c r="O76" s="12">
        <f>IF(V6=2,V78-SUM(I75:N76),)</f>
        <v>0</v>
      </c>
      <c r="P76" s="2"/>
      <c r="Q76" s="2"/>
      <c r="S76" s="2"/>
      <c r="T76" s="385">
        <f>IF(T75&gt;0,"für bis zu "&amp;GTS!$C$6&amp;" teilnehmende Schüler",)</f>
        <v>0</v>
      </c>
      <c r="U76" s="16">
        <f>X76-IF(J76&lt;99,J76,)+IF(X76&gt;0,2-I76,)</f>
        <v>0</v>
      </c>
      <c r="V76" s="16">
        <f t="shared" si="11"/>
        <v>0</v>
      </c>
      <c r="W76" s="16">
        <f t="shared" si="12"/>
        <v>0</v>
      </c>
      <c r="X76" s="16">
        <f t="shared" si="13"/>
        <v>0</v>
      </c>
      <c r="Y76" s="310"/>
      <c r="Z76" s="353" t="s">
        <v>108</v>
      </c>
      <c r="AA76" s="354">
        <f>AA59</f>
        <v>3</v>
      </c>
      <c r="AB76" s="354">
        <v>0</v>
      </c>
      <c r="AC76" s="354">
        <v>22</v>
      </c>
    </row>
    <row r="77" spans="1:24" ht="18">
      <c r="A77" s="514">
        <f>Klassen!F26&amp;Klassen!G26</f>
      </c>
      <c r="B77" s="518">
        <f>IF(E77&gt;0," [KH]",)</f>
        <v>0</v>
      </c>
      <c r="C77" s="516">
        <f>Klassen!A26</f>
        <v>0</v>
      </c>
      <c r="D77" s="356">
        <f>Klassen!B26</f>
        <v>0</v>
      </c>
      <c r="E77" s="823">
        <f>Klassen!C26</f>
        <v>0</v>
      </c>
      <c r="F77" s="824"/>
      <c r="G77" s="481">
        <f>Klassen!AI26</f>
        <v>0</v>
      </c>
      <c r="H77" s="355">
        <f>IF(E77&gt;0,Z65,)</f>
        <v>0</v>
      </c>
      <c r="I77" s="521"/>
      <c r="J77" s="522"/>
      <c r="K77" s="522"/>
      <c r="L77" s="523">
        <f t="shared" si="8"/>
        <v>0</v>
      </c>
      <c r="M77" s="524"/>
      <c r="N77" s="562">
        <f t="shared" si="10"/>
        <v>0</v>
      </c>
      <c r="O77" s="2"/>
      <c r="P77" s="528">
        <f>IF(O76&lt;&gt;0,"zusä.",)</f>
        <v>0</v>
      </c>
      <c r="Q77" s="2"/>
      <c r="R77" s="2"/>
      <c r="S77" s="2"/>
      <c r="T77" s="2"/>
      <c r="U77" s="15"/>
      <c r="V77" s="16">
        <f t="shared" si="11"/>
        <v>0</v>
      </c>
      <c r="W77" s="16">
        <f t="shared" si="12"/>
        <v>0</v>
      </c>
      <c r="X77" s="16">
        <f t="shared" si="13"/>
        <v>0</v>
      </c>
    </row>
    <row r="78" spans="1:22" s="7" customFormat="1" ht="23.25">
      <c r="A78" s="36">
        <f>Klassen!F17</f>
        <v>0</v>
      </c>
      <c r="B78" s="525"/>
      <c r="C78" s="38">
        <f>SUM(C56:C77)</f>
        <v>0</v>
      </c>
      <c r="D78" s="359">
        <f>SUM(D56:D77)</f>
        <v>0</v>
      </c>
      <c r="E78" s="837">
        <f>SUM(E56:E77)</f>
        <v>0</v>
      </c>
      <c r="F78" s="838">
        <f>SUM(F56:F77)</f>
        <v>0</v>
      </c>
      <c r="G78" s="39">
        <f>SUM(G56:G77)</f>
        <v>0</v>
      </c>
      <c r="H78" s="13"/>
      <c r="I78" s="37">
        <f>SUM(I56:I77)</f>
        <v>0</v>
      </c>
      <c r="J78" s="835">
        <f>SUM(J56:K77)</f>
        <v>0</v>
      </c>
      <c r="K78" s="836"/>
      <c r="L78" s="835">
        <f>SUM(L56:M77)</f>
        <v>0</v>
      </c>
      <c r="M78" s="836"/>
      <c r="N78" s="530">
        <f>SUM(N56:O77)</f>
        <v>0</v>
      </c>
      <c r="O78" s="2"/>
      <c r="P78" s="2"/>
      <c r="Q78" s="2"/>
      <c r="R78" s="2"/>
      <c r="S78" s="386" t="s">
        <v>46</v>
      </c>
      <c r="T78" s="387"/>
      <c r="U78" s="534"/>
      <c r="V78" s="397">
        <f>IF(L8&gt;=30,100,IF(L8&gt;=27,97,IF(L8&gt;=23,92,IF(L8&gt;=21,82,IF(L8&gt;=19,72,IF(L8&gt;=16,68,60))))))</f>
        <v>60</v>
      </c>
    </row>
    <row r="79" spans="2:12" ht="18">
      <c r="B79" s="15"/>
      <c r="K79" s="834">
        <f>J78+L78</f>
        <v>0</v>
      </c>
      <c r="L79" s="834"/>
    </row>
    <row r="80" spans="1:29" ht="24.75" customHeight="1">
      <c r="A80" s="78" t="s">
        <v>29</v>
      </c>
      <c r="I80" s="72" t="s">
        <v>159</v>
      </c>
      <c r="J80" s="73"/>
      <c r="K80" s="71" t="s">
        <v>30</v>
      </c>
      <c r="L80" s="7"/>
      <c r="M80" s="7"/>
      <c r="N80" s="7"/>
      <c r="O80" s="74"/>
      <c r="P80" s="71" t="s">
        <v>50</v>
      </c>
      <c r="U80" s="420"/>
      <c r="V80" s="420"/>
      <c r="W80" s="543">
        <f>IF(OR(S52=W52,S52=X52),1,)</f>
        <v>0</v>
      </c>
      <c r="X80" s="420"/>
      <c r="Y80" s="420"/>
      <c r="Z80" s="420"/>
      <c r="AA80" s="420"/>
      <c r="AB80" s="420"/>
      <c r="AC80" s="420"/>
    </row>
    <row r="81" spans="21:29" s="9" customFormat="1" ht="11.25" customHeight="1">
      <c r="U81" s="533"/>
      <c r="V81" s="533"/>
      <c r="W81" s="533"/>
      <c r="X81" s="533"/>
      <c r="Y81" s="533"/>
      <c r="Z81" s="533"/>
      <c r="AA81" s="533"/>
      <c r="AB81" s="533"/>
      <c r="AC81" s="533"/>
    </row>
    <row r="82" spans="7:29" ht="24.75" customHeight="1">
      <c r="G82" s="72" t="s">
        <v>48</v>
      </c>
      <c r="H82" s="73"/>
      <c r="I82" s="71" t="s">
        <v>45</v>
      </c>
      <c r="J82" s="7"/>
      <c r="K82" s="7"/>
      <c r="P82" s="72" t="s">
        <v>257</v>
      </c>
      <c r="Q82" s="74"/>
      <c r="R82" s="71" t="s">
        <v>258</v>
      </c>
      <c r="U82" s="420"/>
      <c r="V82" s="420"/>
      <c r="W82" s="420"/>
      <c r="X82" s="420"/>
      <c r="Y82" s="420"/>
      <c r="Z82" s="420"/>
      <c r="AA82" s="420"/>
      <c r="AB82" s="420"/>
      <c r="AC82" s="420"/>
    </row>
    <row r="83" spans="1:29" s="3" customFormat="1" ht="24.75" customHeight="1">
      <c r="A83"/>
      <c r="B83" s="1"/>
      <c r="C83"/>
      <c r="D83"/>
      <c r="E83"/>
      <c r="F83"/>
      <c r="G83"/>
      <c r="H83"/>
      <c r="I83" s="72" t="s">
        <v>49</v>
      </c>
      <c r="J83" s="73"/>
      <c r="M83" s="76" t="s">
        <v>256</v>
      </c>
      <c r="N83" s="77"/>
      <c r="O83" s="75"/>
      <c r="U83" s="429"/>
      <c r="V83" s="429"/>
      <c r="W83" s="429"/>
      <c r="X83" s="429"/>
      <c r="Y83" s="429"/>
      <c r="Z83" s="429"/>
      <c r="AA83" s="429"/>
      <c r="AB83" s="429"/>
      <c r="AC83" s="429"/>
    </row>
    <row r="84" spans="1:29" ht="14.25">
      <c r="A84" s="420"/>
      <c r="B84" s="420"/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537" t="s">
        <v>54</v>
      </c>
      <c r="O84" s="535" t="s">
        <v>259</v>
      </c>
      <c r="R84" s="420"/>
      <c r="S84" s="420"/>
      <c r="T84" s="420"/>
      <c r="U84" s="420"/>
      <c r="V84" s="420"/>
      <c r="W84" s="420"/>
      <c r="X84" s="420"/>
      <c r="Y84" s="420"/>
      <c r="Z84" s="420"/>
      <c r="AA84" s="420"/>
      <c r="AB84" s="420"/>
      <c r="AC84" s="420"/>
    </row>
    <row r="85" spans="1:29" ht="14.25">
      <c r="A85" s="420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20"/>
      <c r="AA85" s="420"/>
      <c r="AB85" s="420"/>
      <c r="AC85" s="420"/>
    </row>
    <row r="86" spans="1:29" ht="14.25">
      <c r="A86" s="420"/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20"/>
      <c r="AA86" s="420"/>
      <c r="AB86" s="420"/>
      <c r="AC86" s="420"/>
    </row>
    <row r="87" spans="1:29" ht="14.25">
      <c r="A87" s="420"/>
      <c r="B87" s="420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0"/>
      <c r="AC87" s="420"/>
    </row>
    <row r="88" spans="1:29" ht="14.25">
      <c r="A88" s="420"/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20"/>
      <c r="AA88" s="420"/>
      <c r="AB88" s="420"/>
      <c r="AC88" s="420"/>
    </row>
    <row r="89" spans="1:29" ht="14.25">
      <c r="A89" s="420"/>
      <c r="B89" s="420"/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20"/>
      <c r="AA89" s="420"/>
      <c r="AB89" s="420"/>
      <c r="AC89" s="420"/>
    </row>
    <row r="90" spans="1:29" ht="14.25">
      <c r="A90" s="420"/>
      <c r="B90" s="420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20"/>
      <c r="AA90" s="420"/>
      <c r="AB90" s="420"/>
      <c r="AC90" s="420"/>
    </row>
    <row r="91" spans="1:29" ht="14.25">
      <c r="A91" s="532"/>
      <c r="B91" s="420"/>
      <c r="C91" s="420"/>
      <c r="D91" s="420"/>
      <c r="E91" s="420"/>
      <c r="F91" s="420"/>
      <c r="G91" s="420"/>
      <c r="H91" s="420"/>
      <c r="I91" s="420"/>
      <c r="J91" s="420"/>
      <c r="K91" s="420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20"/>
      <c r="AA91" s="420"/>
      <c r="AB91" s="420"/>
      <c r="AC91" s="420"/>
    </row>
    <row r="92" spans="1:29" ht="14.25">
      <c r="A92" s="420"/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420"/>
      <c r="AB92" s="420"/>
      <c r="AC92" s="420"/>
    </row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</sheetData>
  <sheetProtection password="C560" sheet="1" formatRows="0"/>
  <mergeCells count="41">
    <mergeCell ref="Q6:T7"/>
    <mergeCell ref="A15:K16"/>
    <mergeCell ref="R11:R12"/>
    <mergeCell ref="P22:T41"/>
    <mergeCell ref="E48:F48"/>
    <mergeCell ref="B17:B19"/>
    <mergeCell ref="R44:T45"/>
    <mergeCell ref="K1:T2"/>
    <mergeCell ref="E69:F69"/>
    <mergeCell ref="E68:F68"/>
    <mergeCell ref="E66:F66"/>
    <mergeCell ref="E65:F65"/>
    <mergeCell ref="S52:T52"/>
    <mergeCell ref="O4:S5"/>
    <mergeCell ref="E61:F61"/>
    <mergeCell ref="E62:F62"/>
    <mergeCell ref="E60:F60"/>
    <mergeCell ref="K79:L79"/>
    <mergeCell ref="E77:F77"/>
    <mergeCell ref="E76:F76"/>
    <mergeCell ref="E73:F73"/>
    <mergeCell ref="L78:M78"/>
    <mergeCell ref="E78:F78"/>
    <mergeCell ref="J78:K78"/>
    <mergeCell ref="E75:F75"/>
    <mergeCell ref="E74:F74"/>
    <mergeCell ref="E72:F72"/>
    <mergeCell ref="E67:F67"/>
    <mergeCell ref="E63:F63"/>
    <mergeCell ref="E64:F64"/>
    <mergeCell ref="E70:F70"/>
    <mergeCell ref="E71:F71"/>
    <mergeCell ref="N51:O53"/>
    <mergeCell ref="F53:G53"/>
    <mergeCell ref="E56:F56"/>
    <mergeCell ref="E59:F59"/>
    <mergeCell ref="E57:F57"/>
    <mergeCell ref="E58:F58"/>
    <mergeCell ref="C51:G52"/>
    <mergeCell ref="J51:K52"/>
    <mergeCell ref="L51:M52"/>
  </mergeCells>
  <conditionalFormatting sqref="J56:J72">
    <cfRule type="cellIs" priority="4" dxfId="23" operator="notEqual" stopIfTrue="1">
      <formula>$V56</formula>
    </cfRule>
  </conditionalFormatting>
  <conditionalFormatting sqref="L74">
    <cfRule type="expression" priority="5" dxfId="19" stopIfTrue="1">
      <formula>$H74="KH"</formula>
    </cfRule>
  </conditionalFormatting>
  <conditionalFormatting sqref="I74">
    <cfRule type="expression" priority="6" dxfId="21" stopIfTrue="1">
      <formula>$H74="KH"</formula>
    </cfRule>
    <cfRule type="cellIs" priority="7" dxfId="7" operator="greaterThan" stopIfTrue="1">
      <formula>1</formula>
    </cfRule>
  </conditionalFormatting>
  <conditionalFormatting sqref="K74">
    <cfRule type="expression" priority="8" dxfId="19" stopIfTrue="1">
      <formula>$H74="KH"</formula>
    </cfRule>
    <cfRule type="cellIs" priority="9" dxfId="6" operator="greaterThan" stopIfTrue="1">
      <formula>$U$74</formula>
    </cfRule>
  </conditionalFormatting>
  <conditionalFormatting sqref="K73">
    <cfRule type="cellIs" priority="10" dxfId="6" operator="greaterThan" stopIfTrue="1">
      <formula>$U73</formula>
    </cfRule>
  </conditionalFormatting>
  <conditionalFormatting sqref="D8">
    <cfRule type="expression" priority="11" dxfId="6" stopIfTrue="1">
      <formula>$W$8="zweng"</formula>
    </cfRule>
  </conditionalFormatting>
  <conditionalFormatting sqref="J48">
    <cfRule type="cellIs" priority="12" dxfId="199" operator="greaterThan" stopIfTrue="1">
      <formula>0</formula>
    </cfRule>
  </conditionalFormatting>
  <conditionalFormatting sqref="A78:B78">
    <cfRule type="expression" priority="13" dxfId="200" stopIfTrue="1">
      <formula>$A$78&gt;$U$12</formula>
    </cfRule>
    <cfRule type="expression" priority="14" dxfId="12" stopIfTrue="1">
      <formula>$A$78&lt;$U$12</formula>
    </cfRule>
  </conditionalFormatting>
  <conditionalFormatting sqref="R16:T16">
    <cfRule type="expression" priority="15" dxfId="12" stopIfTrue="1">
      <formula>AND($R$16&lt;($A$78-$R$10),$U$15=0)</formula>
    </cfRule>
  </conditionalFormatting>
  <conditionalFormatting sqref="Q16 P20:T20">
    <cfRule type="expression" priority="16" dxfId="11" stopIfTrue="1">
      <formula>$U$16&lt;&gt;9.6</formula>
    </cfRule>
  </conditionalFormatting>
  <conditionalFormatting sqref="U16">
    <cfRule type="expression" priority="17" dxfId="201" stopIfTrue="1">
      <formula>$U$16&lt;&gt;9.6</formula>
    </cfRule>
  </conditionalFormatting>
  <conditionalFormatting sqref="E78:F78">
    <cfRule type="cellIs" priority="18" dxfId="202" operator="notEqual" stopIfTrue="1">
      <formula>$M$47</formula>
    </cfRule>
  </conditionalFormatting>
  <conditionalFormatting sqref="I73:I74">
    <cfRule type="cellIs" priority="20" dxfId="7" operator="greaterThan" stopIfTrue="1">
      <formula>1</formula>
    </cfRule>
  </conditionalFormatting>
  <conditionalFormatting sqref="M74">
    <cfRule type="cellIs" priority="21" dxfId="6" operator="greaterThan" stopIfTrue="1">
      <formula>$W$74</formula>
    </cfRule>
  </conditionalFormatting>
  <conditionalFormatting sqref="S52:T52">
    <cfRule type="cellIs" priority="22" dxfId="203" operator="greaterThan" stopIfTrue="1">
      <formula>0</formula>
    </cfRule>
  </conditionalFormatting>
  <conditionalFormatting sqref="T49">
    <cfRule type="cellIs" priority="2" dxfId="204" operator="greaterThan" stopIfTrue="1">
      <formula>0</formula>
    </cfRule>
  </conditionalFormatting>
  <conditionalFormatting sqref="S49:T50">
    <cfRule type="expression" priority="1" dxfId="205" stopIfTrue="1">
      <formula>$AC$49="pri"</formula>
    </cfRule>
  </conditionalFormatting>
  <dataValidations count="6">
    <dataValidation type="list" allowBlank="1" showInputMessage="1" showErrorMessage="1" prompt="bitte auswählen, &#10;falls Führung genehmigt" sqref="S52:T52">
      <formula1>$W52:$Y52</formula1>
    </dataValidation>
    <dataValidation allowBlank="1" showInputMessage="1" showErrorMessage="1" prompt="Je nach links ausgewählter Stundentafel werden hier Vorgabewerte geliefert,&#10;&#10;... die schulautonom noch änderbar sind." sqref="J56 N56 L56"/>
    <dataValidation type="list" allowBlank="1" showInputMessage="1" showErrorMessage="1" sqref="H56:H72">
      <formula1>$Z$54:$Z$76</formula1>
    </dataValidation>
    <dataValidation type="whole" allowBlank="1" showInputMessage="1" showErrorMessage="1" prompt="zu zählen sind PC u. Laptop im Unterricht, auch interaktive Tafeln;&#10;Nicht aber Server, PC für Verwaltung und Lehrer(-Vorbereitung) .." error="erst ab 6 Geräten gibt's was!" sqref="T78">
      <formula1>3</formula1>
      <formula2>99</formula2>
    </dataValidation>
    <dataValidation type="decimal" allowBlank="1" showInputMessage="1" showErrorMessage="1" error="bitte gültige Zahl eingeben!" sqref="J80 O80 H82 J83 Q82">
      <formula1>0</formula1>
      <formula2>222</formula2>
    </dataValidation>
    <dataValidation allowBlank="1" showInputMessage="1" showErrorMessage="1" prompt="EH ist in dieser Klasse nicht vorgesehen" sqref="L74:M74"/>
  </dataValidations>
  <printOptions horizontalCentered="1" verticalCentered="1"/>
  <pageMargins left="0.5511811023622047" right="0.3937007874015748" top="0.5511811023622047" bottom="0.5511811023622047" header="0.3937007874015748" footer="0.3937007874015748"/>
  <pageSetup horizontalDpi="600" verticalDpi="600" orientation="portrait" paperSize="9" scale="78" r:id="rId4"/>
  <headerFooter alignWithMargins="0">
    <oddFooter>&amp;C&amp;8&amp;F</oddFooter>
  </headerFooter>
  <rowBreaks count="1" manualBreakCount="1">
    <brk id="49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>
    <tabColor indexed="42"/>
  </sheetPr>
  <dimension ref="A1:AC92"/>
  <sheetViews>
    <sheetView showGridLines="0" showZeros="0" zoomScale="75" zoomScaleNormal="75" zoomScalePageLayoutView="0" workbookViewId="0" topLeftCell="A1">
      <selection activeCell="H2" sqref="H2"/>
    </sheetView>
  </sheetViews>
  <sheetFormatPr defaultColWidth="11.00390625" defaultRowHeight="0" customHeight="1" zeroHeight="1"/>
  <cols>
    <col min="1" max="1" width="5.875" style="0" customWidth="1"/>
    <col min="2" max="2" width="6.75390625" style="0" customWidth="1"/>
    <col min="3" max="4" width="5.50390625" style="0" customWidth="1"/>
    <col min="5" max="6" width="4.625" style="0" customWidth="1"/>
    <col min="7" max="11" width="5.50390625" style="0" customWidth="1"/>
    <col min="12" max="12" width="6.00390625" style="0" bestFit="1" customWidth="1"/>
    <col min="13" max="13" width="5.50390625" style="0" customWidth="1"/>
    <col min="14" max="15" width="4.375" style="0" customWidth="1"/>
    <col min="16" max="18" width="5.75390625" style="0" customWidth="1"/>
    <col min="19" max="20" width="4.375" style="0" customWidth="1"/>
    <col min="21" max="21" width="7.375" style="0" customWidth="1"/>
    <col min="22" max="24" width="3.125" style="0" customWidth="1"/>
    <col min="25" max="25" width="2.125" style="0" customWidth="1"/>
    <col min="26" max="29" width="3.625" style="0" customWidth="1"/>
    <col min="30" max="30" width="6.50390625" style="0" customWidth="1"/>
  </cols>
  <sheetData>
    <row r="1" spans="1:29" ht="18">
      <c r="A1" s="631" t="str">
        <f>Einleitung!B6</f>
        <v>ASO  . . .</v>
      </c>
      <c r="B1" s="4"/>
      <c r="C1" s="4"/>
      <c r="D1" s="4"/>
      <c r="E1" s="4"/>
      <c r="F1" s="4"/>
      <c r="G1" s="4"/>
      <c r="K1" s="839" t="s">
        <v>147</v>
      </c>
      <c r="L1" s="839"/>
      <c r="M1" s="839"/>
      <c r="N1" s="839"/>
      <c r="O1" s="839"/>
      <c r="P1" s="839"/>
      <c r="Q1" s="839"/>
      <c r="R1" s="839"/>
      <c r="S1" s="839"/>
      <c r="T1" s="839"/>
      <c r="U1" s="420"/>
      <c r="V1" s="420"/>
      <c r="W1" s="420"/>
      <c r="X1" s="420"/>
      <c r="Y1" s="420"/>
      <c r="Z1" s="420"/>
      <c r="AA1" s="420"/>
      <c r="AB1" s="420"/>
      <c r="AC1" s="420"/>
    </row>
    <row r="2" spans="1:29" ht="15">
      <c r="A2" s="5"/>
      <c r="B2" s="8" t="s">
        <v>8</v>
      </c>
      <c r="C2" s="5"/>
      <c r="D2" s="5"/>
      <c r="E2" s="5"/>
      <c r="F2" s="5"/>
      <c r="G2" s="5"/>
      <c r="H2" s="5"/>
      <c r="I2" s="487"/>
      <c r="J2" s="4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420"/>
      <c r="V2" s="420"/>
      <c r="W2" s="420"/>
      <c r="X2" s="420"/>
      <c r="Y2" s="420"/>
      <c r="Z2" s="420"/>
      <c r="AA2" s="420"/>
      <c r="AB2" s="420"/>
      <c r="AC2" s="420"/>
    </row>
    <row r="3" spans="1:29" s="6" customFormat="1" ht="14.25">
      <c r="A3" s="3"/>
      <c r="B3" s="3"/>
      <c r="C3" s="3"/>
      <c r="D3" s="3"/>
      <c r="E3" s="3"/>
      <c r="F3" s="3"/>
      <c r="G3" s="3"/>
      <c r="H3" s="3"/>
      <c r="I3" s="526" t="s">
        <v>253</v>
      </c>
      <c r="J3" s="5"/>
      <c r="K3" s="488"/>
      <c r="L3" s="488"/>
      <c r="M3" s="488"/>
      <c r="N3" s="488"/>
      <c r="O3" s="488"/>
      <c r="P3" s="3"/>
      <c r="Q3" s="3"/>
      <c r="R3" s="3"/>
      <c r="S3" s="3"/>
      <c r="T3" s="3"/>
      <c r="U3" s="429"/>
      <c r="V3" s="429"/>
      <c r="W3" s="429"/>
      <c r="X3" s="429"/>
      <c r="Y3" s="429"/>
      <c r="Z3" s="429"/>
      <c r="AA3" s="429"/>
      <c r="AB3" s="429"/>
      <c r="AC3" s="429"/>
    </row>
    <row r="4" spans="1:19" s="12" customFormat="1" ht="20.25">
      <c r="A4" s="1" t="s">
        <v>106</v>
      </c>
      <c r="O4" s="841" t="s">
        <v>1</v>
      </c>
      <c r="P4" s="841"/>
      <c r="Q4" s="841"/>
      <c r="R4" s="841"/>
      <c r="S4" s="841"/>
    </row>
    <row r="5" spans="15:19" s="9" customFormat="1" ht="6.75">
      <c r="O5" s="841"/>
      <c r="P5" s="841"/>
      <c r="Q5" s="841"/>
      <c r="R5" s="841"/>
      <c r="S5" s="841"/>
    </row>
    <row r="6" spans="2:22" s="2" customFormat="1" ht="14.25" customHeight="1">
      <c r="B6" s="482">
        <f>Klassen!F22&amp;Klassen!G22</f>
      </c>
      <c r="C6" s="322" t="s">
        <v>133</v>
      </c>
      <c r="K6" s="634" t="s">
        <v>134</v>
      </c>
      <c r="L6" s="482">
        <f>Klassen!F24&amp;Klassen!G24&amp;Klassen!G25</f>
      </c>
      <c r="Q6" s="842" t="str">
        <f>Einleitung!D2</f>
        <v>2020/2021</v>
      </c>
      <c r="R6" s="842"/>
      <c r="S6" s="842"/>
      <c r="T6" s="842"/>
      <c r="V6" s="323">
        <f>IF(L8&gt;13,2,IF(L8&gt;0,1,))</f>
        <v>0</v>
      </c>
    </row>
    <row r="7" spans="1:20" s="2" customFormat="1" ht="14.25" customHeight="1">
      <c r="A7" s="324"/>
      <c r="B7" s="325" t="s">
        <v>109</v>
      </c>
      <c r="C7" s="43" t="s">
        <v>110</v>
      </c>
      <c r="D7" s="43" t="s">
        <v>111</v>
      </c>
      <c r="K7" s="325" t="s">
        <v>113</v>
      </c>
      <c r="L7" s="43" t="s">
        <v>114</v>
      </c>
      <c r="Q7" s="842"/>
      <c r="R7" s="842"/>
      <c r="S7" s="842"/>
      <c r="T7" s="842"/>
    </row>
    <row r="8" spans="2:23" s="2" customFormat="1" ht="14.25">
      <c r="B8" s="325" t="s">
        <v>115</v>
      </c>
      <c r="C8" s="483">
        <f>SUM(Klassen!H22:I22)</f>
        <v>0</v>
      </c>
      <c r="D8" s="484">
        <f>SUM(Klassen!J22:K22)</f>
        <v>0</v>
      </c>
      <c r="K8" s="325" t="s">
        <v>115</v>
      </c>
      <c r="L8" s="485">
        <f>SUM(Klassen!Z24:AA25)</f>
        <v>0</v>
      </c>
      <c r="M8" s="326">
        <f>SUM(C8:L8)</f>
        <v>0</v>
      </c>
      <c r="V8" s="323">
        <f>IF((C8+D8)&gt;0,1,)</f>
        <v>0</v>
      </c>
      <c r="W8" s="323">
        <f>IF(AND((C8+D8)&gt;0,(C8+D8)&lt;10),"zweng",)</f>
        <v>0</v>
      </c>
    </row>
    <row r="9" spans="3:22" s="2" customFormat="1" ht="14.25">
      <c r="C9" s="327">
        <f>IF(D8&gt;0,SUM(C8:D8),)</f>
        <v>0</v>
      </c>
      <c r="D9" s="328"/>
      <c r="R9" s="7"/>
      <c r="V9" s="323">
        <f>IF(H8&gt;0,1,)</f>
        <v>0</v>
      </c>
    </row>
    <row r="10" spans="2:22" s="2" customFormat="1" ht="15">
      <c r="B10" s="482">
        <f>Klassen!F26&amp;Klassen!G26&amp;Klassen!G27</f>
      </c>
      <c r="C10" s="322" t="s">
        <v>135</v>
      </c>
      <c r="Q10" s="329">
        <f>IF(R10&gt;0,"'Spezial-Bereich' mit",)</f>
        <v>0</v>
      </c>
      <c r="R10" s="330">
        <f>SUM(V6:V10)</f>
        <v>0</v>
      </c>
      <c r="S10">
        <f>IF(R10&gt;0,"Klassen",)</f>
        <v>0</v>
      </c>
      <c r="V10" s="323">
        <f>IF(M12&gt;10,2,IF(M12&gt;0,1,))</f>
        <v>0</v>
      </c>
    </row>
    <row r="11" spans="1:18" s="2" customFormat="1" ht="14.25">
      <c r="A11" s="324"/>
      <c r="B11" s="325" t="s">
        <v>109</v>
      </c>
      <c r="C11" s="43" t="s">
        <v>110</v>
      </c>
      <c r="D11" s="43" t="s">
        <v>111</v>
      </c>
      <c r="E11" s="43" t="s">
        <v>117</v>
      </c>
      <c r="F11" s="43" t="s">
        <v>118</v>
      </c>
      <c r="G11" s="43" t="s">
        <v>119</v>
      </c>
      <c r="H11" s="43" t="s">
        <v>112</v>
      </c>
      <c r="I11" s="43" t="s">
        <v>120</v>
      </c>
      <c r="J11" s="43" t="s">
        <v>121</v>
      </c>
      <c r="K11" s="43" t="s">
        <v>122</v>
      </c>
      <c r="L11" s="43" t="s">
        <v>114</v>
      </c>
      <c r="R11" s="845">
        <f>IF(R10&gt;0,"+",)</f>
        <v>0</v>
      </c>
    </row>
    <row r="12" spans="1:21" s="12" customFormat="1" ht="14.25">
      <c r="A12" s="2"/>
      <c r="B12" s="325" t="s">
        <v>115</v>
      </c>
      <c r="C12" s="483"/>
      <c r="D12" s="486">
        <f>SUM(Klassen!J26:Klassen!K27)</f>
        <v>0</v>
      </c>
      <c r="E12" s="486">
        <f>SUM(Klassen!L26:Klassen!M27)</f>
        <v>0</v>
      </c>
      <c r="F12" s="486">
        <f>SUM(Klassen!N26:Klassen!O27)</f>
        <v>0</v>
      </c>
      <c r="G12" s="486">
        <f>SUM(Klassen!P26:Klassen!Q27)</f>
        <v>0</v>
      </c>
      <c r="H12" s="486">
        <f>SUM(Klassen!R26:Klassen!S27)</f>
        <v>0</v>
      </c>
      <c r="I12" s="486">
        <f>SUM(Klassen!T26:Klassen!U27)</f>
        <v>0</v>
      </c>
      <c r="J12" s="486">
        <f>SUM(Klassen!V26:Klassen!W27)</f>
        <v>0</v>
      </c>
      <c r="K12" s="486">
        <f>SUM(Klassen!X26:Klassen!Y27)</f>
        <v>0</v>
      </c>
      <c r="L12" s="484">
        <f>SUM(Klassen!Z26:Klassen!AA27)</f>
        <v>0</v>
      </c>
      <c r="M12" s="326">
        <f>SUM(C12:L12)</f>
        <v>0</v>
      </c>
      <c r="R12" s="845"/>
      <c r="T12" s="331">
        <f>ROUNDUP(P18/U16,1)</f>
        <v>0</v>
      </c>
      <c r="U12" s="323">
        <f>R10+R16</f>
        <v>0</v>
      </c>
    </row>
    <row r="13" s="9" customFormat="1" ht="6.75">
      <c r="B13" s="332"/>
    </row>
    <row r="14" spans="2:20" s="9" customFormat="1" ht="6.75">
      <c r="B14" s="332"/>
      <c r="P14" s="333"/>
      <c r="Q14" s="333"/>
      <c r="R14" s="333"/>
      <c r="S14" s="333"/>
      <c r="T14" s="334"/>
    </row>
    <row r="15" spans="1:20" s="2" customFormat="1" ht="15" customHeight="1">
      <c r="A15" s="843" t="s">
        <v>123</v>
      </c>
      <c r="B15" s="844"/>
      <c r="C15" s="844"/>
      <c r="D15" s="844"/>
      <c r="E15" s="844"/>
      <c r="F15" s="844"/>
      <c r="G15" s="844"/>
      <c r="H15" s="844"/>
      <c r="I15" s="844"/>
      <c r="J15" s="844"/>
      <c r="K15" s="844"/>
      <c r="M15" t="s">
        <v>124</v>
      </c>
      <c r="T15" s="405">
        <f>IF(R16&lt;T12,"(höchstens aber)  ",)</f>
        <v>0</v>
      </c>
    </row>
    <row r="16" spans="1:21" s="9" customFormat="1" ht="15.75">
      <c r="A16" s="844"/>
      <c r="B16" s="844"/>
      <c r="C16" s="844"/>
      <c r="D16" s="844"/>
      <c r="E16" s="844"/>
      <c r="F16" s="844"/>
      <c r="G16" s="844"/>
      <c r="H16" s="844"/>
      <c r="I16" s="844"/>
      <c r="J16" s="844"/>
      <c r="K16" s="844"/>
      <c r="Q16" s="329">
        <f>IF(R16&gt;0,"berechn. Schüler / "&amp;U16&amp;"  =",)</f>
        <v>0</v>
      </c>
      <c r="R16" s="336">
        <f>IF(AND(OR(ISNUMBER(SEARCH("Mäder",A1)),ISNUMBER(SEARCH("hör",A1))),T12&gt;10),10,ROUNDUP(P18/U16,0))</f>
        <v>0</v>
      </c>
      <c r="S16">
        <f>IF(R16&gt;0,"Klassen",)</f>
        <v>0</v>
      </c>
      <c r="T16" s="335"/>
      <c r="U16" s="639">
        <f>IF(OR(ISNUMBER(SEARCH("koop",A1)),ISNUMBER(SEARCH("Jagdberg",A1)),ISNUMBER(SEARCH("Sozialpädagogische Schule",A1))),7.56,IF(OR(ISNUMBER(SEARCH("Carina",A1)),RIGHT(I2,1)="#"),8.1,IF(ISNUMBER(SEARCH("hör",A1)),6.2,9.6)))</f>
        <v>9.6</v>
      </c>
    </row>
    <row r="17" spans="1:20" ht="16.5" customHeight="1">
      <c r="A17" s="2"/>
      <c r="B17" s="849" t="s">
        <v>7</v>
      </c>
      <c r="C17" s="338" t="s">
        <v>125</v>
      </c>
      <c r="D17" s="42"/>
      <c r="E17" s="22"/>
      <c r="F17" s="22"/>
      <c r="G17" s="22"/>
      <c r="H17" s="22"/>
      <c r="Q17" s="21">
        <f>SUM(E56:F72)-Q18</f>
        <v>0</v>
      </c>
      <c r="R17" s="3" t="s">
        <v>126</v>
      </c>
      <c r="T17" s="335"/>
    </row>
    <row r="18" spans="1:20" ht="14.25">
      <c r="A18" s="2"/>
      <c r="B18" s="850"/>
      <c r="C18" s="43" t="s">
        <v>110</v>
      </c>
      <c r="D18" s="43" t="s">
        <v>111</v>
      </c>
      <c r="E18" s="43" t="s">
        <v>117</v>
      </c>
      <c r="F18" s="43" t="s">
        <v>118</v>
      </c>
      <c r="G18" s="43" t="s">
        <v>119</v>
      </c>
      <c r="H18" s="43" t="s">
        <v>112</v>
      </c>
      <c r="I18" s="43" t="s">
        <v>120</v>
      </c>
      <c r="J18" s="43" t="s">
        <v>121</v>
      </c>
      <c r="K18" s="43" t="s">
        <v>122</v>
      </c>
      <c r="L18" s="43" t="s">
        <v>114</v>
      </c>
      <c r="P18" s="489">
        <f>SUM(Q17:Q20)</f>
        <v>0</v>
      </c>
      <c r="Q18" s="21">
        <f>SUM(G56:G72)</f>
        <v>0</v>
      </c>
      <c r="R18" s="3" t="s">
        <v>127</v>
      </c>
      <c r="T18" s="335"/>
    </row>
    <row r="19" spans="1:26" s="12" customFormat="1" ht="14.25">
      <c r="A19" s="2"/>
      <c r="B19" s="851"/>
      <c r="C19" s="340">
        <f>SUM(C20:C45)</f>
        <v>0</v>
      </c>
      <c r="D19" s="340">
        <f>SUM(D20:D45)</f>
        <v>0</v>
      </c>
      <c r="E19" s="340">
        <f>SUM(E20:E45)</f>
        <v>0</v>
      </c>
      <c r="F19" s="340">
        <f>SUM(F20:F45)</f>
        <v>0</v>
      </c>
      <c r="G19" s="340">
        <f aca="true" t="shared" si="0" ref="G19:L19">SUM(G20:G45)</f>
        <v>0</v>
      </c>
      <c r="H19" s="340">
        <f t="shared" si="0"/>
        <v>0</v>
      </c>
      <c r="I19" s="340">
        <f t="shared" si="0"/>
        <v>0</v>
      </c>
      <c r="J19" s="340">
        <f t="shared" si="0"/>
        <v>0</v>
      </c>
      <c r="K19" s="340">
        <f t="shared" si="0"/>
        <v>0</v>
      </c>
      <c r="L19" s="406">
        <f t="shared" si="0"/>
        <v>0</v>
      </c>
      <c r="N19" s="341" t="s">
        <v>128</v>
      </c>
      <c r="P19"/>
      <c r="Q19" s="21">
        <f>Q18*U19</f>
        <v>0</v>
      </c>
      <c r="R19" s="3">
        <f>IF(AND(Q18&gt;0,U19&gt;0)," + Zuschlag á "&amp;U19,)</f>
        <v>0</v>
      </c>
      <c r="S19" s="342"/>
      <c r="T19" s="335"/>
      <c r="U19" s="337">
        <f>IF(U16=9.6,0.7,0)</f>
        <v>0.7</v>
      </c>
      <c r="Z19"/>
    </row>
    <row r="20" spans="2:21" ht="15">
      <c r="B20" s="490">
        <f>Klassen!F29&amp;Klassen!G29</f>
      </c>
      <c r="C20" s="483">
        <f>Klassen!H29+Klassen!I29</f>
        <v>0</v>
      </c>
      <c r="D20" s="483">
        <f>Klassen!J29+Klassen!K29</f>
        <v>0</v>
      </c>
      <c r="E20" s="486">
        <f>Klassen!L29+Klassen!M29</f>
        <v>0</v>
      </c>
      <c r="F20" s="491">
        <f>Klassen!N29+Klassen!O29</f>
        <v>0</v>
      </c>
      <c r="G20" s="484">
        <f>Klassen!P29+Klassen!Q29</f>
        <v>0</v>
      </c>
      <c r="H20" s="483">
        <f>Klassen!R29+Klassen!S29</f>
        <v>0</v>
      </c>
      <c r="I20" s="492">
        <f>Klassen!T29+Klassen!U29</f>
        <v>0</v>
      </c>
      <c r="J20" s="486">
        <f>Klassen!V29+Klassen!W29</f>
        <v>0</v>
      </c>
      <c r="K20" s="484">
        <f>Klassen!X29+Klassen!Y29</f>
        <v>0</v>
      </c>
      <c r="L20" s="407">
        <f>Klassen!Z29+Klassen!AA29</f>
        <v>0</v>
      </c>
      <c r="M20" s="7">
        <f>Klassen!C29</f>
        <v>0</v>
      </c>
      <c r="N20" s="71"/>
      <c r="O20" s="454">
        <f>IF(M20&gt;0,"in  "&amp;Klassen!AS29&amp;" Stufen ",)</f>
        <v>0</v>
      </c>
      <c r="R20" s="395">
        <f>IF(U16&lt;&gt;9.6,"&gt;&gt; SondBere",)</f>
        <v>0</v>
      </c>
      <c r="S20" s="396">
        <f>IF(U16&lt;&gt;9.6,"(… statt 9,6)",)</f>
        <v>0</v>
      </c>
      <c r="U20" s="493">
        <f>IF(M20&gt;0,IF(Klassen!BH29&gt;0,"S"&amp;Klassen!AT29,Klassen!AT29),)</f>
        <v>0</v>
      </c>
    </row>
    <row r="21" spans="2:21" ht="15">
      <c r="B21" s="490">
        <f>Klassen!F30&amp;Klassen!G30</f>
      </c>
      <c r="C21" s="483">
        <f>Klassen!H30+Klassen!I30</f>
        <v>0</v>
      </c>
      <c r="D21" s="483">
        <f>Klassen!J30+Klassen!K30</f>
        <v>0</v>
      </c>
      <c r="E21" s="486">
        <f>Klassen!L30+Klassen!M30</f>
        <v>0</v>
      </c>
      <c r="F21" s="491">
        <f>Klassen!N30+Klassen!O30</f>
        <v>0</v>
      </c>
      <c r="G21" s="484">
        <f>Klassen!P30+Klassen!Q30</f>
        <v>0</v>
      </c>
      <c r="H21" s="483">
        <f>Klassen!R30+Klassen!S30</f>
        <v>0</v>
      </c>
      <c r="I21" s="492">
        <f>Klassen!T30+Klassen!U30</f>
        <v>0</v>
      </c>
      <c r="J21" s="486">
        <f>Klassen!V30+Klassen!W30</f>
        <v>0</v>
      </c>
      <c r="K21" s="484">
        <f>Klassen!X30+Klassen!Y30</f>
        <v>0</v>
      </c>
      <c r="L21" s="407">
        <f>Klassen!Z30+Klassen!AA30</f>
        <v>0</v>
      </c>
      <c r="M21" s="7">
        <f>Klassen!C30</f>
        <v>0</v>
      </c>
      <c r="N21" s="71"/>
      <c r="O21" s="454">
        <f>IF(M21&gt;0,"in  "&amp;Klassen!AS30&amp;" Stufen ",)</f>
        <v>0</v>
      </c>
      <c r="T21" s="343" t="str">
        <f>Einleitung!D1</f>
        <v>BilDiV, pr3  04/20</v>
      </c>
      <c r="U21" s="493">
        <f>IF(M21&gt;0,IF(Klassen!BH30&gt;0,"S"&amp;Klassen!AT30,Klassen!AT30),)</f>
        <v>0</v>
      </c>
    </row>
    <row r="22" spans="2:21" ht="15">
      <c r="B22" s="490">
        <f>Klassen!F31&amp;Klassen!G31</f>
      </c>
      <c r="C22" s="483">
        <f>Klassen!H31+Klassen!I31</f>
        <v>0</v>
      </c>
      <c r="D22" s="483">
        <f>Klassen!J31+Klassen!K31</f>
        <v>0</v>
      </c>
      <c r="E22" s="486">
        <f>Klassen!L31+Klassen!M31</f>
        <v>0</v>
      </c>
      <c r="F22" s="491">
        <f>Klassen!N31+Klassen!O31</f>
        <v>0</v>
      </c>
      <c r="G22" s="484">
        <f>Klassen!P31+Klassen!Q31</f>
        <v>0</v>
      </c>
      <c r="H22" s="483">
        <f>Klassen!R31+Klassen!S31</f>
        <v>0</v>
      </c>
      <c r="I22" s="492">
        <f>Klassen!T31+Klassen!U31</f>
        <v>0</v>
      </c>
      <c r="J22" s="486">
        <f>Klassen!V31+Klassen!W31</f>
        <v>0</v>
      </c>
      <c r="K22" s="484">
        <f>Klassen!X31+Klassen!Y31</f>
        <v>0</v>
      </c>
      <c r="L22" s="407">
        <f>Klassen!Z31+Klassen!AA31</f>
        <v>0</v>
      </c>
      <c r="M22" s="7">
        <f>Klassen!C31</f>
        <v>0</v>
      </c>
      <c r="N22" s="71"/>
      <c r="O22" s="454">
        <f>IF(M22&gt;0,"in  "&amp;Klassen!AS31&amp;" Stufen ",)</f>
        <v>0</v>
      </c>
      <c r="P22" s="846"/>
      <c r="Q22" s="846"/>
      <c r="R22" s="846"/>
      <c r="S22" s="846"/>
      <c r="T22" s="846"/>
      <c r="U22" s="493">
        <f>IF(M22&gt;0,IF(Klassen!BH31&gt;0,"S"&amp;Klassen!AT31,Klassen!AT31),)</f>
        <v>0</v>
      </c>
    </row>
    <row r="23" spans="2:28" ht="15">
      <c r="B23" s="490">
        <f>Klassen!F32&amp;Klassen!G32</f>
      </c>
      <c r="C23" s="483">
        <f>Klassen!H32+Klassen!I32</f>
        <v>0</v>
      </c>
      <c r="D23" s="483">
        <f>Klassen!J32+Klassen!K32</f>
        <v>0</v>
      </c>
      <c r="E23" s="486">
        <f>Klassen!L32+Klassen!M32</f>
        <v>0</v>
      </c>
      <c r="F23" s="491">
        <f>Klassen!N32+Klassen!O32</f>
        <v>0</v>
      </c>
      <c r="G23" s="484">
        <f>Klassen!P32+Klassen!Q32</f>
        <v>0</v>
      </c>
      <c r="H23" s="483">
        <f>Klassen!R32+Klassen!S32</f>
        <v>0</v>
      </c>
      <c r="I23" s="492">
        <f>Klassen!T32+Klassen!U32</f>
        <v>0</v>
      </c>
      <c r="J23" s="486">
        <f>Klassen!V32+Klassen!W32</f>
        <v>0</v>
      </c>
      <c r="K23" s="484">
        <f>Klassen!X32+Klassen!Y32</f>
        <v>0</v>
      </c>
      <c r="L23" s="407">
        <f>Klassen!Z32+Klassen!AA32</f>
        <v>0</v>
      </c>
      <c r="M23" s="7">
        <f>Klassen!C32</f>
        <v>0</v>
      </c>
      <c r="N23" s="71"/>
      <c r="O23" s="454">
        <f>IF(M23&gt;0,"in  "&amp;Klassen!AS32&amp;" Stufen ",)</f>
        <v>0</v>
      </c>
      <c r="P23" s="846"/>
      <c r="Q23" s="846"/>
      <c r="R23" s="846"/>
      <c r="S23" s="846"/>
      <c r="T23" s="846"/>
      <c r="U23" s="493">
        <f>IF(M23&gt;0,IF(Klassen!BH32&gt;0,"S"&amp;Klassen!AT32,Klassen!AT32),)</f>
        <v>0</v>
      </c>
      <c r="Z23" s="494">
        <v>0</v>
      </c>
      <c r="AA23" s="494">
        <v>0</v>
      </c>
      <c r="AB23" s="494">
        <v>0</v>
      </c>
    </row>
    <row r="24" spans="2:28" ht="15">
      <c r="B24" s="490">
        <f>Klassen!F33&amp;Klassen!G33</f>
      </c>
      <c r="C24" s="483">
        <f>Klassen!H33+Klassen!I33</f>
        <v>0</v>
      </c>
      <c r="D24" s="483">
        <f>Klassen!J33+Klassen!K33</f>
        <v>0</v>
      </c>
      <c r="E24" s="486">
        <f>Klassen!L33+Klassen!M33</f>
        <v>0</v>
      </c>
      <c r="F24" s="491">
        <f>Klassen!N33+Klassen!O33</f>
        <v>0</v>
      </c>
      <c r="G24" s="484">
        <f>Klassen!P33+Klassen!Q33</f>
        <v>0</v>
      </c>
      <c r="H24" s="483">
        <f>Klassen!R33+Klassen!S33</f>
        <v>0</v>
      </c>
      <c r="I24" s="492">
        <f>Klassen!T33+Klassen!U33</f>
        <v>0</v>
      </c>
      <c r="J24" s="486">
        <f>Klassen!V33+Klassen!W33</f>
        <v>0</v>
      </c>
      <c r="K24" s="484">
        <f>Klassen!X33+Klassen!Y33</f>
        <v>0</v>
      </c>
      <c r="L24" s="407">
        <f>Klassen!Z33+Klassen!AA33</f>
        <v>0</v>
      </c>
      <c r="M24" s="7">
        <f>Klassen!C33</f>
        <v>0</v>
      </c>
      <c r="N24" s="71"/>
      <c r="O24" s="454">
        <f>IF(M24&gt;0,"in  "&amp;Klassen!AS33&amp;" Stufen ",)</f>
        <v>0</v>
      </c>
      <c r="P24" s="846"/>
      <c r="Q24" s="846"/>
      <c r="R24" s="846"/>
      <c r="S24" s="846"/>
      <c r="T24" s="846"/>
      <c r="U24" s="493">
        <f>IF(M24&gt;0,IF(Klassen!BH33&gt;0,"S"&amp;Klassen!AT33,Klassen!AT33),)</f>
        <v>0</v>
      </c>
      <c r="Z24" s="494">
        <v>1</v>
      </c>
      <c r="AA24" s="494">
        <v>0.5</v>
      </c>
      <c r="AB24" s="494">
        <v>40</v>
      </c>
    </row>
    <row r="25" spans="2:28" ht="15" hidden="1">
      <c r="B25" s="490">
        <f>Klassen!F34&amp;Klassen!G34</f>
      </c>
      <c r="C25" s="483">
        <f>Klassen!H34+Klassen!I34</f>
        <v>0</v>
      </c>
      <c r="D25" s="483">
        <f>Klassen!J34+Klassen!K34</f>
        <v>0</v>
      </c>
      <c r="E25" s="486">
        <f>Klassen!L34+Klassen!M34</f>
        <v>0</v>
      </c>
      <c r="F25" s="491">
        <f>Klassen!N34+Klassen!O34</f>
        <v>0</v>
      </c>
      <c r="G25" s="484">
        <f>Klassen!P34+Klassen!Q34</f>
        <v>0</v>
      </c>
      <c r="H25" s="483">
        <f>Klassen!R34+Klassen!S34</f>
        <v>0</v>
      </c>
      <c r="I25" s="492">
        <f>Klassen!T34+Klassen!U34</f>
        <v>0</v>
      </c>
      <c r="J25" s="486">
        <f>Klassen!V34+Klassen!W34</f>
        <v>0</v>
      </c>
      <c r="K25" s="484">
        <f>Klassen!X34+Klassen!Y34</f>
        <v>0</v>
      </c>
      <c r="L25" s="407">
        <f>Klassen!Z34+Klassen!AA34</f>
        <v>0</v>
      </c>
      <c r="M25" s="7">
        <f>Klassen!C34</f>
        <v>0</v>
      </c>
      <c r="N25" s="71"/>
      <c r="O25" s="454">
        <f>IF(M25&gt;0,"in  "&amp;Klassen!AS34&amp;" Stufen ",)</f>
        <v>0</v>
      </c>
      <c r="P25" s="846"/>
      <c r="Q25" s="846"/>
      <c r="R25" s="846"/>
      <c r="S25" s="846"/>
      <c r="T25" s="846"/>
      <c r="U25" s="493">
        <f>IF(M25&gt;0,IF(Klassen!BH34&gt;0,"S"&amp;Klassen!AT34,Klassen!AT34),)</f>
        <v>0</v>
      </c>
      <c r="Z25" s="494">
        <v>2</v>
      </c>
      <c r="AA25" s="494">
        <v>0.7</v>
      </c>
      <c r="AB25" s="494">
        <v>56</v>
      </c>
    </row>
    <row r="26" spans="2:28" ht="15" hidden="1">
      <c r="B26" s="490">
        <f>Klassen!F35&amp;Klassen!G35</f>
      </c>
      <c r="C26" s="483">
        <f>Klassen!H35+Klassen!I35</f>
        <v>0</v>
      </c>
      <c r="D26" s="483">
        <f>Klassen!J35+Klassen!K35</f>
        <v>0</v>
      </c>
      <c r="E26" s="486">
        <f>Klassen!L35+Klassen!M35</f>
        <v>0</v>
      </c>
      <c r="F26" s="491">
        <f>Klassen!N35+Klassen!O35</f>
        <v>0</v>
      </c>
      <c r="G26" s="484">
        <f>Klassen!P35+Klassen!Q35</f>
        <v>0</v>
      </c>
      <c r="H26" s="483">
        <f>Klassen!R35+Klassen!S35</f>
        <v>0</v>
      </c>
      <c r="I26" s="492">
        <f>Klassen!T35+Klassen!U35</f>
        <v>0</v>
      </c>
      <c r="J26" s="486">
        <f>Klassen!V35+Klassen!W35</f>
        <v>0</v>
      </c>
      <c r="K26" s="484">
        <f>Klassen!X35+Klassen!Y35</f>
        <v>0</v>
      </c>
      <c r="L26" s="407">
        <f>Klassen!Z35+Klassen!AA35</f>
        <v>0</v>
      </c>
      <c r="M26" s="7">
        <f>Klassen!C35</f>
        <v>0</v>
      </c>
      <c r="N26" s="71"/>
      <c r="O26" s="454">
        <f>IF(M26&gt;0,"in  "&amp;Klassen!AS35&amp;" Stufen ",)</f>
        <v>0</v>
      </c>
      <c r="P26" s="846"/>
      <c r="Q26" s="846"/>
      <c r="R26" s="846"/>
      <c r="S26" s="846"/>
      <c r="T26" s="846"/>
      <c r="U26" s="493">
        <f>IF(M26&gt;0,IF(Klassen!BH35&gt;0,"S"&amp;Klassen!AT35,Klassen!AT35),)</f>
        <v>0</v>
      </c>
      <c r="Z26" s="494">
        <v>3</v>
      </c>
      <c r="AA26" s="494">
        <v>0.8999999999999999</v>
      </c>
      <c r="AB26" s="494">
        <v>72</v>
      </c>
    </row>
    <row r="27" spans="2:28" ht="15" hidden="1">
      <c r="B27" s="490">
        <f>Klassen!F36&amp;Klassen!G36</f>
      </c>
      <c r="C27" s="483">
        <f>Klassen!H36+Klassen!I36</f>
        <v>0</v>
      </c>
      <c r="D27" s="483">
        <f>Klassen!J36+Klassen!K36</f>
        <v>0</v>
      </c>
      <c r="E27" s="486">
        <f>Klassen!L36+Klassen!M36</f>
        <v>0</v>
      </c>
      <c r="F27" s="491">
        <f>Klassen!N36+Klassen!O36</f>
        <v>0</v>
      </c>
      <c r="G27" s="484">
        <f>Klassen!P36+Klassen!Q36</f>
        <v>0</v>
      </c>
      <c r="H27" s="483">
        <f>Klassen!R36+Klassen!S36</f>
        <v>0</v>
      </c>
      <c r="I27" s="492">
        <f>Klassen!T36+Klassen!U36</f>
        <v>0</v>
      </c>
      <c r="J27" s="486">
        <f>Klassen!V36+Klassen!W36</f>
        <v>0</v>
      </c>
      <c r="K27" s="484">
        <f>Klassen!X36+Klassen!Y36</f>
        <v>0</v>
      </c>
      <c r="L27" s="407">
        <f>Klassen!Z36+Klassen!AA36</f>
        <v>0</v>
      </c>
      <c r="M27" s="7">
        <f>Klassen!C36</f>
        <v>0</v>
      </c>
      <c r="N27" s="71"/>
      <c r="O27" s="454">
        <f>IF(M27&gt;0,"in  "&amp;Klassen!AS36&amp;" Stufen ",)</f>
        <v>0</v>
      </c>
      <c r="P27" s="846"/>
      <c r="Q27" s="846"/>
      <c r="R27" s="846"/>
      <c r="S27" s="846"/>
      <c r="T27" s="846"/>
      <c r="U27" s="493">
        <f>IF(M27&gt;0,IF(Klassen!BH36&gt;0,"S"&amp;Klassen!AT36,Klassen!AT36),)</f>
        <v>0</v>
      </c>
      <c r="Z27" s="494">
        <v>4</v>
      </c>
      <c r="AA27" s="494">
        <v>1.0999999999999999</v>
      </c>
      <c r="AB27" s="494">
        <v>88</v>
      </c>
    </row>
    <row r="28" spans="2:28" ht="15" hidden="1">
      <c r="B28" s="490">
        <f>Klassen!F37&amp;Klassen!G37</f>
      </c>
      <c r="C28" s="483">
        <f>Klassen!H37+Klassen!I37</f>
        <v>0</v>
      </c>
      <c r="D28" s="483">
        <f>Klassen!J37+Klassen!K37</f>
        <v>0</v>
      </c>
      <c r="E28" s="486">
        <f>Klassen!L37+Klassen!M37</f>
        <v>0</v>
      </c>
      <c r="F28" s="491">
        <f>Klassen!N37+Klassen!O37</f>
        <v>0</v>
      </c>
      <c r="G28" s="484">
        <f>Klassen!P37+Klassen!Q37</f>
        <v>0</v>
      </c>
      <c r="H28" s="483">
        <f>Klassen!R37+Klassen!S37</f>
        <v>0</v>
      </c>
      <c r="I28" s="492">
        <f>Klassen!T37+Klassen!U37</f>
        <v>0</v>
      </c>
      <c r="J28" s="486">
        <f>Klassen!V37+Klassen!W37</f>
        <v>0</v>
      </c>
      <c r="K28" s="484">
        <f>Klassen!X37+Klassen!Y37</f>
        <v>0</v>
      </c>
      <c r="L28" s="407">
        <f>Klassen!Z37+Klassen!AA37</f>
        <v>0</v>
      </c>
      <c r="M28" s="7">
        <f>Klassen!C37</f>
        <v>0</v>
      </c>
      <c r="N28" s="71"/>
      <c r="O28" s="454">
        <f>IF(M28&gt;0,"in  "&amp;Klassen!AS37&amp;" Stufen ",)</f>
        <v>0</v>
      </c>
      <c r="P28" s="846"/>
      <c r="Q28" s="846"/>
      <c r="R28" s="846"/>
      <c r="S28" s="846"/>
      <c r="T28" s="846"/>
      <c r="U28" s="493">
        <f>IF(M28&gt;0,IF(Klassen!BH37&gt;0,"S"&amp;Klassen!AT37,Klassen!AT37),)</f>
        <v>0</v>
      </c>
      <c r="Z28" s="494">
        <v>5</v>
      </c>
      <c r="AA28" s="494">
        <v>1.4</v>
      </c>
      <c r="AB28" s="494">
        <v>112</v>
      </c>
    </row>
    <row r="29" spans="2:28" ht="15" hidden="1">
      <c r="B29" s="490">
        <f>Klassen!F38&amp;Klassen!G38</f>
      </c>
      <c r="C29" s="483">
        <f>Klassen!H38+Klassen!I38</f>
        <v>0</v>
      </c>
      <c r="D29" s="483">
        <f>Klassen!J38+Klassen!K38</f>
        <v>0</v>
      </c>
      <c r="E29" s="486">
        <f>Klassen!L38+Klassen!M38</f>
        <v>0</v>
      </c>
      <c r="F29" s="491">
        <f>Klassen!N38+Klassen!O38</f>
        <v>0</v>
      </c>
      <c r="G29" s="484">
        <f>Klassen!P38+Klassen!Q38</f>
        <v>0</v>
      </c>
      <c r="H29" s="483">
        <f>Klassen!R38+Klassen!S38</f>
        <v>0</v>
      </c>
      <c r="I29" s="492">
        <f>Klassen!T38+Klassen!U38</f>
        <v>0</v>
      </c>
      <c r="J29" s="486">
        <f>Klassen!V38+Klassen!W38</f>
        <v>0</v>
      </c>
      <c r="K29" s="484">
        <f>Klassen!X38+Klassen!Y38</f>
        <v>0</v>
      </c>
      <c r="L29" s="407">
        <f>Klassen!Z38+Klassen!AA38</f>
        <v>0</v>
      </c>
      <c r="M29" s="7">
        <f>Klassen!C38</f>
        <v>0</v>
      </c>
      <c r="N29" s="71"/>
      <c r="O29" s="454">
        <f>IF(M29&gt;0,"in  "&amp;Klassen!AS38&amp;" Stufen ",)</f>
        <v>0</v>
      </c>
      <c r="P29" s="846"/>
      <c r="Q29" s="846"/>
      <c r="R29" s="846"/>
      <c r="S29" s="846"/>
      <c r="T29" s="846"/>
      <c r="U29" s="493">
        <f>IF(M29&gt;0,IF(Klassen!BH38&gt;0,"S"&amp;Klassen!AT38,Klassen!AT38),)</f>
        <v>0</v>
      </c>
      <c r="Z29" s="494">
        <v>6</v>
      </c>
      <c r="AA29" s="494">
        <v>1.7</v>
      </c>
      <c r="AB29" s="494">
        <v>136</v>
      </c>
    </row>
    <row r="30" spans="2:28" ht="15" hidden="1">
      <c r="B30" s="490">
        <f>Klassen!F39&amp;Klassen!G39</f>
      </c>
      <c r="C30" s="483">
        <f>Klassen!H39+Klassen!I39</f>
        <v>0</v>
      </c>
      <c r="D30" s="483">
        <f>Klassen!J39+Klassen!K39</f>
        <v>0</v>
      </c>
      <c r="E30" s="486">
        <f>Klassen!L39+Klassen!M39</f>
        <v>0</v>
      </c>
      <c r="F30" s="491">
        <f>Klassen!N39+Klassen!O39</f>
        <v>0</v>
      </c>
      <c r="G30" s="484">
        <f>Klassen!P39+Klassen!Q39</f>
        <v>0</v>
      </c>
      <c r="H30" s="483">
        <f>Klassen!R39+Klassen!S39</f>
        <v>0</v>
      </c>
      <c r="I30" s="492">
        <f>Klassen!T39+Klassen!U39</f>
        <v>0</v>
      </c>
      <c r="J30" s="486">
        <f>Klassen!V39+Klassen!W39</f>
        <v>0</v>
      </c>
      <c r="K30" s="484">
        <f>Klassen!X39+Klassen!Y39</f>
        <v>0</v>
      </c>
      <c r="L30" s="407">
        <f>Klassen!Z39+Klassen!AA39</f>
        <v>0</v>
      </c>
      <c r="M30" s="7">
        <f>Klassen!C39</f>
        <v>0</v>
      </c>
      <c r="N30" s="71"/>
      <c r="O30" s="454">
        <f>IF(M30&gt;0,"in  "&amp;Klassen!AS39&amp;" Stufen ",)</f>
        <v>0</v>
      </c>
      <c r="P30" s="846"/>
      <c r="Q30" s="846"/>
      <c r="R30" s="846"/>
      <c r="S30" s="846"/>
      <c r="T30" s="846"/>
      <c r="U30" s="493">
        <f>IF(M30&gt;0,IF(Klassen!BH39&gt;0,"S"&amp;Klassen!AT39,Klassen!AT39),)</f>
        <v>0</v>
      </c>
      <c r="Z30" s="494">
        <v>7</v>
      </c>
      <c r="AA30" s="494">
        <v>2</v>
      </c>
      <c r="AB30" s="494">
        <v>160</v>
      </c>
    </row>
    <row r="31" spans="2:28" ht="15" hidden="1">
      <c r="B31" s="490">
        <f>Klassen!F40&amp;Klassen!G40</f>
      </c>
      <c r="C31" s="483">
        <f>Klassen!H40+Klassen!I40</f>
        <v>0</v>
      </c>
      <c r="D31" s="483">
        <f>Klassen!J40+Klassen!K40</f>
        <v>0</v>
      </c>
      <c r="E31" s="486">
        <f>Klassen!L40+Klassen!M40</f>
        <v>0</v>
      </c>
      <c r="F31" s="491">
        <f>Klassen!N40+Klassen!O40</f>
        <v>0</v>
      </c>
      <c r="G31" s="484">
        <f>Klassen!P40+Klassen!Q40</f>
        <v>0</v>
      </c>
      <c r="H31" s="483">
        <f>Klassen!R40+Klassen!S40</f>
        <v>0</v>
      </c>
      <c r="I31" s="492">
        <f>Klassen!T40+Klassen!U40</f>
        <v>0</v>
      </c>
      <c r="J31" s="486">
        <f>Klassen!V40+Klassen!W40</f>
        <v>0</v>
      </c>
      <c r="K31" s="484">
        <f>Klassen!X40+Klassen!Y40</f>
        <v>0</v>
      </c>
      <c r="L31" s="407">
        <f>Klassen!Z40+Klassen!AA40</f>
        <v>0</v>
      </c>
      <c r="M31" s="7">
        <f>Klassen!C40</f>
        <v>0</v>
      </c>
      <c r="N31" s="71"/>
      <c r="O31" s="454">
        <f>IF(M31&gt;0,"in  "&amp;Klassen!AS40&amp;" Stufen ",)</f>
        <v>0</v>
      </c>
      <c r="P31" s="846"/>
      <c r="Q31" s="846"/>
      <c r="R31" s="846"/>
      <c r="S31" s="846"/>
      <c r="T31" s="846"/>
      <c r="U31" s="493">
        <f>IF(M31&gt;0,IF(Klassen!BH40&gt;0,"S"&amp;Klassen!AT40,Klassen!AT40),)</f>
        <v>0</v>
      </c>
      <c r="Z31" s="494">
        <v>8</v>
      </c>
      <c r="AA31" s="494">
        <v>1.2999999999999998</v>
      </c>
      <c r="AB31" s="494">
        <v>104</v>
      </c>
    </row>
    <row r="32" spans="2:28" ht="15" customHeight="1" hidden="1">
      <c r="B32" s="495"/>
      <c r="C32" s="496"/>
      <c r="D32" s="496"/>
      <c r="E32" s="496"/>
      <c r="F32" s="496"/>
      <c r="G32" s="496"/>
      <c r="H32" s="496"/>
      <c r="I32" s="496"/>
      <c r="J32" s="496"/>
      <c r="K32" s="496"/>
      <c r="L32" s="497"/>
      <c r="M32" s="7"/>
      <c r="N32" s="71"/>
      <c r="O32" s="454"/>
      <c r="P32" s="846"/>
      <c r="Q32" s="846"/>
      <c r="R32" s="846"/>
      <c r="S32" s="846"/>
      <c r="T32" s="846"/>
      <c r="U32" s="498"/>
      <c r="Z32" s="494">
        <v>9</v>
      </c>
      <c r="AA32" s="494">
        <v>1.7999999999999998</v>
      </c>
      <c r="AB32" s="494">
        <v>144</v>
      </c>
    </row>
    <row r="33" spans="2:28" ht="15" customHeight="1" hidden="1">
      <c r="B33" s="495"/>
      <c r="C33" s="496"/>
      <c r="D33" s="496"/>
      <c r="E33" s="496"/>
      <c r="F33" s="496"/>
      <c r="G33" s="496"/>
      <c r="H33" s="496"/>
      <c r="I33" s="496"/>
      <c r="J33" s="496"/>
      <c r="K33" s="496"/>
      <c r="L33" s="497"/>
      <c r="M33" s="7"/>
      <c r="N33" s="71"/>
      <c r="O33" s="454"/>
      <c r="P33" s="846"/>
      <c r="Q33" s="846"/>
      <c r="R33" s="846"/>
      <c r="S33" s="846"/>
      <c r="T33" s="846"/>
      <c r="U33" s="498"/>
      <c r="Z33" s="494">
        <v>10</v>
      </c>
      <c r="AA33" s="494">
        <v>2.3</v>
      </c>
      <c r="AB33" s="494">
        <v>184</v>
      </c>
    </row>
    <row r="34" spans="2:28" ht="15" customHeight="1" hidden="1">
      <c r="B34" s="495"/>
      <c r="C34" s="496"/>
      <c r="D34" s="496"/>
      <c r="E34" s="496"/>
      <c r="F34" s="496"/>
      <c r="G34" s="496"/>
      <c r="H34" s="496"/>
      <c r="I34" s="496"/>
      <c r="J34" s="496"/>
      <c r="K34" s="496"/>
      <c r="L34" s="497"/>
      <c r="M34" s="7"/>
      <c r="N34" s="71"/>
      <c r="O34" s="454"/>
      <c r="P34" s="846"/>
      <c r="Q34" s="846"/>
      <c r="R34" s="846"/>
      <c r="S34" s="846"/>
      <c r="T34" s="846"/>
      <c r="U34" s="498"/>
      <c r="Z34" s="494">
        <v>11</v>
      </c>
      <c r="AA34" s="494">
        <v>2.8</v>
      </c>
      <c r="AB34" s="494">
        <v>224</v>
      </c>
    </row>
    <row r="35" spans="2:28" ht="9" customHeight="1" hidden="1">
      <c r="B35" s="495"/>
      <c r="C35" s="496"/>
      <c r="D35" s="496"/>
      <c r="E35" s="496"/>
      <c r="F35" s="496"/>
      <c r="G35" s="496"/>
      <c r="H35" s="496"/>
      <c r="I35" s="496"/>
      <c r="J35" s="496"/>
      <c r="K35" s="496"/>
      <c r="L35" s="497"/>
      <c r="M35" s="7"/>
      <c r="N35" s="71"/>
      <c r="O35" s="454"/>
      <c r="P35" s="846"/>
      <c r="Q35" s="846"/>
      <c r="R35" s="846"/>
      <c r="S35" s="846"/>
      <c r="T35" s="846"/>
      <c r="U35" s="498"/>
      <c r="Z35" s="494">
        <v>12</v>
      </c>
      <c r="AA35" s="494">
        <v>3.3</v>
      </c>
      <c r="AB35" s="494">
        <v>264</v>
      </c>
    </row>
    <row r="36" spans="2:28" ht="9" customHeight="1" hidden="1">
      <c r="B36" s="49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7"/>
      <c r="N36" s="71"/>
      <c r="O36" s="454"/>
      <c r="P36" s="846"/>
      <c r="Q36" s="846"/>
      <c r="R36" s="846"/>
      <c r="S36" s="846"/>
      <c r="T36" s="846"/>
      <c r="U36" s="498"/>
      <c r="Z36" s="494">
        <v>13</v>
      </c>
      <c r="AA36" s="494">
        <v>4.6</v>
      </c>
      <c r="AB36" s="494">
        <v>368</v>
      </c>
    </row>
    <row r="37" spans="2:28" ht="9" customHeight="1" hidden="1">
      <c r="B37" s="49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7"/>
      <c r="N37" s="71"/>
      <c r="O37" s="454"/>
      <c r="P37" s="846"/>
      <c r="Q37" s="846"/>
      <c r="R37" s="846"/>
      <c r="S37" s="846"/>
      <c r="T37" s="846"/>
      <c r="U37" s="498"/>
      <c r="Z37" s="494">
        <v>14</v>
      </c>
      <c r="AA37" s="494">
        <v>5.8999999999999995</v>
      </c>
      <c r="AB37" s="494">
        <v>472</v>
      </c>
    </row>
    <row r="38" spans="2:28" ht="9" customHeight="1" hidden="1">
      <c r="B38" s="49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7"/>
      <c r="N38" s="71"/>
      <c r="O38" s="454"/>
      <c r="P38" s="846"/>
      <c r="Q38" s="846"/>
      <c r="R38" s="846"/>
      <c r="S38" s="846"/>
      <c r="T38" s="846"/>
      <c r="U38" s="498"/>
      <c r="Z38" s="494">
        <v>15</v>
      </c>
      <c r="AA38" s="494">
        <v>7.2</v>
      </c>
      <c r="AB38" s="494">
        <v>576</v>
      </c>
    </row>
    <row r="39" spans="2:28" ht="9" customHeight="1" hidden="1">
      <c r="B39" s="49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7"/>
      <c r="N39" s="71"/>
      <c r="O39" s="454"/>
      <c r="P39" s="846"/>
      <c r="Q39" s="846"/>
      <c r="R39" s="846"/>
      <c r="S39" s="846"/>
      <c r="T39" s="846"/>
      <c r="U39" s="498"/>
      <c r="Z39" s="494">
        <v>16</v>
      </c>
      <c r="AA39" s="494">
        <v>8.5</v>
      </c>
      <c r="AB39" s="494">
        <v>680</v>
      </c>
    </row>
    <row r="40" spans="2:28" ht="9" customHeight="1" hidden="1">
      <c r="B40" s="499"/>
      <c r="C40" s="500"/>
      <c r="D40" s="500"/>
      <c r="E40" s="500"/>
      <c r="F40" s="500"/>
      <c r="G40" s="500"/>
      <c r="H40" s="500"/>
      <c r="I40" s="500"/>
      <c r="J40" s="500"/>
      <c r="K40" s="500"/>
      <c r="L40" s="21"/>
      <c r="M40" s="7"/>
      <c r="N40" s="71"/>
      <c r="O40" s="454"/>
      <c r="P40" s="846"/>
      <c r="Q40" s="846"/>
      <c r="R40" s="846"/>
      <c r="S40" s="846"/>
      <c r="T40" s="846"/>
      <c r="U40" s="498"/>
      <c r="Z40" s="494">
        <v>17</v>
      </c>
      <c r="AA40" s="494">
        <v>9.8</v>
      </c>
      <c r="AB40" s="494">
        <v>784</v>
      </c>
    </row>
    <row r="41" spans="2:28" ht="15">
      <c r="B41" s="490">
        <f>Klassen!F43&amp;Klassen!G43</f>
      </c>
      <c r="C41" s="483">
        <f>Klassen!H43+Klassen!I43</f>
        <v>0</v>
      </c>
      <c r="D41" s="483">
        <f>Klassen!J43+Klassen!K43</f>
        <v>0</v>
      </c>
      <c r="E41" s="486">
        <f>Klassen!L43+Klassen!M43</f>
        <v>0</v>
      </c>
      <c r="F41" s="491">
        <f>Klassen!N43+Klassen!O43</f>
        <v>0</v>
      </c>
      <c r="G41" s="484">
        <f>Klassen!P43+Klassen!Q43</f>
        <v>0</v>
      </c>
      <c r="H41" s="483">
        <f>Klassen!R43+Klassen!S43</f>
        <v>0</v>
      </c>
      <c r="I41" s="492">
        <f>Klassen!T43+Klassen!U43</f>
        <v>0</v>
      </c>
      <c r="J41" s="486">
        <f>Klassen!V43+Klassen!W43</f>
        <v>0</v>
      </c>
      <c r="K41" s="484">
        <f>Klassen!X43+Klassen!Y43</f>
        <v>0</v>
      </c>
      <c r="L41" s="407">
        <f>Klassen!Z43+Klassen!AA43</f>
        <v>0</v>
      </c>
      <c r="M41" s="7">
        <f>Klassen!C43</f>
        <v>0</v>
      </c>
      <c r="N41" s="71"/>
      <c r="O41" s="454">
        <f>IF(M41&gt;0,"in  "&amp;Klassen!AS43&amp;" Stufen ",)</f>
        <v>0</v>
      </c>
      <c r="P41" s="846"/>
      <c r="Q41" s="846"/>
      <c r="R41" s="846"/>
      <c r="S41" s="846"/>
      <c r="T41" s="846"/>
      <c r="U41" s="493">
        <f>IF(M41&gt;0,IF(Klassen!BH43&gt;0,"S"&amp;Klassen!AT43,Klassen!AT43),)</f>
        <v>0</v>
      </c>
      <c r="Z41" s="494">
        <v>18</v>
      </c>
      <c r="AA41" s="494">
        <v>11.100000000000001</v>
      </c>
      <c r="AB41" s="494">
        <v>888</v>
      </c>
    </row>
    <row r="42" spans="2:28" ht="15">
      <c r="B42" s="490">
        <f>Klassen!F44&amp;Klassen!G44</f>
      </c>
      <c r="C42" s="483">
        <f>Klassen!H44+Klassen!I44</f>
        <v>0</v>
      </c>
      <c r="D42" s="483">
        <f>Klassen!J44+Klassen!K44</f>
        <v>0</v>
      </c>
      <c r="E42" s="486">
        <f>Klassen!L44+Klassen!M44</f>
        <v>0</v>
      </c>
      <c r="F42" s="491">
        <f>Klassen!N44+Klassen!O44</f>
        <v>0</v>
      </c>
      <c r="G42" s="484">
        <f>Klassen!P44+Klassen!Q44</f>
        <v>0</v>
      </c>
      <c r="H42" s="483">
        <f>Klassen!R44+Klassen!S44</f>
        <v>0</v>
      </c>
      <c r="I42" s="492">
        <f>Klassen!T44+Klassen!U44</f>
        <v>0</v>
      </c>
      <c r="J42" s="486">
        <f>Klassen!V44+Klassen!W44</f>
        <v>0</v>
      </c>
      <c r="K42" s="484">
        <f>Klassen!X44+Klassen!Y44</f>
        <v>0</v>
      </c>
      <c r="L42" s="407">
        <f>Klassen!Z44+Klassen!AA44</f>
        <v>0</v>
      </c>
      <c r="M42" s="7">
        <f>Klassen!C44</f>
        <v>0</v>
      </c>
      <c r="N42" s="71"/>
      <c r="O42" s="454">
        <f>IF(M42&gt;0,"in  "&amp;Klassen!AS44&amp;" Stufen ",)</f>
        <v>0</v>
      </c>
      <c r="P42" s="9"/>
      <c r="Q42" s="9"/>
      <c r="R42" s="9"/>
      <c r="S42" s="9"/>
      <c r="T42" s="9"/>
      <c r="U42" s="493">
        <f>IF(M42&gt;0,IF(Klassen!BH44&gt;0,"S"&amp;Klassen!AT44,Klassen!AT44),)</f>
        <v>0</v>
      </c>
      <c r="Z42" s="494">
        <v>19</v>
      </c>
      <c r="AA42" s="494">
        <v>12.399999999999999</v>
      </c>
      <c r="AB42" s="494">
        <v>992</v>
      </c>
    </row>
    <row r="43" spans="2:28" ht="15">
      <c r="B43" s="490">
        <f>Klassen!F45&amp;Klassen!G45</f>
      </c>
      <c r="C43" s="483">
        <f>Klassen!H45+Klassen!I45</f>
        <v>0</v>
      </c>
      <c r="D43" s="483">
        <f>Klassen!J45+Klassen!K45</f>
        <v>0</v>
      </c>
      <c r="E43" s="486">
        <f>Klassen!L45+Klassen!M45</f>
        <v>0</v>
      </c>
      <c r="F43" s="491">
        <f>Klassen!N45+Klassen!O45</f>
        <v>0</v>
      </c>
      <c r="G43" s="484">
        <f>Klassen!P45+Klassen!Q45</f>
        <v>0</v>
      </c>
      <c r="H43" s="483">
        <f>Klassen!R45+Klassen!S45</f>
        <v>0</v>
      </c>
      <c r="I43" s="492">
        <f>Klassen!T45+Klassen!U45</f>
        <v>0</v>
      </c>
      <c r="J43" s="486">
        <f>Klassen!V45+Klassen!W45</f>
        <v>0</v>
      </c>
      <c r="K43" s="484">
        <f>Klassen!X45+Klassen!Y45</f>
        <v>0</v>
      </c>
      <c r="L43" s="407">
        <f>Klassen!Z45+Klassen!AA45</f>
        <v>0</v>
      </c>
      <c r="M43" s="7">
        <f>Klassen!C45</f>
        <v>0</v>
      </c>
      <c r="N43" s="71"/>
      <c r="O43" s="454">
        <f>IF(M43&gt;0,"in  "&amp;Klassen!AS45&amp;" Stufen ",)</f>
        <v>0</v>
      </c>
      <c r="P43" s="501"/>
      <c r="Q43" s="502" t="s">
        <v>129</v>
      </c>
      <c r="R43" s="502"/>
      <c r="S43" s="503"/>
      <c r="T43" s="503"/>
      <c r="U43" s="493">
        <f>IF(M43&gt;0,IF(Klassen!BH45&gt;0,"S"&amp;Klassen!AT45,Klassen!AT45),)</f>
        <v>0</v>
      </c>
      <c r="Z43" s="494">
        <v>20</v>
      </c>
      <c r="AA43" s="494">
        <v>13.7</v>
      </c>
      <c r="AB43" s="494">
        <v>1096</v>
      </c>
    </row>
    <row r="44" spans="2:28" ht="15" customHeight="1">
      <c r="B44" s="490">
        <f>Klassen!F46&amp;Klassen!G46</f>
      </c>
      <c r="C44" s="483">
        <f>Klassen!H46+Klassen!I46</f>
        <v>0</v>
      </c>
      <c r="D44" s="483">
        <f>Klassen!J46+Klassen!K46</f>
        <v>0</v>
      </c>
      <c r="E44" s="486">
        <f>Klassen!L46+Klassen!M46</f>
        <v>0</v>
      </c>
      <c r="F44" s="491">
        <f>Klassen!N46+Klassen!O46</f>
        <v>0</v>
      </c>
      <c r="G44" s="484">
        <f>Klassen!P46+Klassen!Q46</f>
        <v>0</v>
      </c>
      <c r="H44" s="483">
        <f>Klassen!R46+Klassen!S46</f>
        <v>0</v>
      </c>
      <c r="I44" s="492">
        <f>Klassen!T46+Klassen!U46</f>
        <v>0</v>
      </c>
      <c r="J44" s="486">
        <f>Klassen!V46+Klassen!W46</f>
        <v>0</v>
      </c>
      <c r="K44" s="484">
        <f>Klassen!X46+Klassen!Y46</f>
        <v>0</v>
      </c>
      <c r="L44" s="407">
        <f>Klassen!Z46+Klassen!AA46</f>
        <v>0</v>
      </c>
      <c r="M44" s="7">
        <f>Klassen!C46</f>
        <v>0</v>
      </c>
      <c r="N44" s="71"/>
      <c r="O44" s="454">
        <f>IF(M44&gt;0,"in  "&amp;Klassen!AS46&amp;" Stufen ",)</f>
        <v>0</v>
      </c>
      <c r="R44" s="852">
        <f ca="1">IF(S78&gt;0,TODAY(),)</f>
        <v>43958</v>
      </c>
      <c r="S44" s="852"/>
      <c r="T44" s="852"/>
      <c r="U44" s="493">
        <f>IF(M44&gt;0,IF(Klassen!BH46&gt;0,"S"&amp;Klassen!AT46,Klassen!AT46),)</f>
        <v>0</v>
      </c>
      <c r="Z44" s="494">
        <v>21</v>
      </c>
      <c r="AA44" s="494">
        <v>15</v>
      </c>
      <c r="AB44" s="494">
        <v>1200</v>
      </c>
    </row>
    <row r="45" spans="2:28" ht="15" customHeight="1">
      <c r="B45" s="504">
        <f>Klassen!F47&amp;Klassen!G47</f>
      </c>
      <c r="C45" s="483">
        <f>Klassen!H47+Klassen!I47</f>
        <v>0</v>
      </c>
      <c r="D45" s="483">
        <f>Klassen!J47+Klassen!K47</f>
        <v>0</v>
      </c>
      <c r="E45" s="486">
        <f>Klassen!L47+Klassen!M47</f>
        <v>0</v>
      </c>
      <c r="F45" s="491">
        <f>Klassen!N47+Klassen!O47</f>
        <v>0</v>
      </c>
      <c r="G45" s="484">
        <f>Klassen!P47+Klassen!Q47</f>
        <v>0</v>
      </c>
      <c r="H45" s="483">
        <f>Klassen!R47+Klassen!S47</f>
        <v>0</v>
      </c>
      <c r="I45" s="492">
        <f>Klassen!T47+Klassen!U47</f>
        <v>0</v>
      </c>
      <c r="J45" s="486">
        <f>Klassen!V47+Klassen!W47</f>
        <v>0</v>
      </c>
      <c r="K45" s="484">
        <f>Klassen!X47+Klassen!Y47</f>
        <v>0</v>
      </c>
      <c r="L45" s="505">
        <f>Klassen!Z47+Klassen!AA47</f>
        <v>0</v>
      </c>
      <c r="M45" s="7">
        <f>Klassen!C47</f>
        <v>0</v>
      </c>
      <c r="N45" s="71"/>
      <c r="O45" s="454">
        <f>IF(M45&gt;0,"in  "&amp;Klassen!AS47&amp;" Stufen ",)</f>
        <v>0</v>
      </c>
      <c r="R45" s="853"/>
      <c r="S45" s="853"/>
      <c r="T45" s="853"/>
      <c r="U45" s="493">
        <f>IF(M45&gt;0,IF(Klassen!BH47&gt;0,"S"&amp;Klassen!AT47,Klassen!AT47),)</f>
        <v>0</v>
      </c>
      <c r="Z45" s="494">
        <v>22</v>
      </c>
      <c r="AA45" s="494">
        <v>15.7</v>
      </c>
      <c r="AB45" s="494">
        <v>1256</v>
      </c>
    </row>
    <row r="46" spans="18:29" s="12" customFormat="1" ht="16.5">
      <c r="R46" s="344"/>
      <c r="S46" s="344" t="s">
        <v>6</v>
      </c>
      <c r="T46" s="573"/>
      <c r="U46" s="574">
        <f>IF(U47&lt;=7,W48,X47)</f>
        <v>0</v>
      </c>
      <c r="Y46" s="575">
        <f>IF(Y47&gt;0," +"&amp;Y47&amp;" STB","")</f>
      </c>
      <c r="Z46" s="494">
        <v>23</v>
      </c>
      <c r="AA46" s="494">
        <v>16.4</v>
      </c>
      <c r="AB46" s="494">
        <v>1312</v>
      </c>
      <c r="AC46" s="506"/>
    </row>
    <row r="47" spans="1:29" s="339" customFormat="1" ht="17.25" thickBot="1">
      <c r="A47" s="12"/>
      <c r="B47" s="345" t="s">
        <v>130</v>
      </c>
      <c r="C47" s="346">
        <f>SUM(C19,C12,C8)</f>
        <v>0</v>
      </c>
      <c r="D47" s="347">
        <f>SUM(D19,D12,D8)</f>
        <v>0</v>
      </c>
      <c r="E47" s="347">
        <f>SUM(E19,E12,E8)</f>
        <v>0</v>
      </c>
      <c r="F47" s="347">
        <f>SUM(F19,F12,F8)</f>
        <v>0</v>
      </c>
      <c r="G47" s="346">
        <f aca="true" t="shared" si="1" ref="G47:L47">SUM(G19,G12,G8)</f>
        <v>0</v>
      </c>
      <c r="H47" s="347">
        <f t="shared" si="1"/>
        <v>0</v>
      </c>
      <c r="I47" s="347">
        <f t="shared" si="1"/>
        <v>0</v>
      </c>
      <c r="J47" s="347">
        <f t="shared" si="1"/>
        <v>0</v>
      </c>
      <c r="K47" s="346">
        <f t="shared" si="1"/>
        <v>0</v>
      </c>
      <c r="L47" s="347">
        <f t="shared" si="1"/>
        <v>0</v>
      </c>
      <c r="M47" s="348">
        <f>SUM(C47:L47)</f>
        <v>0</v>
      </c>
      <c r="T47" s="351">
        <f>IF(U49&gt;0,"für LeitZul:  "&amp;IF(J48="X","..+",)&amp;U49&amp;" Kl "&amp;Y46,)</f>
        <v>0</v>
      </c>
      <c r="U47" s="576">
        <f>U49+X47</f>
        <v>0</v>
      </c>
      <c r="V47"/>
      <c r="W47" s="577">
        <f>GTS!AJ26</f>
        <v>0</v>
      </c>
      <c r="X47" s="577">
        <f>GTS!AK26</f>
        <v>0</v>
      </c>
      <c r="Y47" s="577">
        <f>GTS!AL26</f>
        <v>0</v>
      </c>
      <c r="Z47" s="494">
        <v>24</v>
      </c>
      <c r="AA47" s="494">
        <v>17.099999999999998</v>
      </c>
      <c r="AB47" s="494">
        <v>1368</v>
      </c>
      <c r="AC47" s="506"/>
    </row>
    <row r="48" spans="4:29" ht="17.25" thickBot="1" thickTop="1">
      <c r="D48" s="273" t="s">
        <v>47</v>
      </c>
      <c r="E48" s="847">
        <f>Klassen!AF14</f>
        <v>0</v>
      </c>
      <c r="F48" s="848"/>
      <c r="G48" s="274" t="s">
        <v>80</v>
      </c>
      <c r="J48" s="349">
        <f>IF(OR(ISNUMBER(SEARCH("Bregenz",A1)),ISNUMBER(SEARCH("Weidach",A1)),ISNUMBER(SEARCH("Lauterach",A1)),ISNUMBER(SEARCH("Unterfeld",A1)),ISNUMBER(SEARCH("Langenegg",A1)),ISNUMBER(SEARCH("Kleinwalsertal",A1)),ISNUMBER(SEARCH("Riezlern",A1)),ISNUMBER(SEARCH("Hohenems",A1)),ISNUMBER(SEARCH("Schwefel",A1))),"X",)</f>
        <v>0</v>
      </c>
      <c r="K48" s="350">
        <f>IF(J48&gt;0," ... die Sonderschul-Klassen werden nicht als selbständige Schule geführt",)</f>
        <v>0</v>
      </c>
      <c r="U48">
        <f>20-2-(U49*1.5)-U46</f>
        <v>18</v>
      </c>
      <c r="W48" s="577">
        <f>ROUNDDOWN(W47,0)*0.75</f>
        <v>0</v>
      </c>
      <c r="Y48" s="507">
        <f>IF(OR(ISNUMBER(SEARCH("Langenegg",A1)),ISNUMBER(SEARCH("Lauterach",A1)),ISNUMBER(SEARCH("Weidach",A1))),"X",)</f>
        <v>0</v>
      </c>
      <c r="Z48" s="508" t="s">
        <v>164</v>
      </c>
      <c r="AA48" s="508" t="s">
        <v>165</v>
      </c>
      <c r="AB48" s="508" t="s">
        <v>166</v>
      </c>
      <c r="AC48" s="508" t="s">
        <v>384</v>
      </c>
    </row>
    <row r="49" spans="1:29" ht="15.75" thickTop="1">
      <c r="A49" s="26"/>
      <c r="B49" s="26"/>
      <c r="C49" s="26"/>
      <c r="D49" s="26"/>
      <c r="E49" s="26"/>
      <c r="F49" s="26"/>
      <c r="G49" s="26"/>
      <c r="H49" s="26"/>
      <c r="I49" s="26"/>
      <c r="K49" s="26"/>
      <c r="L49" s="26"/>
      <c r="N49" s="351">
        <f>IF(U49&gt;0,IF(J48&lt;&gt;0,"Leiter-LV:  zusätzliche Einrechnung von "&amp;(U49*1.5)+U46&amp;" +1,5",IF(U47&gt;7,IF(U47&lt;12,"Leiter freigestellt,  SV = "&amp;U48,"Leiter-LV:   freigestellt"),"Leiter-LV =  "&amp;U48)),)</f>
        <v>0</v>
      </c>
      <c r="Q49" s="26"/>
      <c r="R49" s="26"/>
      <c r="S49" s="905">
        <f>IF(T49=0,,"Für Admin. Entlastu.:")</f>
        <v>0</v>
      </c>
      <c r="T49" s="782">
        <f>AB49</f>
        <v>0</v>
      </c>
      <c r="U49" s="509">
        <f>IF(A78&lt;U12,A78,U12)</f>
        <v>0</v>
      </c>
      <c r="V49" s="7"/>
      <c r="W49" s="7"/>
      <c r="X49" s="7"/>
      <c r="Y49" s="507">
        <f>IF(OR(ISNUMBER(SEARCH("Langenegg",A2)),ISNUMBER(SEARCH("Lauterach",A2)),ISNUMBER(SEARCH("Schwefel",A2)),ISNUMBER(SEARCH("Hohenems",A2)),ISNUMBER(SEARCH("Weidach",A2))),"X",)</f>
        <v>0</v>
      </c>
      <c r="Z49" s="511">
        <f>IF(OR(Y48="X",Y49="X"),,U49)</f>
        <v>0</v>
      </c>
      <c r="AA49" s="511">
        <f>LOOKUP(Z49,Z23:Z47,AA23:AA47)</f>
        <v>0</v>
      </c>
      <c r="AB49" s="511">
        <f>LOOKUP(Z49,Z23:Z47,AB23:AB47)</f>
        <v>0</v>
      </c>
      <c r="AC49" s="511">
        <f>IF(OR(ISNUMBER(SEARCH("koop",A1)),ISNUMBER(SEARCH("Jagdberg",A1)),ISNUMBER(SEARCH("Sozialpädagogische Schule",A1)),ISNUMBER(SEARCH("hör",A1))),"pri",)</f>
        <v>0</v>
      </c>
    </row>
    <row r="50" spans="1:20" s="2" customFormat="1" ht="27">
      <c r="A50" s="321" t="s">
        <v>149</v>
      </c>
      <c r="B50" s="512"/>
      <c r="C50" s="321"/>
      <c r="D50" s="321"/>
      <c r="E50" s="321"/>
      <c r="F50" s="321"/>
      <c r="G50" s="321"/>
      <c r="H50" s="15"/>
      <c r="I50" s="14" t="s">
        <v>148</v>
      </c>
      <c r="L50" s="14"/>
      <c r="M50" s="14"/>
      <c r="N50" s="14"/>
      <c r="O50" s="14"/>
      <c r="P50" s="14"/>
      <c r="Q50" s="14"/>
      <c r="T50" s="906">
        <f>IF(T49=0,," = "&amp;AA49&amp;" Verw.")</f>
        <v>0</v>
      </c>
    </row>
    <row r="51" spans="3:20" s="2" customFormat="1" ht="15">
      <c r="C51" s="825" t="s">
        <v>2</v>
      </c>
      <c r="D51" s="826"/>
      <c r="E51" s="826"/>
      <c r="F51" s="826"/>
      <c r="G51" s="827"/>
      <c r="I51" s="32"/>
      <c r="J51" s="831" t="s">
        <v>10</v>
      </c>
      <c r="K51" s="832"/>
      <c r="L51" s="831" t="s">
        <v>11</v>
      </c>
      <c r="M51" s="832"/>
      <c r="N51" s="817" t="s">
        <v>287</v>
      </c>
      <c r="O51" s="818"/>
      <c r="T51" s="408" t="s">
        <v>255</v>
      </c>
    </row>
    <row r="52" spans="3:26" s="11" customFormat="1" ht="15.75">
      <c r="C52" s="828"/>
      <c r="D52" s="829"/>
      <c r="E52" s="829"/>
      <c r="F52" s="829"/>
      <c r="G52" s="830"/>
      <c r="I52" s="33"/>
      <c r="J52" s="833"/>
      <c r="K52" s="823"/>
      <c r="L52" s="833"/>
      <c r="M52" s="823"/>
      <c r="N52" s="819"/>
      <c r="O52" s="820"/>
      <c r="P52" s="2"/>
      <c r="Q52" s="2"/>
      <c r="R52" s="2"/>
      <c r="S52" s="840"/>
      <c r="T52" s="840"/>
      <c r="U52"/>
      <c r="V52"/>
      <c r="W52" s="531" t="s">
        <v>51</v>
      </c>
      <c r="X52" s="531" t="s">
        <v>53</v>
      </c>
      <c r="Y52" s="531" t="s">
        <v>52</v>
      </c>
      <c r="Z52" s="2"/>
    </row>
    <row r="53" spans="1:29" s="24" customFormat="1" ht="71.25" customHeight="1">
      <c r="A53" s="29" t="s">
        <v>7</v>
      </c>
      <c r="B53" s="25"/>
      <c r="C53" s="27" t="s">
        <v>3</v>
      </c>
      <c r="D53" s="27" t="s">
        <v>4</v>
      </c>
      <c r="E53" s="29" t="s">
        <v>5</v>
      </c>
      <c r="F53" s="821" t="s">
        <v>254</v>
      </c>
      <c r="G53" s="822"/>
      <c r="H53" s="23" t="s">
        <v>9</v>
      </c>
      <c r="I53" s="35" t="s">
        <v>28</v>
      </c>
      <c r="J53" s="27" t="s">
        <v>12</v>
      </c>
      <c r="K53" s="34" t="s">
        <v>13</v>
      </c>
      <c r="L53" s="27" t="s">
        <v>12</v>
      </c>
      <c r="M53" s="34" t="s">
        <v>13</v>
      </c>
      <c r="N53" s="819"/>
      <c r="O53" s="820"/>
      <c r="P53" s="2"/>
      <c r="Q53" s="2"/>
      <c r="R53" s="2"/>
      <c r="S53" s="2"/>
      <c r="T53" s="2"/>
      <c r="Y53" s="352" t="s">
        <v>23</v>
      </c>
      <c r="Z53" s="323" t="s">
        <v>24</v>
      </c>
      <c r="AA53" s="323" t="s">
        <v>25</v>
      </c>
      <c r="AB53" s="323" t="s">
        <v>26</v>
      </c>
      <c r="AC53" s="323" t="s">
        <v>27</v>
      </c>
    </row>
    <row r="54" spans="1:29" s="10" customFormat="1" ht="5.25" customHeight="1">
      <c r="A54" s="30"/>
      <c r="B54" s="31"/>
      <c r="C54" s="28"/>
      <c r="D54" s="28"/>
      <c r="E54" s="30"/>
      <c r="F54" s="31"/>
      <c r="G54" s="31"/>
      <c r="I54" s="28"/>
      <c r="J54" s="28"/>
      <c r="K54" s="28"/>
      <c r="L54" s="28"/>
      <c r="M54" s="28"/>
      <c r="N54" s="30"/>
      <c r="P54" s="2"/>
      <c r="Q54" s="2"/>
      <c r="R54" s="2"/>
      <c r="S54" s="2"/>
      <c r="T54" s="2"/>
      <c r="Z54" s="353">
        <v>0</v>
      </c>
      <c r="AA54" s="354">
        <v>0</v>
      </c>
      <c r="AB54" s="354">
        <v>0</v>
      </c>
      <c r="AC54" s="354">
        <v>0</v>
      </c>
    </row>
    <row r="55" spans="1:29" s="10" customFormat="1" ht="5.25" customHeight="1">
      <c r="A55" s="513"/>
      <c r="B55" s="513"/>
      <c r="C55" s="513"/>
      <c r="D55" s="513"/>
      <c r="E55" s="513"/>
      <c r="F55" s="513"/>
      <c r="G55" s="513"/>
      <c r="I55" s="513"/>
      <c r="J55" s="513"/>
      <c r="K55" s="513"/>
      <c r="L55" s="513"/>
      <c r="M55" s="513"/>
      <c r="N55" s="513"/>
      <c r="P55" s="2"/>
      <c r="Q55" s="2"/>
      <c r="R55" s="2"/>
      <c r="S55" s="2"/>
      <c r="T55" s="2"/>
      <c r="Z55" s="353">
        <v>1</v>
      </c>
      <c r="AA55" s="354">
        <v>1</v>
      </c>
      <c r="AB55" s="354">
        <v>0</v>
      </c>
      <c r="AC55" s="354">
        <v>20</v>
      </c>
    </row>
    <row r="56" spans="1:29" s="2" customFormat="1" ht="16.5">
      <c r="A56" s="514">
        <f>B20</f>
      </c>
      <c r="B56" s="539"/>
      <c r="C56" s="516">
        <f>Klassen!A29</f>
        <v>0</v>
      </c>
      <c r="D56" s="356">
        <f>Klassen!B29</f>
        <v>0</v>
      </c>
      <c r="E56" s="823">
        <f>M20</f>
        <v>0</v>
      </c>
      <c r="F56" s="824"/>
      <c r="G56" s="481">
        <f>Klassen!AI29</f>
        <v>0</v>
      </c>
      <c r="H56" s="40">
        <f>U20</f>
        <v>0</v>
      </c>
      <c r="I56" s="358">
        <f>IF(E56&gt;0,2,)</f>
        <v>0</v>
      </c>
      <c r="J56" s="357">
        <f>V56</f>
        <v>0</v>
      </c>
      <c r="K56" s="44">
        <f>IF(AND(E56&gt;0,E56&lt;3,V56&gt;0),-V56,IF(AND(E56&gt;=10,V56&gt;0,RIGHT(H56,1)&lt;"6"),V56,))</f>
        <v>0</v>
      </c>
      <c r="L56" s="357">
        <f>W56</f>
        <v>0</v>
      </c>
      <c r="M56" s="44">
        <f>IF(AND(E56&gt;0,E56&lt;3,W56&gt;0),-W56,IF(AND(E56&gt;=10,W56&gt;0),W56,))</f>
        <v>0</v>
      </c>
      <c r="N56" s="529">
        <f>X56</f>
        <v>0</v>
      </c>
      <c r="U56" s="26"/>
      <c r="V56" s="16">
        <f aca="true" t="shared" si="2" ref="V56:X71">LOOKUP($H56,$Z$54:$Z$76,AA$54:AA$76)</f>
        <v>0</v>
      </c>
      <c r="W56" s="16">
        <f t="shared" si="2"/>
        <v>0</v>
      </c>
      <c r="X56" s="16">
        <f t="shared" si="2"/>
        <v>0</v>
      </c>
      <c r="Z56" s="353">
        <v>2</v>
      </c>
      <c r="AA56" s="354">
        <v>1</v>
      </c>
      <c r="AB56" s="354">
        <v>0</v>
      </c>
      <c r="AC56" s="354">
        <v>20</v>
      </c>
    </row>
    <row r="57" spans="1:29" s="2" customFormat="1" ht="16.5">
      <c r="A57" s="514">
        <f aca="true" t="shared" si="3" ref="A57:A67">B21</f>
      </c>
      <c r="B57" s="539"/>
      <c r="C57" s="516">
        <f>Klassen!A30</f>
        <v>0</v>
      </c>
      <c r="D57" s="356">
        <f>Klassen!B30</f>
        <v>0</v>
      </c>
      <c r="E57" s="823">
        <f aca="true" t="shared" si="4" ref="E57:E66">M21</f>
        <v>0</v>
      </c>
      <c r="F57" s="824"/>
      <c r="G57" s="481">
        <f>Klassen!AI30</f>
        <v>0</v>
      </c>
      <c r="H57" s="40">
        <f aca="true" t="shared" si="5" ref="H57:H66">U21</f>
        <v>0</v>
      </c>
      <c r="I57" s="358">
        <f aca="true" t="shared" si="6" ref="I57:I72">IF(E57&gt;0,2,)</f>
        <v>0</v>
      </c>
      <c r="J57" s="357">
        <f aca="true" t="shared" si="7" ref="J57:J72">V57</f>
        <v>0</v>
      </c>
      <c r="K57" s="44">
        <f aca="true" t="shared" si="8" ref="K57:K72">IF(AND(E57&gt;0,E57&lt;3,V57&gt;0),-V57,IF(AND(E57&gt;=10,V57&gt;0,RIGHT(H57,1)&lt;"6"),V57,))</f>
        <v>0</v>
      </c>
      <c r="L57" s="357">
        <f aca="true" t="shared" si="9" ref="L57:L72">W57</f>
        <v>0</v>
      </c>
      <c r="M57" s="44">
        <f aca="true" t="shared" si="10" ref="M57:M72">IF(AND(E57&gt;0,E57&lt;3,W57&gt;0),-W57,IF(AND(E57&gt;=10,W57&gt;0),W57,))</f>
        <v>0</v>
      </c>
      <c r="N57" s="527">
        <f aca="true" t="shared" si="11" ref="N57:N72">X57</f>
        <v>0</v>
      </c>
      <c r="U57" s="26"/>
      <c r="V57" s="16">
        <f t="shared" si="2"/>
        <v>0</v>
      </c>
      <c r="W57" s="16">
        <f t="shared" si="2"/>
        <v>0</v>
      </c>
      <c r="X57" s="16">
        <f t="shared" si="2"/>
        <v>0</v>
      </c>
      <c r="Z57" s="353">
        <v>3</v>
      </c>
      <c r="AA57" s="354">
        <v>1</v>
      </c>
      <c r="AB57" s="354">
        <v>0</v>
      </c>
      <c r="AC57" s="354">
        <v>21</v>
      </c>
    </row>
    <row r="58" spans="1:29" ht="16.5">
      <c r="A58" s="514">
        <f t="shared" si="3"/>
      </c>
      <c r="B58" s="539"/>
      <c r="C58" s="516">
        <f>Klassen!A31</f>
        <v>0</v>
      </c>
      <c r="D58" s="356">
        <f>Klassen!B31</f>
        <v>0</v>
      </c>
      <c r="E58" s="823">
        <f t="shared" si="4"/>
        <v>0</v>
      </c>
      <c r="F58" s="824"/>
      <c r="G58" s="481">
        <f>Klassen!AI31</f>
        <v>0</v>
      </c>
      <c r="H58" s="40">
        <f t="shared" si="5"/>
        <v>0</v>
      </c>
      <c r="I58" s="358">
        <f t="shared" si="6"/>
        <v>0</v>
      </c>
      <c r="J58" s="357">
        <f t="shared" si="7"/>
        <v>0</v>
      </c>
      <c r="K58" s="44">
        <f t="shared" si="8"/>
        <v>0</v>
      </c>
      <c r="L58" s="357">
        <f t="shared" si="9"/>
        <v>0</v>
      </c>
      <c r="M58" s="44">
        <f t="shared" si="10"/>
        <v>0</v>
      </c>
      <c r="N58" s="527">
        <f t="shared" si="11"/>
        <v>0</v>
      </c>
      <c r="O58" s="2"/>
      <c r="P58" s="2"/>
      <c r="Q58" s="2"/>
      <c r="R58" s="2"/>
      <c r="S58" s="2"/>
      <c r="T58" s="2"/>
      <c r="U58" s="26"/>
      <c r="V58" s="16">
        <f t="shared" si="2"/>
        <v>0</v>
      </c>
      <c r="W58" s="16">
        <f t="shared" si="2"/>
        <v>0</v>
      </c>
      <c r="X58" s="16">
        <f t="shared" si="2"/>
        <v>0</v>
      </c>
      <c r="Z58" s="353">
        <v>4</v>
      </c>
      <c r="AA58" s="354">
        <v>1</v>
      </c>
      <c r="AB58" s="354">
        <v>0</v>
      </c>
      <c r="AC58" s="354">
        <v>21</v>
      </c>
    </row>
    <row r="59" spans="1:29" ht="16.5">
      <c r="A59" s="514">
        <f t="shared" si="3"/>
      </c>
      <c r="B59" s="539"/>
      <c r="C59" s="516">
        <f>Klassen!A32</f>
        <v>0</v>
      </c>
      <c r="D59" s="356">
        <f>Klassen!B32</f>
        <v>0</v>
      </c>
      <c r="E59" s="823">
        <f t="shared" si="4"/>
        <v>0</v>
      </c>
      <c r="F59" s="824"/>
      <c r="G59" s="481">
        <f>Klassen!AI32</f>
        <v>0</v>
      </c>
      <c r="H59" s="40">
        <f t="shared" si="5"/>
        <v>0</v>
      </c>
      <c r="I59" s="358">
        <f t="shared" si="6"/>
        <v>0</v>
      </c>
      <c r="J59" s="357">
        <f t="shared" si="7"/>
        <v>0</v>
      </c>
      <c r="K59" s="44">
        <f t="shared" si="8"/>
        <v>0</v>
      </c>
      <c r="L59" s="357">
        <f t="shared" si="9"/>
        <v>0</v>
      </c>
      <c r="M59" s="44">
        <f t="shared" si="10"/>
        <v>0</v>
      </c>
      <c r="N59" s="527">
        <f t="shared" si="11"/>
        <v>0</v>
      </c>
      <c r="O59" s="2"/>
      <c r="P59" s="2"/>
      <c r="Q59" s="2"/>
      <c r="R59" s="2"/>
      <c r="S59" s="2"/>
      <c r="T59" s="2"/>
      <c r="U59" s="26"/>
      <c r="V59" s="16">
        <f t="shared" si="2"/>
        <v>0</v>
      </c>
      <c r="W59" s="16">
        <f t="shared" si="2"/>
        <v>0</v>
      </c>
      <c r="X59" s="16">
        <f t="shared" si="2"/>
        <v>0</v>
      </c>
      <c r="Z59" s="353">
        <v>5</v>
      </c>
      <c r="AA59" s="354">
        <v>3</v>
      </c>
      <c r="AB59" s="354">
        <v>1.5</v>
      </c>
      <c r="AC59" s="354">
        <v>22</v>
      </c>
    </row>
    <row r="60" spans="1:29" ht="16.5">
      <c r="A60" s="514">
        <f t="shared" si="3"/>
      </c>
      <c r="B60" s="539"/>
      <c r="C60" s="516">
        <f>Klassen!A33</f>
        <v>0</v>
      </c>
      <c r="D60" s="356">
        <f>Klassen!B33</f>
        <v>0</v>
      </c>
      <c r="E60" s="823">
        <f t="shared" si="4"/>
        <v>0</v>
      </c>
      <c r="F60" s="824"/>
      <c r="G60" s="481">
        <f>Klassen!AI33</f>
        <v>0</v>
      </c>
      <c r="H60" s="40">
        <f t="shared" si="5"/>
        <v>0</v>
      </c>
      <c r="I60" s="358">
        <f t="shared" si="6"/>
        <v>0</v>
      </c>
      <c r="J60" s="357">
        <f t="shared" si="7"/>
        <v>0</v>
      </c>
      <c r="K60" s="44">
        <f t="shared" si="8"/>
        <v>0</v>
      </c>
      <c r="L60" s="357">
        <f t="shared" si="9"/>
        <v>0</v>
      </c>
      <c r="M60" s="44">
        <f t="shared" si="10"/>
        <v>0</v>
      </c>
      <c r="N60" s="527">
        <f t="shared" si="11"/>
        <v>0</v>
      </c>
      <c r="O60" s="2"/>
      <c r="P60" s="2"/>
      <c r="Q60" s="2"/>
      <c r="R60" s="2"/>
      <c r="S60" s="2"/>
      <c r="T60" s="2"/>
      <c r="U60" s="26"/>
      <c r="V60" s="16">
        <f t="shared" si="2"/>
        <v>0</v>
      </c>
      <c r="W60" s="16">
        <f t="shared" si="2"/>
        <v>0</v>
      </c>
      <c r="X60" s="16">
        <f t="shared" si="2"/>
        <v>0</v>
      </c>
      <c r="Z60" s="353">
        <v>6</v>
      </c>
      <c r="AA60" s="354">
        <v>3</v>
      </c>
      <c r="AB60" s="354">
        <v>1.5</v>
      </c>
      <c r="AC60" s="354">
        <v>26</v>
      </c>
    </row>
    <row r="61" spans="1:29" ht="16.5" hidden="1">
      <c r="A61" s="514">
        <f t="shared" si="3"/>
      </c>
      <c r="B61" s="539"/>
      <c r="C61" s="516">
        <f>Klassen!A34</f>
        <v>0</v>
      </c>
      <c r="D61" s="356">
        <f>Klassen!B34</f>
        <v>0</v>
      </c>
      <c r="E61" s="823">
        <f t="shared" si="4"/>
        <v>0</v>
      </c>
      <c r="F61" s="824"/>
      <c r="G61" s="481">
        <f>Klassen!AI34</f>
        <v>0</v>
      </c>
      <c r="H61" s="40">
        <f t="shared" si="5"/>
        <v>0</v>
      </c>
      <c r="I61" s="358">
        <f t="shared" si="6"/>
        <v>0</v>
      </c>
      <c r="J61" s="357">
        <f t="shared" si="7"/>
        <v>0</v>
      </c>
      <c r="K61" s="44">
        <f t="shared" si="8"/>
        <v>0</v>
      </c>
      <c r="L61" s="357">
        <f t="shared" si="9"/>
        <v>0</v>
      </c>
      <c r="M61" s="44">
        <f t="shared" si="10"/>
        <v>0</v>
      </c>
      <c r="N61" s="527">
        <f t="shared" si="11"/>
        <v>0</v>
      </c>
      <c r="O61" s="2"/>
      <c r="P61" s="2"/>
      <c r="Q61" s="2"/>
      <c r="R61" s="2"/>
      <c r="S61" s="2"/>
      <c r="T61" s="2"/>
      <c r="U61" s="26"/>
      <c r="V61" s="16">
        <f t="shared" si="2"/>
        <v>0</v>
      </c>
      <c r="W61" s="16">
        <f t="shared" si="2"/>
        <v>0</v>
      </c>
      <c r="X61" s="16">
        <f t="shared" si="2"/>
        <v>0</v>
      </c>
      <c r="Z61" s="353">
        <v>7</v>
      </c>
      <c r="AA61" s="354">
        <v>3</v>
      </c>
      <c r="AB61" s="354">
        <v>1.5</v>
      </c>
      <c r="AC61" s="354">
        <v>26</v>
      </c>
    </row>
    <row r="62" spans="1:29" ht="16.5" hidden="1">
      <c r="A62" s="514">
        <f t="shared" si="3"/>
      </c>
      <c r="B62" s="539"/>
      <c r="C62" s="516">
        <f>Klassen!A35</f>
        <v>0</v>
      </c>
      <c r="D62" s="356">
        <f>Klassen!B35</f>
        <v>0</v>
      </c>
      <c r="E62" s="823">
        <f t="shared" si="4"/>
        <v>0</v>
      </c>
      <c r="F62" s="824"/>
      <c r="G62" s="481">
        <f>Klassen!AI35</f>
        <v>0</v>
      </c>
      <c r="H62" s="40">
        <f t="shared" si="5"/>
        <v>0</v>
      </c>
      <c r="I62" s="358">
        <f t="shared" si="6"/>
        <v>0</v>
      </c>
      <c r="J62" s="357">
        <f t="shared" si="7"/>
        <v>0</v>
      </c>
      <c r="K62" s="44">
        <f t="shared" si="8"/>
        <v>0</v>
      </c>
      <c r="L62" s="357">
        <f t="shared" si="9"/>
        <v>0</v>
      </c>
      <c r="M62" s="44">
        <f t="shared" si="10"/>
        <v>0</v>
      </c>
      <c r="N62" s="527">
        <f t="shared" si="11"/>
        <v>0</v>
      </c>
      <c r="O62" s="2"/>
      <c r="P62" s="2"/>
      <c r="Q62" s="2"/>
      <c r="R62" s="2"/>
      <c r="S62" s="2"/>
      <c r="T62" s="2"/>
      <c r="U62" s="26"/>
      <c r="V62" s="16">
        <f t="shared" si="2"/>
        <v>0</v>
      </c>
      <c r="W62" s="16">
        <f t="shared" si="2"/>
        <v>0</v>
      </c>
      <c r="X62" s="16">
        <f t="shared" si="2"/>
        <v>0</v>
      </c>
      <c r="Z62" s="353">
        <v>8</v>
      </c>
      <c r="AA62" s="354">
        <v>3</v>
      </c>
      <c r="AB62" s="354">
        <v>1.5</v>
      </c>
      <c r="AC62" s="354">
        <v>27</v>
      </c>
    </row>
    <row r="63" spans="1:29" ht="16.5" hidden="1">
      <c r="A63" s="514">
        <f t="shared" si="3"/>
      </c>
      <c r="B63" s="539"/>
      <c r="C63" s="516">
        <f>Klassen!A36</f>
        <v>0</v>
      </c>
      <c r="D63" s="356">
        <f>Klassen!B36</f>
        <v>0</v>
      </c>
      <c r="E63" s="823">
        <f t="shared" si="4"/>
        <v>0</v>
      </c>
      <c r="F63" s="824"/>
      <c r="G63" s="481">
        <f>Klassen!AI36</f>
        <v>0</v>
      </c>
      <c r="H63" s="40">
        <f t="shared" si="5"/>
        <v>0</v>
      </c>
      <c r="I63" s="358">
        <f t="shared" si="6"/>
        <v>0</v>
      </c>
      <c r="J63" s="357">
        <f t="shared" si="7"/>
        <v>0</v>
      </c>
      <c r="K63" s="44">
        <f t="shared" si="8"/>
        <v>0</v>
      </c>
      <c r="L63" s="357">
        <f t="shared" si="9"/>
        <v>0</v>
      </c>
      <c r="M63" s="44">
        <f t="shared" si="10"/>
        <v>0</v>
      </c>
      <c r="N63" s="527">
        <f t="shared" si="11"/>
        <v>0</v>
      </c>
      <c r="O63" s="2"/>
      <c r="P63" s="2"/>
      <c r="Q63" s="2"/>
      <c r="R63" s="2"/>
      <c r="S63" s="2"/>
      <c r="T63" s="2"/>
      <c r="U63" s="26"/>
      <c r="V63" s="16">
        <f t="shared" si="2"/>
        <v>0</v>
      </c>
      <c r="W63" s="16">
        <f t="shared" si="2"/>
        <v>0</v>
      </c>
      <c r="X63" s="16">
        <f t="shared" si="2"/>
        <v>0</v>
      </c>
      <c r="Z63" s="353">
        <v>9</v>
      </c>
      <c r="AA63" s="354">
        <v>3</v>
      </c>
      <c r="AB63" s="354">
        <v>1.5</v>
      </c>
      <c r="AC63" s="354">
        <v>27</v>
      </c>
    </row>
    <row r="64" spans="1:29" ht="16.5" hidden="1">
      <c r="A64" s="514">
        <f t="shared" si="3"/>
      </c>
      <c r="B64" s="539"/>
      <c r="C64" s="516">
        <f>Klassen!A37</f>
        <v>0</v>
      </c>
      <c r="D64" s="356">
        <f>Klassen!B37</f>
        <v>0</v>
      </c>
      <c r="E64" s="823">
        <f t="shared" si="4"/>
        <v>0</v>
      </c>
      <c r="F64" s="824"/>
      <c r="G64" s="481">
        <f>Klassen!AI37</f>
        <v>0</v>
      </c>
      <c r="H64" s="40">
        <f t="shared" si="5"/>
        <v>0</v>
      </c>
      <c r="I64" s="358">
        <f t="shared" si="6"/>
        <v>0</v>
      </c>
      <c r="J64" s="357">
        <f t="shared" si="7"/>
        <v>0</v>
      </c>
      <c r="K64" s="44">
        <f t="shared" si="8"/>
        <v>0</v>
      </c>
      <c r="L64" s="357">
        <f t="shared" si="9"/>
        <v>0</v>
      </c>
      <c r="M64" s="44">
        <f t="shared" si="10"/>
        <v>0</v>
      </c>
      <c r="N64" s="527">
        <f t="shared" si="11"/>
        <v>0</v>
      </c>
      <c r="O64" s="2"/>
      <c r="P64" s="2"/>
      <c r="Q64" s="2"/>
      <c r="R64" s="2"/>
      <c r="S64" s="2"/>
      <c r="T64" s="2"/>
      <c r="U64" s="26"/>
      <c r="V64" s="16">
        <f t="shared" si="2"/>
        <v>0</v>
      </c>
      <c r="W64" s="16">
        <f t="shared" si="2"/>
        <v>0</v>
      </c>
      <c r="X64" s="16">
        <f t="shared" si="2"/>
        <v>0</v>
      </c>
      <c r="Z64" s="353" t="s">
        <v>84</v>
      </c>
      <c r="AA64" s="354" t="s">
        <v>85</v>
      </c>
      <c r="AB64" s="354">
        <v>2</v>
      </c>
      <c r="AC64" s="354">
        <v>25</v>
      </c>
    </row>
    <row r="65" spans="1:29" ht="16.5" hidden="1">
      <c r="A65" s="514">
        <f t="shared" si="3"/>
      </c>
      <c r="B65" s="539"/>
      <c r="C65" s="516">
        <f>Klassen!A38</f>
        <v>0</v>
      </c>
      <c r="D65" s="356">
        <f>Klassen!B38</f>
        <v>0</v>
      </c>
      <c r="E65" s="823">
        <f t="shared" si="4"/>
        <v>0</v>
      </c>
      <c r="F65" s="824"/>
      <c r="G65" s="481">
        <f>Klassen!AI38</f>
        <v>0</v>
      </c>
      <c r="H65" s="40">
        <f t="shared" si="5"/>
        <v>0</v>
      </c>
      <c r="I65" s="358">
        <f t="shared" si="6"/>
        <v>0</v>
      </c>
      <c r="J65" s="357">
        <f t="shared" si="7"/>
        <v>0</v>
      </c>
      <c r="K65" s="44">
        <f t="shared" si="8"/>
        <v>0</v>
      </c>
      <c r="L65" s="357">
        <f t="shared" si="9"/>
        <v>0</v>
      </c>
      <c r="M65" s="44">
        <f t="shared" si="10"/>
        <v>0</v>
      </c>
      <c r="N65" s="527">
        <f t="shared" si="11"/>
        <v>0</v>
      </c>
      <c r="O65" s="2"/>
      <c r="P65" s="2"/>
      <c r="Q65" s="2"/>
      <c r="R65" s="2"/>
      <c r="S65" s="2"/>
      <c r="T65" s="2"/>
      <c r="U65" s="26"/>
      <c r="V65" s="16">
        <f t="shared" si="2"/>
        <v>0</v>
      </c>
      <c r="W65" s="16">
        <f t="shared" si="2"/>
        <v>0</v>
      </c>
      <c r="X65" s="16">
        <f t="shared" si="2"/>
        <v>0</v>
      </c>
      <c r="Z65" s="353" t="s">
        <v>116</v>
      </c>
      <c r="AA65" s="354">
        <v>0</v>
      </c>
      <c r="AB65" s="354" t="s">
        <v>131</v>
      </c>
      <c r="AC65" s="354" t="s">
        <v>132</v>
      </c>
    </row>
    <row r="66" spans="1:29" ht="16.5" hidden="1">
      <c r="A66" s="514">
        <f t="shared" si="3"/>
      </c>
      <c r="B66" s="539"/>
      <c r="C66" s="516">
        <f>Klassen!A39</f>
        <v>0</v>
      </c>
      <c r="D66" s="356">
        <f>Klassen!B39</f>
        <v>0</v>
      </c>
      <c r="E66" s="823">
        <f t="shared" si="4"/>
        <v>0</v>
      </c>
      <c r="F66" s="824"/>
      <c r="G66" s="481">
        <f>Klassen!AI39</f>
        <v>0</v>
      </c>
      <c r="H66" s="40">
        <f t="shared" si="5"/>
        <v>0</v>
      </c>
      <c r="I66" s="358">
        <f t="shared" si="6"/>
        <v>0</v>
      </c>
      <c r="J66" s="357">
        <f t="shared" si="7"/>
        <v>0</v>
      </c>
      <c r="K66" s="44">
        <f t="shared" si="8"/>
        <v>0</v>
      </c>
      <c r="L66" s="357">
        <f t="shared" si="9"/>
        <v>0</v>
      </c>
      <c r="M66" s="44">
        <f t="shared" si="10"/>
        <v>0</v>
      </c>
      <c r="N66" s="527">
        <f t="shared" si="11"/>
        <v>0</v>
      </c>
      <c r="O66" s="2"/>
      <c r="P66" s="2"/>
      <c r="Q66" s="2"/>
      <c r="R66" s="2"/>
      <c r="S66" s="2"/>
      <c r="T66" s="2"/>
      <c r="U66" s="26"/>
      <c r="V66" s="16">
        <f t="shared" si="2"/>
        <v>0</v>
      </c>
      <c r="W66" s="16">
        <f t="shared" si="2"/>
        <v>0</v>
      </c>
      <c r="X66" s="16">
        <f t="shared" si="2"/>
        <v>0</v>
      </c>
      <c r="Z66" s="353" t="s">
        <v>14</v>
      </c>
      <c r="AA66" s="354">
        <v>0</v>
      </c>
      <c r="AB66" s="354">
        <v>0</v>
      </c>
      <c r="AC66" s="354">
        <v>20</v>
      </c>
    </row>
    <row r="67" spans="1:29" ht="16.5" hidden="1">
      <c r="A67" s="514">
        <f t="shared" si="3"/>
      </c>
      <c r="B67" s="539"/>
      <c r="C67" s="516">
        <f>Klassen!A40</f>
        <v>0</v>
      </c>
      <c r="D67" s="356">
        <f>Klassen!B40</f>
        <v>0</v>
      </c>
      <c r="E67" s="823">
        <f>M31</f>
        <v>0</v>
      </c>
      <c r="F67" s="824"/>
      <c r="G67" s="481">
        <f>Klassen!AI40</f>
        <v>0</v>
      </c>
      <c r="H67" s="40">
        <f>U31</f>
        <v>0</v>
      </c>
      <c r="I67" s="358">
        <f t="shared" si="6"/>
        <v>0</v>
      </c>
      <c r="J67" s="357">
        <f t="shared" si="7"/>
        <v>0</v>
      </c>
      <c r="K67" s="44">
        <f t="shared" si="8"/>
        <v>0</v>
      </c>
      <c r="L67" s="357">
        <f t="shared" si="9"/>
        <v>0</v>
      </c>
      <c r="M67" s="44">
        <f t="shared" si="10"/>
        <v>0</v>
      </c>
      <c r="N67" s="527">
        <f t="shared" si="11"/>
        <v>0</v>
      </c>
      <c r="O67" s="2"/>
      <c r="P67" s="2"/>
      <c r="Q67" s="2"/>
      <c r="R67" s="2"/>
      <c r="S67" s="2"/>
      <c r="T67" s="2"/>
      <c r="U67" s="26"/>
      <c r="V67" s="16">
        <f t="shared" si="2"/>
        <v>0</v>
      </c>
      <c r="W67" s="16">
        <f t="shared" si="2"/>
        <v>0</v>
      </c>
      <c r="X67" s="16">
        <f t="shared" si="2"/>
        <v>0</v>
      </c>
      <c r="Z67" s="353" t="s">
        <v>15</v>
      </c>
      <c r="AA67" s="354">
        <v>0</v>
      </c>
      <c r="AB67" s="354">
        <v>0</v>
      </c>
      <c r="AC67" s="354">
        <v>20</v>
      </c>
    </row>
    <row r="68" spans="1:29" ht="16.5">
      <c r="A68" s="514">
        <f>B41</f>
      </c>
      <c r="B68" s="539"/>
      <c r="C68" s="516">
        <f>Klassen!A43</f>
        <v>0</v>
      </c>
      <c r="D68" s="356">
        <f>Klassen!B43</f>
        <v>0</v>
      </c>
      <c r="E68" s="823">
        <f>M41</f>
        <v>0</v>
      </c>
      <c r="F68" s="824"/>
      <c r="G68" s="481">
        <f>Klassen!AI43</f>
        <v>0</v>
      </c>
      <c r="H68" s="40">
        <f>U41</f>
        <v>0</v>
      </c>
      <c r="I68" s="358">
        <f t="shared" si="6"/>
        <v>0</v>
      </c>
      <c r="J68" s="357">
        <f t="shared" si="7"/>
        <v>0</v>
      </c>
      <c r="K68" s="44">
        <f t="shared" si="8"/>
        <v>0</v>
      </c>
      <c r="L68" s="357">
        <f t="shared" si="9"/>
        <v>0</v>
      </c>
      <c r="M68" s="44">
        <f t="shared" si="10"/>
        <v>0</v>
      </c>
      <c r="N68" s="527">
        <f t="shared" si="11"/>
        <v>0</v>
      </c>
      <c r="O68" s="2"/>
      <c r="P68" s="2"/>
      <c r="Q68" s="2"/>
      <c r="R68" s="2"/>
      <c r="S68" s="2"/>
      <c r="T68" s="2"/>
      <c r="U68" s="26"/>
      <c r="V68" s="16">
        <f t="shared" si="2"/>
        <v>0</v>
      </c>
      <c r="W68" s="16">
        <f t="shared" si="2"/>
        <v>0</v>
      </c>
      <c r="X68" s="16">
        <f t="shared" si="2"/>
        <v>0</v>
      </c>
      <c r="Z68" s="353" t="s">
        <v>16</v>
      </c>
      <c r="AA68" s="354">
        <v>2</v>
      </c>
      <c r="AB68" s="354">
        <v>0</v>
      </c>
      <c r="AC68" s="354">
        <v>21</v>
      </c>
    </row>
    <row r="69" spans="1:29" ht="16.5">
      <c r="A69" s="514">
        <f>B42</f>
      </c>
      <c r="B69" s="539"/>
      <c r="C69" s="516">
        <f>Klassen!A44</f>
        <v>0</v>
      </c>
      <c r="D69" s="356">
        <f>Klassen!B44</f>
        <v>0</v>
      </c>
      <c r="E69" s="823">
        <f>M42</f>
        <v>0</v>
      </c>
      <c r="F69" s="824"/>
      <c r="G69" s="481">
        <f>Klassen!AI44</f>
        <v>0</v>
      </c>
      <c r="H69" s="40">
        <f>U42</f>
        <v>0</v>
      </c>
      <c r="I69" s="358">
        <f t="shared" si="6"/>
        <v>0</v>
      </c>
      <c r="J69" s="357">
        <f t="shared" si="7"/>
        <v>0</v>
      </c>
      <c r="K69" s="44">
        <f t="shared" si="8"/>
        <v>0</v>
      </c>
      <c r="L69" s="357">
        <f t="shared" si="9"/>
        <v>0</v>
      </c>
      <c r="M69" s="44">
        <f t="shared" si="10"/>
        <v>0</v>
      </c>
      <c r="N69" s="527">
        <f t="shared" si="11"/>
        <v>0</v>
      </c>
      <c r="O69" s="2"/>
      <c r="P69" s="2"/>
      <c r="Q69" s="2"/>
      <c r="R69" s="2"/>
      <c r="S69" s="2"/>
      <c r="T69" s="2"/>
      <c r="U69" s="26"/>
      <c r="V69" s="16">
        <f t="shared" si="2"/>
        <v>0</v>
      </c>
      <c r="W69" s="16">
        <f t="shared" si="2"/>
        <v>0</v>
      </c>
      <c r="X69" s="16">
        <f t="shared" si="2"/>
        <v>0</v>
      </c>
      <c r="Z69" s="353" t="s">
        <v>17</v>
      </c>
      <c r="AA69" s="354">
        <v>2</v>
      </c>
      <c r="AB69" s="354">
        <v>0</v>
      </c>
      <c r="AC69" s="354">
        <v>21</v>
      </c>
    </row>
    <row r="70" spans="1:29" ht="16.5">
      <c r="A70" s="514">
        <f>B43</f>
      </c>
      <c r="B70" s="539"/>
      <c r="C70" s="516">
        <f>Klassen!A45</f>
        <v>0</v>
      </c>
      <c r="D70" s="356">
        <f>Klassen!B45</f>
        <v>0</v>
      </c>
      <c r="E70" s="823">
        <f>M43</f>
        <v>0</v>
      </c>
      <c r="F70" s="824"/>
      <c r="G70" s="481">
        <f>Klassen!AI45</f>
        <v>0</v>
      </c>
      <c r="H70" s="40">
        <f>U43</f>
        <v>0</v>
      </c>
      <c r="I70" s="358">
        <f t="shared" si="6"/>
        <v>0</v>
      </c>
      <c r="J70" s="357">
        <f t="shared" si="7"/>
        <v>0</v>
      </c>
      <c r="K70" s="44">
        <f t="shared" si="8"/>
        <v>0</v>
      </c>
      <c r="L70" s="357">
        <f t="shared" si="9"/>
        <v>0</v>
      </c>
      <c r="M70" s="44">
        <f t="shared" si="10"/>
        <v>0</v>
      </c>
      <c r="N70" s="527">
        <f t="shared" si="11"/>
        <v>0</v>
      </c>
      <c r="O70" s="2"/>
      <c r="P70" s="2"/>
      <c r="Q70" s="2"/>
      <c r="R70" s="2"/>
      <c r="S70" s="2"/>
      <c r="T70" s="2"/>
      <c r="U70" s="26"/>
      <c r="V70" s="16">
        <f t="shared" si="2"/>
        <v>0</v>
      </c>
      <c r="W70" s="16">
        <f t="shared" si="2"/>
        <v>0</v>
      </c>
      <c r="X70" s="16">
        <f t="shared" si="2"/>
        <v>0</v>
      </c>
      <c r="Z70" s="353" t="s">
        <v>18</v>
      </c>
      <c r="AA70" s="354">
        <v>4</v>
      </c>
      <c r="AB70" s="354">
        <v>2</v>
      </c>
      <c r="AC70" s="354">
        <v>18</v>
      </c>
    </row>
    <row r="71" spans="1:29" ht="16.5">
      <c r="A71" s="514">
        <f>B44</f>
      </c>
      <c r="B71" s="539"/>
      <c r="C71" s="516">
        <f>Klassen!A46</f>
        <v>0</v>
      </c>
      <c r="D71" s="356">
        <f>Klassen!B46</f>
        <v>0</v>
      </c>
      <c r="E71" s="823">
        <f>M44</f>
        <v>0</v>
      </c>
      <c r="F71" s="824"/>
      <c r="G71" s="481">
        <f>Klassen!AI46</f>
        <v>0</v>
      </c>
      <c r="H71" s="40">
        <f>U44</f>
        <v>0</v>
      </c>
      <c r="I71" s="358">
        <f t="shared" si="6"/>
        <v>0</v>
      </c>
      <c r="J71" s="357">
        <f t="shared" si="7"/>
        <v>0</v>
      </c>
      <c r="K71" s="44">
        <f t="shared" si="8"/>
        <v>0</v>
      </c>
      <c r="L71" s="357">
        <f t="shared" si="9"/>
        <v>0</v>
      </c>
      <c r="M71" s="44">
        <f t="shared" si="10"/>
        <v>0</v>
      </c>
      <c r="N71" s="527">
        <f t="shared" si="11"/>
        <v>0</v>
      </c>
      <c r="O71" s="2"/>
      <c r="P71" s="2"/>
      <c r="Q71" s="2"/>
      <c r="R71" s="2"/>
      <c r="S71" s="2"/>
      <c r="T71" s="2"/>
      <c r="U71" s="26"/>
      <c r="V71" s="16">
        <f t="shared" si="2"/>
        <v>0</v>
      </c>
      <c r="W71" s="16">
        <f t="shared" si="2"/>
        <v>0</v>
      </c>
      <c r="X71" s="16">
        <f t="shared" si="2"/>
        <v>0</v>
      </c>
      <c r="Z71" s="353" t="s">
        <v>19</v>
      </c>
      <c r="AA71" s="354">
        <v>4</v>
      </c>
      <c r="AB71" s="354">
        <v>2</v>
      </c>
      <c r="AC71" s="354">
        <v>18</v>
      </c>
    </row>
    <row r="72" spans="1:29" ht="16.5">
      <c r="A72" s="514">
        <f>B45</f>
      </c>
      <c r="B72" s="539"/>
      <c r="C72" s="516">
        <f>Klassen!A47</f>
        <v>0</v>
      </c>
      <c r="D72" s="356">
        <f>Klassen!B47</f>
        <v>0</v>
      </c>
      <c r="E72" s="823">
        <f>M45</f>
        <v>0</v>
      </c>
      <c r="F72" s="824"/>
      <c r="G72" s="481">
        <f>Klassen!AI47</f>
        <v>0</v>
      </c>
      <c r="H72" s="40">
        <f>U45</f>
        <v>0</v>
      </c>
      <c r="I72" s="517">
        <f t="shared" si="6"/>
        <v>0</v>
      </c>
      <c r="J72" s="357">
        <f t="shared" si="7"/>
        <v>0</v>
      </c>
      <c r="K72" s="44">
        <f t="shared" si="8"/>
        <v>0</v>
      </c>
      <c r="L72" s="357">
        <f t="shared" si="9"/>
        <v>0</v>
      </c>
      <c r="M72" s="44">
        <f t="shared" si="10"/>
        <v>0</v>
      </c>
      <c r="N72" s="527">
        <f t="shared" si="11"/>
        <v>0</v>
      </c>
      <c r="O72" s="2"/>
      <c r="P72" s="2"/>
      <c r="Q72" s="2"/>
      <c r="R72" s="2"/>
      <c r="S72" s="2"/>
      <c r="T72" s="2"/>
      <c r="U72" s="26"/>
      <c r="V72" s="16">
        <f aca="true" t="shared" si="12" ref="V72:X77">LOOKUP($H72,$Z$54:$Z$76,AA$54:AA$76)</f>
        <v>0</v>
      </c>
      <c r="W72" s="16">
        <f t="shared" si="12"/>
        <v>0</v>
      </c>
      <c r="X72" s="16">
        <f t="shared" si="12"/>
        <v>0</v>
      </c>
      <c r="Z72" s="353" t="s">
        <v>20</v>
      </c>
      <c r="AA72" s="354">
        <v>4</v>
      </c>
      <c r="AB72" s="354">
        <v>2</v>
      </c>
      <c r="AC72" s="354">
        <v>18</v>
      </c>
    </row>
    <row r="73" spans="1:29" ht="18">
      <c r="A73" s="514">
        <f>B6</f>
      </c>
      <c r="B73" s="539">
        <f>IF(E73&gt;0," [Spr]",)</f>
        <v>0</v>
      </c>
      <c r="C73" s="516">
        <f>Klassen!A22</f>
        <v>0</v>
      </c>
      <c r="D73" s="356">
        <f>Klassen!B22</f>
        <v>0</v>
      </c>
      <c r="E73" s="823">
        <f>Klassen!C22</f>
        <v>0</v>
      </c>
      <c r="F73" s="824"/>
      <c r="G73" s="481">
        <f>Klassen!AI22</f>
        <v>0</v>
      </c>
      <c r="H73" s="355">
        <f>IF(E73&gt;0,Z75,)</f>
        <v>0</v>
      </c>
      <c r="I73" s="41">
        <f>IF(E73&gt;0,1,)</f>
        <v>0</v>
      </c>
      <c r="J73" s="481">
        <f>V73</f>
        <v>0</v>
      </c>
      <c r="K73" s="480">
        <f>U73</f>
        <v>0</v>
      </c>
      <c r="L73" s="481">
        <f>W73</f>
        <v>0</v>
      </c>
      <c r="M73" s="356">
        <f>IF(AND(E73&gt;0,E73&lt;3,W73&gt;0),-W73,IF(AND(E73&gt;=10,W73&gt;0),W73,))</f>
        <v>0</v>
      </c>
      <c r="N73" s="527">
        <f>X73</f>
        <v>0</v>
      </c>
      <c r="O73" s="2"/>
      <c r="P73" s="2"/>
      <c r="Q73" s="2"/>
      <c r="R73" s="2"/>
      <c r="S73" s="2"/>
      <c r="T73" s="2"/>
      <c r="U73" s="16">
        <f>IF(E73&gt;=16,V73,)</f>
        <v>0</v>
      </c>
      <c r="V73" s="16">
        <f t="shared" si="12"/>
        <v>0</v>
      </c>
      <c r="W73" s="16">
        <f t="shared" si="12"/>
        <v>0</v>
      </c>
      <c r="X73" s="16">
        <f t="shared" si="12"/>
        <v>0</v>
      </c>
      <c r="Y73" s="310"/>
      <c r="Z73" s="353" t="s">
        <v>21</v>
      </c>
      <c r="AA73" s="354">
        <v>7</v>
      </c>
      <c r="AB73" s="354">
        <v>4</v>
      </c>
      <c r="AC73" s="354">
        <v>14</v>
      </c>
    </row>
    <row r="74" spans="1:29" ht="18">
      <c r="A74" s="514">
        <f>IF(H8&gt;0,G6,Klassen!F27&amp;Klassen!G27)</f>
      </c>
      <c r="B74" s="539">
        <f>IF(E74&gt;0,IF(H8&gt;0," [Üg]"," [KH]"),)</f>
        <v>0</v>
      </c>
      <c r="C74" s="516">
        <f>IF(H8&gt;0,Klassen!A23,Klassen!A27)</f>
        <v>0</v>
      </c>
      <c r="D74" s="356">
        <f>IF(H8&gt;0,Klassen!B23,Klassen!B27)</f>
        <v>0</v>
      </c>
      <c r="E74" s="823">
        <f>IF(H8&gt;0,Klassen!C23,Klassen!C27)</f>
        <v>0</v>
      </c>
      <c r="F74" s="824"/>
      <c r="G74" s="481">
        <f>IF(H8&gt;0,Klassen!AI23,Klassen!AI27)</f>
        <v>0</v>
      </c>
      <c r="H74" s="355">
        <f>IF(E74&gt;0,IF(H8&gt;0,Z76,Z65),)</f>
        <v>0</v>
      </c>
      <c r="I74" s="41">
        <f>IF(AND(E74&gt;0,H8&gt;0),1,)</f>
        <v>0</v>
      </c>
      <c r="J74" s="519">
        <f>V74</f>
        <v>0</v>
      </c>
      <c r="K74" s="480">
        <f>U74</f>
        <v>0</v>
      </c>
      <c r="L74" s="563"/>
      <c r="M74" s="520"/>
      <c r="N74" s="527">
        <f>X74</f>
        <v>0</v>
      </c>
      <c r="O74" s="2"/>
      <c r="P74" s="2"/>
      <c r="Q74" s="2"/>
      <c r="R74" s="2"/>
      <c r="S74" s="2"/>
      <c r="T74" s="2"/>
      <c r="U74" s="16">
        <f>IF(OR(E74&gt;=16,AND(E74&gt;=10,H74="Üg")),V74,)</f>
        <v>0</v>
      </c>
      <c r="V74" s="16">
        <f t="shared" si="12"/>
        <v>0</v>
      </c>
      <c r="W74" s="16">
        <f t="shared" si="12"/>
        <v>0</v>
      </c>
      <c r="X74" s="16">
        <f t="shared" si="12"/>
        <v>0</v>
      </c>
      <c r="Y74" s="310"/>
      <c r="Z74" s="353" t="s">
        <v>22</v>
      </c>
      <c r="AA74" s="354">
        <v>7</v>
      </c>
      <c r="AB74" s="354">
        <v>4</v>
      </c>
      <c r="AC74" s="354">
        <v>14</v>
      </c>
    </row>
    <row r="75" spans="1:29" ht="18">
      <c r="A75" s="514">
        <f>Klassen!F24&amp;Klassen!G24</f>
      </c>
      <c r="B75" s="539">
        <f>IF(E75&gt;0," [BV]",)</f>
        <v>0</v>
      </c>
      <c r="C75" s="516">
        <f>Klassen!A24</f>
        <v>0</v>
      </c>
      <c r="D75" s="356">
        <f>Klassen!B24</f>
        <v>0</v>
      </c>
      <c r="E75" s="823">
        <f>Klassen!C24</f>
        <v>0</v>
      </c>
      <c r="F75" s="824"/>
      <c r="G75" s="481">
        <f>Klassen!AI24</f>
        <v>0</v>
      </c>
      <c r="H75" s="355">
        <f>IF(E75&gt;0,Z$64,)</f>
        <v>0</v>
      </c>
      <c r="I75" s="41">
        <f>IF(E75&gt;0,2,)</f>
        <v>0</v>
      </c>
      <c r="J75" s="357">
        <f>V75</f>
        <v>0</v>
      </c>
      <c r="K75" s="44"/>
      <c r="L75" s="481">
        <f>W75</f>
        <v>0</v>
      </c>
      <c r="M75" s="44">
        <f>IF(AND(E75&gt;0,E75&lt;3,W75&gt;0),-W75,IF(AND(E75&gt;=10,W75&gt;0),W75,))</f>
        <v>0</v>
      </c>
      <c r="N75" s="527">
        <f>U75</f>
        <v>0</v>
      </c>
      <c r="P75" s="2"/>
      <c r="Q75" s="2"/>
      <c r="S75" s="385" t="s">
        <v>374</v>
      </c>
      <c r="T75" s="388">
        <f>GTS!D39</f>
        <v>0</v>
      </c>
      <c r="U75" s="16">
        <f>X75-IF(J75&lt;99,J75,)+IF(X75&gt;0,2-I75,)</f>
        <v>0</v>
      </c>
      <c r="V75" s="16">
        <f t="shared" si="12"/>
        <v>0</v>
      </c>
      <c r="W75" s="16">
        <f t="shared" si="12"/>
        <v>0</v>
      </c>
      <c r="X75" s="16">
        <f t="shared" si="12"/>
        <v>0</v>
      </c>
      <c r="Y75" s="310"/>
      <c r="Z75" s="353" t="s">
        <v>107</v>
      </c>
      <c r="AA75" s="354">
        <v>1</v>
      </c>
      <c r="AB75" s="354">
        <v>0</v>
      </c>
      <c r="AC75" s="354">
        <v>19</v>
      </c>
    </row>
    <row r="76" spans="1:29" ht="18">
      <c r="A76" s="514">
        <f>Klassen!F25&amp;Klassen!G25</f>
      </c>
      <c r="B76" s="539">
        <f>IF(E76&gt;0," [BV]",)</f>
        <v>0</v>
      </c>
      <c r="C76" s="516">
        <f>Klassen!A25</f>
        <v>0</v>
      </c>
      <c r="D76" s="356">
        <f>Klassen!B25</f>
        <v>0</v>
      </c>
      <c r="E76" s="823">
        <f>Klassen!C25</f>
        <v>0</v>
      </c>
      <c r="F76" s="824"/>
      <c r="G76" s="481">
        <f>Klassen!AI25</f>
        <v>0</v>
      </c>
      <c r="H76" s="355">
        <f>IF(E76&gt;0,Z$64,)</f>
        <v>0</v>
      </c>
      <c r="I76" s="41">
        <f>IF(E76&gt;0,2,)</f>
        <v>0</v>
      </c>
      <c r="J76" s="357">
        <f>V76</f>
        <v>0</v>
      </c>
      <c r="K76" s="44"/>
      <c r="L76" s="481">
        <f>W76</f>
        <v>0</v>
      </c>
      <c r="M76" s="44">
        <f>IF(AND(E76&gt;0,E76&lt;3,W76&gt;0),-W76,IF(AND(E76&gt;=10,W76&gt;0),W76,))</f>
        <v>0</v>
      </c>
      <c r="N76" s="527">
        <f>U76</f>
        <v>0</v>
      </c>
      <c r="O76" s="12">
        <f>IF(V6=2,V78-SUM(I75:N76),)</f>
        <v>0</v>
      </c>
      <c r="P76" s="2"/>
      <c r="Q76" s="2"/>
      <c r="S76" s="2"/>
      <c r="T76" s="385">
        <f>IF(T75&gt;0,"für bis zu "&amp;GTS!$C$6&amp;" teilnehmende Schüler",)</f>
        <v>0</v>
      </c>
      <c r="U76" s="16">
        <f>X76-IF(J76&lt;99,J76,)+IF(X76&gt;0,2-I76,)</f>
        <v>0</v>
      </c>
      <c r="V76" s="16">
        <f t="shared" si="12"/>
        <v>0</v>
      </c>
      <c r="W76" s="16">
        <f t="shared" si="12"/>
        <v>0</v>
      </c>
      <c r="X76" s="16">
        <f t="shared" si="12"/>
        <v>0</v>
      </c>
      <c r="Y76" s="310"/>
      <c r="Z76" s="353" t="s">
        <v>108</v>
      </c>
      <c r="AA76" s="354">
        <f>AA59</f>
        <v>3</v>
      </c>
      <c r="AB76" s="354">
        <v>0</v>
      </c>
      <c r="AC76" s="354">
        <v>22</v>
      </c>
    </row>
    <row r="77" spans="1:24" ht="18">
      <c r="A77" s="514">
        <f>Klassen!F26&amp;Klassen!G26</f>
      </c>
      <c r="B77" s="539">
        <f>IF(E77&gt;0," [KH]",)</f>
        <v>0</v>
      </c>
      <c r="C77" s="516">
        <f>Klassen!A26</f>
        <v>0</v>
      </c>
      <c r="D77" s="356">
        <f>Klassen!B26</f>
        <v>0</v>
      </c>
      <c r="E77" s="823">
        <f>Klassen!C26</f>
        <v>0</v>
      </c>
      <c r="F77" s="824"/>
      <c r="G77" s="481">
        <f>Klassen!AI26</f>
        <v>0</v>
      </c>
      <c r="H77" s="355">
        <f>IF(E77&gt;0,Z65,)</f>
        <v>0</v>
      </c>
      <c r="I77" s="521"/>
      <c r="J77" s="522"/>
      <c r="K77" s="522"/>
      <c r="L77" s="523">
        <f>W77</f>
        <v>0</v>
      </c>
      <c r="M77" s="524"/>
      <c r="N77" s="562">
        <f>X77</f>
        <v>0</v>
      </c>
      <c r="O77" s="2"/>
      <c r="P77" s="528">
        <f>IF(O76&lt;&gt;0,"zusä.",)</f>
        <v>0</v>
      </c>
      <c r="Q77" s="2"/>
      <c r="R77" s="2"/>
      <c r="S77" s="2"/>
      <c r="T77" s="2"/>
      <c r="U77" s="15"/>
      <c r="V77" s="16">
        <f t="shared" si="12"/>
        <v>0</v>
      </c>
      <c r="W77" s="16">
        <f t="shared" si="12"/>
        <v>0</v>
      </c>
      <c r="X77" s="16">
        <f t="shared" si="12"/>
        <v>0</v>
      </c>
    </row>
    <row r="78" spans="1:22" s="7" customFormat="1" ht="23.25">
      <c r="A78" s="36">
        <f>Klassen!F17</f>
        <v>0</v>
      </c>
      <c r="B78" s="525"/>
      <c r="C78" s="38">
        <f>SUM(C56:C77)</f>
        <v>0</v>
      </c>
      <c r="D78" s="359">
        <f>SUM(D56:D77)</f>
        <v>0</v>
      </c>
      <c r="E78" s="837">
        <f>SUM(E56:E77)</f>
        <v>0</v>
      </c>
      <c r="F78" s="838">
        <f>SUM(F56:F77)</f>
        <v>0</v>
      </c>
      <c r="G78" s="39">
        <f>SUM(G56:G77)</f>
        <v>0</v>
      </c>
      <c r="H78" s="13"/>
      <c r="I78" s="37">
        <f>SUM(I56:I77)</f>
        <v>0</v>
      </c>
      <c r="J78" s="835">
        <f>SUM(J56:K77)</f>
        <v>0</v>
      </c>
      <c r="K78" s="836"/>
      <c r="L78" s="835">
        <f>SUM(L56:M77)</f>
        <v>0</v>
      </c>
      <c r="M78" s="836"/>
      <c r="N78" s="530">
        <f>SUM(N56:O77)</f>
        <v>0</v>
      </c>
      <c r="O78" s="2"/>
      <c r="P78" s="2"/>
      <c r="Q78" s="2"/>
      <c r="R78" s="2"/>
      <c r="S78" s="386" t="s">
        <v>46</v>
      </c>
      <c r="T78" s="387"/>
      <c r="U78" s="534"/>
      <c r="V78" s="397">
        <f>IF(L8&gt;=30,100,IF(L8&gt;=27,97,IF(L8&gt;=23,92,IF(L8&gt;=21,82,IF(L8&gt;=19,72,IF(L8&gt;=16,68,60))))))</f>
        <v>60</v>
      </c>
    </row>
    <row r="79" spans="11:12" ht="14.25">
      <c r="K79" s="834">
        <f>J78+L78</f>
        <v>0</v>
      </c>
      <c r="L79" s="834"/>
    </row>
    <row r="80" spans="1:29" ht="24.75" customHeight="1">
      <c r="A80" s="78" t="s">
        <v>29</v>
      </c>
      <c r="I80" s="72" t="s">
        <v>159</v>
      </c>
      <c r="J80" s="73"/>
      <c r="K80" s="71" t="s">
        <v>30</v>
      </c>
      <c r="L80" s="7"/>
      <c r="M80" s="7"/>
      <c r="N80" s="7"/>
      <c r="O80" s="74"/>
      <c r="P80" s="71" t="s">
        <v>50</v>
      </c>
      <c r="U80" s="420"/>
      <c r="V80" s="420"/>
      <c r="W80" s="543">
        <f>IF(OR(S52=W52,S52=X52),1,)</f>
        <v>0</v>
      </c>
      <c r="X80" s="420"/>
      <c r="Y80" s="420"/>
      <c r="Z80" s="420"/>
      <c r="AA80" s="420"/>
      <c r="AB80" s="420"/>
      <c r="AC80" s="420"/>
    </row>
    <row r="81" spans="21:29" s="9" customFormat="1" ht="11.25" customHeight="1">
      <c r="U81" s="533"/>
      <c r="V81" s="533"/>
      <c r="W81" s="533"/>
      <c r="X81" s="533"/>
      <c r="Y81" s="533"/>
      <c r="Z81" s="533"/>
      <c r="AA81" s="533"/>
      <c r="AB81" s="533"/>
      <c r="AC81" s="533"/>
    </row>
    <row r="82" spans="7:29" ht="24.75" customHeight="1">
      <c r="G82" s="72" t="s">
        <v>48</v>
      </c>
      <c r="H82" s="73"/>
      <c r="I82" s="71" t="s">
        <v>45</v>
      </c>
      <c r="J82" s="7"/>
      <c r="K82" s="7"/>
      <c r="P82" s="72" t="s">
        <v>257</v>
      </c>
      <c r="Q82" s="74"/>
      <c r="R82" s="71" t="s">
        <v>258</v>
      </c>
      <c r="U82" s="420"/>
      <c r="V82" s="420"/>
      <c r="W82" s="420"/>
      <c r="X82" s="420"/>
      <c r="Y82" s="420"/>
      <c r="Z82" s="420"/>
      <c r="AA82" s="420"/>
      <c r="AB82" s="420"/>
      <c r="AC82" s="420"/>
    </row>
    <row r="83" spans="1:29" s="3" customFormat="1" ht="24.75" customHeight="1">
      <c r="A83"/>
      <c r="B83" s="1"/>
      <c r="C83"/>
      <c r="D83"/>
      <c r="E83"/>
      <c r="F83"/>
      <c r="G83"/>
      <c r="H83"/>
      <c r="I83" s="72" t="s">
        <v>49</v>
      </c>
      <c r="J83" s="73"/>
      <c r="M83" s="76" t="s">
        <v>256</v>
      </c>
      <c r="N83" s="77"/>
      <c r="O83" s="75"/>
      <c r="U83" s="429"/>
      <c r="V83" s="429"/>
      <c r="W83" s="429"/>
      <c r="X83" s="429"/>
      <c r="Y83" s="429"/>
      <c r="Z83" s="429"/>
      <c r="AA83" s="429"/>
      <c r="AB83" s="429"/>
      <c r="AC83" s="429"/>
    </row>
    <row r="84" spans="1:29" ht="14.25">
      <c r="A84" s="420"/>
      <c r="B84" s="420"/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537" t="s">
        <v>54</v>
      </c>
      <c r="O84" s="535" t="s">
        <v>259</v>
      </c>
      <c r="R84" s="420"/>
      <c r="S84" s="420"/>
      <c r="T84" s="420"/>
      <c r="U84" s="420"/>
      <c r="V84" s="420"/>
      <c r="W84" s="420"/>
      <c r="X84" s="420"/>
      <c r="Y84" s="420"/>
      <c r="Z84" s="420"/>
      <c r="AA84" s="420"/>
      <c r="AB84" s="420"/>
      <c r="AC84" s="420"/>
    </row>
    <row r="85" spans="1:29" ht="14.25">
      <c r="A85" s="420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20"/>
      <c r="AA85" s="420"/>
      <c r="AB85" s="420"/>
      <c r="AC85" s="420"/>
    </row>
    <row r="86" spans="1:29" ht="14.25">
      <c r="A86" s="420"/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20"/>
      <c r="AA86" s="420"/>
      <c r="AB86" s="420"/>
      <c r="AC86" s="420"/>
    </row>
    <row r="87" spans="1:29" ht="14.25">
      <c r="A87" s="420"/>
      <c r="B87" s="420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0"/>
      <c r="AC87" s="420"/>
    </row>
    <row r="88" spans="1:29" ht="14.25">
      <c r="A88" s="420"/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20"/>
      <c r="AA88" s="420"/>
      <c r="AB88" s="420"/>
      <c r="AC88" s="420"/>
    </row>
    <row r="89" spans="1:29" ht="14.25">
      <c r="A89" s="420"/>
      <c r="B89" s="420"/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20"/>
      <c r="AA89" s="420"/>
      <c r="AB89" s="420"/>
      <c r="AC89" s="420"/>
    </row>
    <row r="90" spans="1:29" ht="14.25">
      <c r="A90" s="420"/>
      <c r="B90" s="420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20"/>
      <c r="AA90" s="420"/>
      <c r="AB90" s="420"/>
      <c r="AC90" s="420"/>
    </row>
    <row r="91" spans="1:29" ht="14.25">
      <c r="A91" s="532"/>
      <c r="B91" s="420"/>
      <c r="C91" s="420"/>
      <c r="D91" s="420"/>
      <c r="E91" s="420"/>
      <c r="F91" s="420"/>
      <c r="G91" s="420"/>
      <c r="H91" s="420"/>
      <c r="I91" s="420"/>
      <c r="J91" s="420"/>
      <c r="K91" s="420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20"/>
      <c r="AA91" s="420"/>
      <c r="AB91" s="420"/>
      <c r="AC91" s="420"/>
    </row>
    <row r="92" spans="1:29" ht="14.25">
      <c r="A92" s="420"/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420"/>
      <c r="AB92" s="420"/>
      <c r="AC92" s="420"/>
    </row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</sheetData>
  <sheetProtection password="C560" sheet="1" formatRows="0"/>
  <mergeCells count="41">
    <mergeCell ref="E68:F68"/>
    <mergeCell ref="E78:F78"/>
    <mergeCell ref="J78:K78"/>
    <mergeCell ref="E75:F75"/>
    <mergeCell ref="E72:F72"/>
    <mergeCell ref="E67:F67"/>
    <mergeCell ref="E63:F63"/>
    <mergeCell ref="E64:F64"/>
    <mergeCell ref="E70:F70"/>
    <mergeCell ref="E71:F71"/>
    <mergeCell ref="E69:F69"/>
    <mergeCell ref="E66:F66"/>
    <mergeCell ref="E65:F65"/>
    <mergeCell ref="J51:K52"/>
    <mergeCell ref="L51:M52"/>
    <mergeCell ref="R44:T45"/>
    <mergeCell ref="K79:L79"/>
    <mergeCell ref="E77:F77"/>
    <mergeCell ref="E76:F76"/>
    <mergeCell ref="E73:F73"/>
    <mergeCell ref="L78:M78"/>
    <mergeCell ref="E74:F74"/>
    <mergeCell ref="E62:F62"/>
    <mergeCell ref="A15:K16"/>
    <mergeCell ref="E60:F60"/>
    <mergeCell ref="R11:R12"/>
    <mergeCell ref="E61:F61"/>
    <mergeCell ref="P22:T41"/>
    <mergeCell ref="E48:F48"/>
    <mergeCell ref="B17:B19"/>
    <mergeCell ref="N51:O53"/>
    <mergeCell ref="E59:F59"/>
    <mergeCell ref="E57:F57"/>
    <mergeCell ref="E58:F58"/>
    <mergeCell ref="C51:G52"/>
    <mergeCell ref="E56:F56"/>
    <mergeCell ref="K1:T2"/>
    <mergeCell ref="Q6:T7"/>
    <mergeCell ref="S52:T52"/>
    <mergeCell ref="O4:S5"/>
    <mergeCell ref="F53:G53"/>
  </mergeCells>
  <conditionalFormatting sqref="J56:J72">
    <cfRule type="cellIs" priority="3" dxfId="23" operator="notEqual" stopIfTrue="1">
      <formula>$V56</formula>
    </cfRule>
  </conditionalFormatting>
  <conditionalFormatting sqref="L74">
    <cfRule type="expression" priority="4" dxfId="19" stopIfTrue="1">
      <formula>$H74="KH"</formula>
    </cfRule>
  </conditionalFormatting>
  <conditionalFormatting sqref="I74">
    <cfRule type="expression" priority="5" dxfId="21" stopIfTrue="1">
      <formula>$H74="KH"</formula>
    </cfRule>
    <cfRule type="cellIs" priority="6" dxfId="7" operator="greaterThan" stopIfTrue="1">
      <formula>1</formula>
    </cfRule>
  </conditionalFormatting>
  <conditionalFormatting sqref="K74">
    <cfRule type="expression" priority="7" dxfId="19" stopIfTrue="1">
      <formula>$H74="KH"</formula>
    </cfRule>
    <cfRule type="cellIs" priority="8" dxfId="6" operator="greaterThan" stopIfTrue="1">
      <formula>$U$74</formula>
    </cfRule>
  </conditionalFormatting>
  <conditionalFormatting sqref="K73">
    <cfRule type="cellIs" priority="9" dxfId="6" operator="greaterThan" stopIfTrue="1">
      <formula>$U73</formula>
    </cfRule>
  </conditionalFormatting>
  <conditionalFormatting sqref="D8">
    <cfRule type="expression" priority="10" dxfId="6" stopIfTrue="1">
      <formula>$W$8="zweng"</formula>
    </cfRule>
  </conditionalFormatting>
  <conditionalFormatting sqref="J48">
    <cfRule type="cellIs" priority="11" dxfId="199" operator="greaterThan" stopIfTrue="1">
      <formula>0</formula>
    </cfRule>
  </conditionalFormatting>
  <conditionalFormatting sqref="A78:B78">
    <cfRule type="expression" priority="12" dxfId="200" stopIfTrue="1">
      <formula>$A$78&gt;$U$12</formula>
    </cfRule>
    <cfRule type="expression" priority="13" dxfId="12" stopIfTrue="1">
      <formula>$A$78&lt;$U$12</formula>
    </cfRule>
  </conditionalFormatting>
  <conditionalFormatting sqref="R16:T16">
    <cfRule type="expression" priority="14" dxfId="12" stopIfTrue="1">
      <formula>AND($R$16&lt;($A$78-$R$10),$U$15=0)</formula>
    </cfRule>
  </conditionalFormatting>
  <conditionalFormatting sqref="Q16 P20:T20">
    <cfRule type="expression" priority="15" dxfId="11" stopIfTrue="1">
      <formula>$U$16&lt;&gt;9.6</formula>
    </cfRule>
  </conditionalFormatting>
  <conditionalFormatting sqref="U16">
    <cfRule type="expression" priority="16" dxfId="201" stopIfTrue="1">
      <formula>$U$16&lt;&gt;9.6</formula>
    </cfRule>
  </conditionalFormatting>
  <conditionalFormatting sqref="E78:F78">
    <cfRule type="cellIs" priority="17" dxfId="202" operator="notEqual" stopIfTrue="1">
      <formula>$M$47</formula>
    </cfRule>
  </conditionalFormatting>
  <conditionalFormatting sqref="T49">
    <cfRule type="cellIs" priority="18" dxfId="204" operator="greaterThan" stopIfTrue="1">
      <formula>0</formula>
    </cfRule>
  </conditionalFormatting>
  <conditionalFormatting sqref="I73:I74">
    <cfRule type="cellIs" priority="19" dxfId="7" operator="greaterThan" stopIfTrue="1">
      <formula>1</formula>
    </cfRule>
  </conditionalFormatting>
  <conditionalFormatting sqref="M74">
    <cfRule type="cellIs" priority="20" dxfId="6" operator="greaterThan" stopIfTrue="1">
      <formula>$W$74</formula>
    </cfRule>
  </conditionalFormatting>
  <conditionalFormatting sqref="S52:T52">
    <cfRule type="cellIs" priority="21" dxfId="203" operator="greaterThan" stopIfTrue="1">
      <formula>0</formula>
    </cfRule>
  </conditionalFormatting>
  <conditionalFormatting sqref="S49:T50">
    <cfRule type="expression" priority="1" dxfId="205" stopIfTrue="1">
      <formula>$AC$49="pri"</formula>
    </cfRule>
  </conditionalFormatting>
  <dataValidations count="6">
    <dataValidation type="list" allowBlank="1" showInputMessage="1" showErrorMessage="1" prompt="bitte auswählen, &#10;falls Führung genehmigt" sqref="S52:T52">
      <formula1>$W52:$Y52</formula1>
    </dataValidation>
    <dataValidation allowBlank="1" showInputMessage="1" showErrorMessage="1" prompt="Je nach links ausgewählter Stundentafel werden hier Vorgabewerte geliefert,&#10;&#10;... die schulautonom noch änderbar sind." sqref="J56 N56 L56"/>
    <dataValidation type="list" allowBlank="1" showInputMessage="1" showErrorMessage="1" sqref="H56:H72">
      <formula1>$Z$54:$Z$76</formula1>
    </dataValidation>
    <dataValidation type="whole" allowBlank="1" showInputMessage="1" showErrorMessage="1" prompt="zu zählen sind PC u. Laptop im Unterricht, auch interaktive Tafeln;&#10;Nicht aber Server, PC für Verwaltung und Lehrer(-Vorbereitung) .." error="erst ab 6 Geräten gibt's was!" sqref="T78">
      <formula1>3</formula1>
      <formula2>66</formula2>
    </dataValidation>
    <dataValidation type="decimal" allowBlank="1" showInputMessage="1" showErrorMessage="1" error="bitte gültige Zahl eingeben!" sqref="J80 O80 H82 J83 Q82">
      <formula1>0</formula1>
      <formula2>222</formula2>
    </dataValidation>
    <dataValidation allowBlank="1" showInputMessage="1" showErrorMessage="1" prompt="EH ist in dieser Klasse nicht vorgesehen" sqref="L74:M74"/>
  </dataValidations>
  <printOptions horizontalCentered="1"/>
  <pageMargins left="0.5511811023622047" right="0.3937007874015748" top="0.5511811023622047" bottom="0.5511811023622047" header="0.3937007874015748" footer="0.3937007874015748"/>
  <pageSetup horizontalDpi="600" verticalDpi="600" orientation="portrait" paperSize="9" scale="78" r:id="rId4"/>
  <headerFooter alignWithMargins="0">
    <oddFooter>&amp;C&amp;8&amp;F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>
    <tabColor indexed="44"/>
    <pageSetUpPr fitToPage="1"/>
  </sheetPr>
  <dimension ref="A1:AS44"/>
  <sheetViews>
    <sheetView showGridLines="0" showZeros="0"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5" sqref="L5"/>
    </sheetView>
  </sheetViews>
  <sheetFormatPr defaultColWidth="4.25390625" defaultRowHeight="14.25" zeroHeight="1"/>
  <cols>
    <col min="1" max="2" width="6.625" style="278" customWidth="1"/>
    <col min="3" max="3" width="0.2421875" style="278" customWidth="1"/>
    <col min="4" max="4" width="6.25390625" style="278" customWidth="1"/>
    <col min="5" max="6" width="5.75390625" style="278" customWidth="1"/>
    <col min="7" max="8" width="5.25390625" style="278" customWidth="1"/>
    <col min="9" max="9" width="1.625" style="278" customWidth="1"/>
    <col min="10" max="11" width="5.75390625" style="278" customWidth="1"/>
    <col min="12" max="13" width="5.25390625" style="278" customWidth="1"/>
    <col min="14" max="14" width="2.625" style="278" customWidth="1"/>
    <col min="15" max="16" width="5.75390625" style="278" customWidth="1"/>
    <col min="17" max="18" width="5.25390625" style="278" customWidth="1"/>
    <col min="19" max="19" width="1.625" style="278" customWidth="1"/>
    <col min="20" max="21" width="5.75390625" style="278" customWidth="1"/>
    <col min="22" max="23" width="5.25390625" style="278" customWidth="1"/>
    <col min="24" max="24" width="2.625" style="278" customWidth="1"/>
    <col min="25" max="26" width="5.75390625" style="278" customWidth="1"/>
    <col min="27" max="28" width="5.25390625" style="278" customWidth="1"/>
    <col min="29" max="29" width="2.625" style="278" customWidth="1"/>
    <col min="30" max="36" width="4.375" style="278" customWidth="1"/>
    <col min="37" max="37" width="7.25390625" style="278" bestFit="1" customWidth="1"/>
    <col min="38" max="16384" width="4.25390625" style="278" customWidth="1"/>
  </cols>
  <sheetData>
    <row r="1" spans="1:45" ht="30">
      <c r="A1" s="771" t="s">
        <v>368</v>
      </c>
      <c r="O1" s="279" t="s">
        <v>88</v>
      </c>
      <c r="P1" s="716" t="str">
        <f>Einleitung!B6</f>
        <v>ASO  . . .</v>
      </c>
      <c r="AF1" s="703">
        <v>5</v>
      </c>
      <c r="AG1" s="705">
        <v>10</v>
      </c>
      <c r="AH1" s="686" t="s">
        <v>340</v>
      </c>
      <c r="AI1" s="684" t="s">
        <v>341</v>
      </c>
      <c r="AS1" s="715" t="s">
        <v>89</v>
      </c>
    </row>
    <row r="2" spans="1:35" ht="12.75" customHeight="1">
      <c r="A2" s="280"/>
      <c r="AF2" s="704">
        <v>2</v>
      </c>
      <c r="AG2" s="705">
        <v>3</v>
      </c>
      <c r="AH2" s="684">
        <v>3</v>
      </c>
      <c r="AI2" s="687">
        <v>2</v>
      </c>
    </row>
    <row r="3" spans="1:35" ht="15.75">
      <c r="A3" s="280"/>
      <c r="O3" s="644"/>
      <c r="P3" s="645"/>
      <c r="Q3" s="644"/>
      <c r="R3" s="644"/>
      <c r="S3" s="713" t="s">
        <v>329</v>
      </c>
      <c r="T3" s="714" t="s">
        <v>328</v>
      </c>
      <c r="AF3" s="703">
        <v>12</v>
      </c>
      <c r="AG3" s="687">
        <v>0</v>
      </c>
      <c r="AH3" s="685">
        <v>0.4</v>
      </c>
      <c r="AI3" s="686">
        <f>SUM(AH2:AI2)</f>
        <v>5</v>
      </c>
    </row>
    <row r="4" spans="4:35" ht="15" thickBot="1">
      <c r="D4" s="717" t="s">
        <v>346</v>
      </c>
      <c r="O4"/>
      <c r="P4"/>
      <c r="Q4" s="772" t="s">
        <v>171</v>
      </c>
      <c r="R4" s="646"/>
      <c r="S4" s="692" t="s">
        <v>369</v>
      </c>
      <c r="AF4" s="684"/>
      <c r="AG4" s="687">
        <v>2</v>
      </c>
      <c r="AH4" s="685">
        <v>0.62</v>
      </c>
      <c r="AI4" s="684"/>
    </row>
    <row r="5" spans="1:35" ht="19.5" thickBot="1" thickTop="1">
      <c r="A5" s="693"/>
      <c r="H5" s="281" t="s">
        <v>347</v>
      </c>
      <c r="I5" s="861">
        <f>Klassen!AK17+Klassen!AK19</f>
        <v>0</v>
      </c>
      <c r="J5" s="862"/>
      <c r="K5" s="719" t="s">
        <v>348</v>
      </c>
      <c r="L5" s="720"/>
      <c r="M5" s="710" t="str">
        <f>IF(L5&lt;0," an anderer Schule",IF(L5&gt;0," von anderer Schule"," an/von anderer Schule"))</f>
        <v> an/von anderer Schule</v>
      </c>
      <c r="O5"/>
      <c r="P5"/>
      <c r="Q5" s="721">
        <f>IF(L5&lt;&gt;0,"= "&amp;C6,)</f>
        <v>0</v>
      </c>
      <c r="AF5" s="684"/>
      <c r="AG5" s="687">
        <v>3</v>
      </c>
      <c r="AH5" s="685">
        <v>0.84</v>
      </c>
      <c r="AI5" s="684"/>
    </row>
    <row r="6" spans="1:34" ht="18.75" thickTop="1">
      <c r="A6" s="693"/>
      <c r="C6" s="718">
        <f>SUM(I5,L5)</f>
        <v>0</v>
      </c>
      <c r="N6" s="279">
        <f>IF(AI7&gt;0,"daher sind bei pr3 wöchentlich höchstens ",)</f>
        <v>0</v>
      </c>
      <c r="O6" s="694">
        <f>IF(AI7&gt;0,AI7,)</f>
        <v>0</v>
      </c>
      <c r="P6" s="695">
        <f>ROUNDUP($AI7*0.84,1)</f>
        <v>0</v>
      </c>
      <c r="Q6" s="695">
        <f>ROUNDUP($AI7*0.62,1)</f>
        <v>0</v>
      </c>
      <c r="R6" s="696">
        <f>ROUNDUP($AI7*0.4,1)</f>
        <v>0</v>
      </c>
      <c r="S6" s="278">
        <f>IF(AI7&gt;0," Wochenstunden über die Lehrerbesoldung abrechenbar,",)</f>
        <v>0</v>
      </c>
      <c r="AF6" s="684"/>
      <c r="AG6" s="688">
        <v>4</v>
      </c>
      <c r="AH6" s="689">
        <v>1</v>
      </c>
    </row>
    <row r="7" spans="1:36" ht="12.75" customHeight="1">
      <c r="A7" s="697"/>
      <c r="O7" s="698">
        <f>IF(AI7&gt;0,"bei Lernzeiten an ..  4 od. 5, ",)</f>
        <v>0</v>
      </c>
      <c r="P7" s="699">
        <f>IF(AI7&gt;0,"an 3,",)</f>
        <v>0</v>
      </c>
      <c r="Q7" s="699">
        <f>IF(AI7&gt;0,"an 2,",)</f>
        <v>0</v>
      </c>
      <c r="R7" s="700">
        <f>IF(AI7&gt;0," oder lediglich an 1 Tag(en) pro Woche.",)</f>
        <v>0</v>
      </c>
      <c r="AF7" s="709">
        <v>20</v>
      </c>
      <c r="AH7" s="691">
        <f>ROUNDUP(LOOKUP(AF26,AG3:AG6,AH3:AH6)*AI7,1)</f>
        <v>0</v>
      </c>
      <c r="AI7" s="647">
        <f>IF(C6&lt;AG2,,IF(C6&lt;AF7,LOOKUP(C6,AH8:AH11,AI8:AI11),ROUNDDOWN(C6/AF$1,0)*AH$2+ROUNDDOWN(C6/AG$1,0)*AI$2))</f>
        <v>0</v>
      </c>
      <c r="AJ7" s="690">
        <f>IF(C6&gt;=AG1,MAX(ROUNDDOWN(C6/AG1,0),ROUNDUP(C6/AF3,0)),IF(C6&gt;=AG2,1,))</f>
        <v>0</v>
      </c>
    </row>
    <row r="8" spans="1:35" ht="15.75">
      <c r="A8" s="644" t="s">
        <v>359</v>
      </c>
      <c r="AH8" s="706">
        <v>0</v>
      </c>
      <c r="AI8" s="707">
        <f>AI3</f>
        <v>5</v>
      </c>
    </row>
    <row r="9" spans="1:35" ht="6.75" customHeight="1">
      <c r="A9" s="697"/>
      <c r="AH9" s="708">
        <v>7</v>
      </c>
      <c r="AI9" s="707">
        <f>AI8*1.6</f>
        <v>8</v>
      </c>
    </row>
    <row r="10" spans="1:35" ht="20.25">
      <c r="A10" s="282"/>
      <c r="D10" s="283" t="s">
        <v>90</v>
      </c>
      <c r="F10" s="284" t="s">
        <v>91</v>
      </c>
      <c r="G10" s="285"/>
      <c r="H10" s="286"/>
      <c r="I10" s="287"/>
      <c r="J10" s="287"/>
      <c r="K10" s="284" t="s">
        <v>92</v>
      </c>
      <c r="L10" s="285"/>
      <c r="M10" s="286"/>
      <c r="N10" s="287"/>
      <c r="O10" s="287"/>
      <c r="P10" s="284" t="s">
        <v>93</v>
      </c>
      <c r="Q10" s="285"/>
      <c r="R10" s="286"/>
      <c r="S10" s="287"/>
      <c r="T10" s="287"/>
      <c r="U10" s="284" t="s">
        <v>94</v>
      </c>
      <c r="V10" s="285"/>
      <c r="W10" s="286"/>
      <c r="X10" s="287"/>
      <c r="Y10" s="287"/>
      <c r="Z10" s="284" t="s">
        <v>95</v>
      </c>
      <c r="AA10" s="285"/>
      <c r="AB10" s="286"/>
      <c r="AH10" s="708">
        <v>11</v>
      </c>
      <c r="AI10" s="707">
        <f>AI8*2</f>
        <v>10</v>
      </c>
    </row>
    <row r="11" spans="1:35" ht="14.25">
      <c r="A11" s="854" t="s">
        <v>96</v>
      </c>
      <c r="B11" s="855"/>
      <c r="C11" s="288"/>
      <c r="D11" s="288"/>
      <c r="E11" s="289" t="s">
        <v>97</v>
      </c>
      <c r="F11" s="290"/>
      <c r="J11" s="289" t="s">
        <v>97</v>
      </c>
      <c r="K11" s="290"/>
      <c r="O11" s="289" t="s">
        <v>97</v>
      </c>
      <c r="P11" s="290"/>
      <c r="T11" s="289" t="s">
        <v>97</v>
      </c>
      <c r="U11" s="290"/>
      <c r="Y11" s="289" t="s">
        <v>97</v>
      </c>
      <c r="Z11" s="290"/>
      <c r="AH11" s="708">
        <v>15</v>
      </c>
      <c r="AI11" s="707">
        <f>AI8*2.6</f>
        <v>13</v>
      </c>
    </row>
    <row r="12" spans="1:31" ht="14.25">
      <c r="A12" s="856"/>
      <c r="B12" s="857"/>
      <c r="C12" s="288"/>
      <c r="D12" s="288"/>
      <c r="E12" s="291" t="s">
        <v>98</v>
      </c>
      <c r="F12" s="292" t="s">
        <v>98</v>
      </c>
      <c r="G12" s="293" t="s">
        <v>99</v>
      </c>
      <c r="H12" s="294"/>
      <c r="J12" s="291" t="s">
        <v>98</v>
      </c>
      <c r="K12" s="292" t="s">
        <v>98</v>
      </c>
      <c r="L12" s="293" t="s">
        <v>99</v>
      </c>
      <c r="M12" s="294"/>
      <c r="O12" s="291" t="s">
        <v>98</v>
      </c>
      <c r="P12" s="292" t="s">
        <v>98</v>
      </c>
      <c r="Q12" s="293" t="s">
        <v>99</v>
      </c>
      <c r="R12" s="294"/>
      <c r="T12" s="291" t="s">
        <v>98</v>
      </c>
      <c r="U12" s="292" t="s">
        <v>98</v>
      </c>
      <c r="V12" s="293" t="s">
        <v>99</v>
      </c>
      <c r="W12" s="294"/>
      <c r="Y12" s="291" t="s">
        <v>98</v>
      </c>
      <c r="Z12" s="292" t="s">
        <v>98</v>
      </c>
      <c r="AA12" s="293" t="s">
        <v>99</v>
      </c>
      <c r="AB12" s="294"/>
      <c r="AD12" s="295">
        <v>0.034722222222222224</v>
      </c>
      <c r="AE12" s="295">
        <v>0.6666666666666666</v>
      </c>
    </row>
    <row r="13" spans="1:28" ht="15">
      <c r="A13" s="296" t="s">
        <v>100</v>
      </c>
      <c r="B13" s="297" t="s">
        <v>101</v>
      </c>
      <c r="C13" s="298"/>
      <c r="D13" s="298"/>
      <c r="E13" s="299" t="s">
        <v>102</v>
      </c>
      <c r="F13" s="300" t="s">
        <v>103</v>
      </c>
      <c r="G13" s="301" t="s">
        <v>102</v>
      </c>
      <c r="H13" s="302" t="s">
        <v>103</v>
      </c>
      <c r="J13" s="299" t="s">
        <v>102</v>
      </c>
      <c r="K13" s="300" t="s">
        <v>103</v>
      </c>
      <c r="L13" s="301" t="s">
        <v>102</v>
      </c>
      <c r="M13" s="302" t="s">
        <v>103</v>
      </c>
      <c r="O13" s="299" t="s">
        <v>102</v>
      </c>
      <c r="P13" s="300" t="s">
        <v>103</v>
      </c>
      <c r="Q13" s="301" t="s">
        <v>102</v>
      </c>
      <c r="R13" s="302" t="s">
        <v>103</v>
      </c>
      <c r="T13" s="299" t="s">
        <v>102</v>
      </c>
      <c r="U13" s="300" t="s">
        <v>103</v>
      </c>
      <c r="V13" s="301" t="s">
        <v>102</v>
      </c>
      <c r="W13" s="302" t="s">
        <v>103</v>
      </c>
      <c r="Y13" s="299" t="s">
        <v>102</v>
      </c>
      <c r="Z13" s="300" t="s">
        <v>103</v>
      </c>
      <c r="AA13" s="301" t="s">
        <v>102</v>
      </c>
      <c r="AB13" s="302" t="s">
        <v>103</v>
      </c>
    </row>
    <row r="14" spans="1:39" ht="18">
      <c r="A14" s="678"/>
      <c r="B14" s="679">
        <f>IF(A14&gt;0,A14+AD$12,)</f>
        <v>0</v>
      </c>
      <c r="C14" s="303">
        <f aca="true" t="shared" si="0" ref="C14:C23">ROUND((B14-A14)*24*60,1)</f>
        <v>0</v>
      </c>
      <c r="D14" s="303">
        <f aca="true" t="shared" si="1" ref="D14:D23">IF(A14&gt;0,"= "&amp;C14&amp;" min",)</f>
        <v>0</v>
      </c>
      <c r="E14" s="578"/>
      <c r="F14" s="579"/>
      <c r="G14" s="701">
        <f aca="true" t="shared" si="2" ref="G14:H23">AD14</f>
        <v>0</v>
      </c>
      <c r="H14" s="702">
        <f t="shared" si="2"/>
        <v>0</v>
      </c>
      <c r="I14" s="580"/>
      <c r="J14" s="581"/>
      <c r="K14" s="582"/>
      <c r="L14" s="701">
        <f aca="true" t="shared" si="3" ref="L14:M23">AF14</f>
        <v>0</v>
      </c>
      <c r="M14" s="702">
        <f t="shared" si="3"/>
        <v>0</v>
      </c>
      <c r="N14" s="583"/>
      <c r="O14" s="584"/>
      <c r="P14" s="585"/>
      <c r="Q14" s="701">
        <f aca="true" t="shared" si="4" ref="Q14:R23">AH14</f>
        <v>0</v>
      </c>
      <c r="R14" s="702">
        <f t="shared" si="4"/>
        <v>0</v>
      </c>
      <c r="S14" s="583"/>
      <c r="T14" s="581"/>
      <c r="U14" s="582"/>
      <c r="V14" s="701">
        <f aca="true" t="shared" si="5" ref="V14:W23">AJ14</f>
        <v>0</v>
      </c>
      <c r="W14" s="702">
        <f t="shared" si="5"/>
        <v>0</v>
      </c>
      <c r="X14" s="583"/>
      <c r="Y14" s="584"/>
      <c r="Z14" s="585"/>
      <c r="AA14" s="701">
        <f aca="true" t="shared" si="6" ref="AA14:AB23">AL14</f>
        <v>0</v>
      </c>
      <c r="AB14" s="702">
        <f t="shared" si="6"/>
        <v>0</v>
      </c>
      <c r="AD14" s="304">
        <f>IF(E14&gt;=AF1,ROUNDDOWN(E14/AF1,0),IF(E14&gt;0,1,))*C14/50</f>
        <v>0</v>
      </c>
      <c r="AE14" s="304">
        <f>IF(F14&gt;=AG1,MAX(ROUNDDOWN(F14/AG1,0),ROUNDUP(F14/AF3,0)),IF(F14&gt;0,1,))*C14/50*0.5</f>
        <v>0</v>
      </c>
      <c r="AF14" s="304">
        <f>IF(J14&gt;=AF1,ROUNDDOWN(J14/AF1,0),IF(J14&gt;0,1,))*C14/50</f>
        <v>0</v>
      </c>
      <c r="AG14" s="304">
        <f>IF(K14&gt;=AG1,MAX(ROUNDDOWN(K14/AG1,0),ROUNDUP(K14/AF3,0)),IF(K14&gt;0,1,))*C14/50*0.5</f>
        <v>0</v>
      </c>
      <c r="AH14" s="304">
        <f>IF(O14&gt;=AF1,ROUNDDOWN(O14/AF1,0),IF(O14&gt;0,1,))*C14/50</f>
        <v>0</v>
      </c>
      <c r="AI14" s="304">
        <f>IF(P14&gt;=AG1,MAX(ROUNDDOWN(P14/AG1,0),ROUNDUP(P14/AF3,0)),IF(P14&gt;0,1,))*C14/50*0.5</f>
        <v>0</v>
      </c>
      <c r="AJ14" s="304">
        <f>IF(T14&gt;=AF1,ROUNDDOWN(T14/AF1,0),IF(T14&gt;0,1,))*C14/50</f>
        <v>0</v>
      </c>
      <c r="AK14" s="304">
        <f>IF(U14&gt;=AG1,MAX(ROUNDDOWN(U14/AG1,0),ROUNDUP(U14/AF3,0)),IF(U14&gt;0,1,))*C14/50*0.5</f>
        <v>0</v>
      </c>
      <c r="AL14" s="304">
        <f>IF(Y14&gt;=AF1,ROUNDDOWN(Y14/AF1,0),IF(Y14&gt;0,1,))*C14/50</f>
        <v>0</v>
      </c>
      <c r="AM14" s="304">
        <f>IF(Z14&gt;=AG1,MAX(ROUNDDOWN(Z14/AG1,0),ROUNDUP(Z14/AF3,0)),IF(Z14&gt;0,1,))*C14/50*0.5</f>
        <v>0</v>
      </c>
    </row>
    <row r="15" spans="1:39" ht="18">
      <c r="A15" s="680">
        <f aca="true" t="shared" si="7" ref="A15:A22">IF(B14&lt;AE$12,B14,)</f>
        <v>0</v>
      </c>
      <c r="B15" s="681">
        <f>IF(A15&gt;0,A15+AD$12,)</f>
        <v>0</v>
      </c>
      <c r="C15" s="303">
        <f t="shared" si="0"/>
        <v>0</v>
      </c>
      <c r="D15" s="303">
        <f t="shared" si="1"/>
        <v>0</v>
      </c>
      <c r="E15" s="578"/>
      <c r="F15" s="579"/>
      <c r="G15" s="701">
        <f t="shared" si="2"/>
        <v>0</v>
      </c>
      <c r="H15" s="702">
        <f t="shared" si="2"/>
        <v>0</v>
      </c>
      <c r="I15" s="580"/>
      <c r="J15" s="581"/>
      <c r="K15" s="582"/>
      <c r="L15" s="701">
        <f t="shared" si="3"/>
        <v>0</v>
      </c>
      <c r="M15" s="702">
        <f t="shared" si="3"/>
        <v>0</v>
      </c>
      <c r="N15" s="583"/>
      <c r="O15" s="586"/>
      <c r="P15" s="587"/>
      <c r="Q15" s="701">
        <f t="shared" si="4"/>
        <v>0</v>
      </c>
      <c r="R15" s="702">
        <f t="shared" si="4"/>
        <v>0</v>
      </c>
      <c r="S15" s="583"/>
      <c r="T15" s="581"/>
      <c r="U15" s="582"/>
      <c r="V15" s="701">
        <f t="shared" si="5"/>
        <v>0</v>
      </c>
      <c r="W15" s="702">
        <f t="shared" si="5"/>
        <v>0</v>
      </c>
      <c r="X15" s="583"/>
      <c r="Y15" s="586"/>
      <c r="Z15" s="587"/>
      <c r="AA15" s="701">
        <f t="shared" si="6"/>
        <v>0</v>
      </c>
      <c r="AB15" s="702">
        <f t="shared" si="6"/>
        <v>0</v>
      </c>
      <c r="AD15" s="304">
        <f>IF(E15&gt;=AF1,ROUNDDOWN(E15/AF1,0),IF(E15&gt;0,1,))*C15/50</f>
        <v>0</v>
      </c>
      <c r="AE15" s="304">
        <f>IF(F15&gt;=AG1,MAX(ROUNDDOWN(F15/AG1,0),ROUNDUP(F15/AF3,0)),IF(F15&gt;0,1,))*C15/50*0.5</f>
        <v>0</v>
      </c>
      <c r="AF15" s="304">
        <f>IF(J15&gt;=AF1,ROUNDDOWN(J15/AF1,0),IF(J15&gt;0,1,))*C15/50</f>
        <v>0</v>
      </c>
      <c r="AG15" s="304">
        <f>IF(K15&gt;=AG1,MAX(ROUNDDOWN(K15/AG1,0),ROUNDUP(K15/AF3,0)),IF(K15&gt;0,1,))*C15/50*0.5</f>
        <v>0</v>
      </c>
      <c r="AH15" s="304">
        <f>IF(O15&gt;=AF1,ROUNDDOWN(O15/AF1,0),IF(O15&gt;0,1,))*C15/50</f>
        <v>0</v>
      </c>
      <c r="AI15" s="304">
        <f>IF(P15&gt;=AG1,MAX(ROUNDDOWN(P15/AG1,0),ROUNDUP(P15/AF3,0)),IF(P15&gt;0,1,))*C15/50*0.5</f>
        <v>0</v>
      </c>
      <c r="AJ15" s="304">
        <f>IF(T15&gt;=AF1,ROUNDDOWN(T15/AF1,0),IF(T15&gt;0,1,))*C15/50</f>
        <v>0</v>
      </c>
      <c r="AK15" s="304">
        <f>IF(U15&gt;=AG1,MAX(ROUNDDOWN(U15/AG1,0),ROUNDUP(U15/AF3,0)),IF(U15&gt;0,1,))*C15/50*0.5</f>
        <v>0</v>
      </c>
      <c r="AL15" s="304">
        <f>IF(Y15&gt;=AF1,ROUNDDOWN(Y15/AF1,0),IF(Y15&gt;0,1,))*C15/50</f>
        <v>0</v>
      </c>
      <c r="AM15" s="304">
        <f>IF(Z15&gt;=AG1,MAX(ROUNDDOWN(Z15/AG1,0),ROUNDUP(Z15/AF3,0)),IF(Z15&gt;0,1,))*C15/50*0.5</f>
        <v>0</v>
      </c>
    </row>
    <row r="16" spans="1:39" ht="18">
      <c r="A16" s="680">
        <f t="shared" si="7"/>
        <v>0</v>
      </c>
      <c r="B16" s="681">
        <f aca="true" t="shared" si="8" ref="B16:B22">IF(A16&gt;0,A16+AD$12,)</f>
        <v>0</v>
      </c>
      <c r="C16" s="303">
        <f>ROUND((B16-A16)*24*60,1)</f>
        <v>0</v>
      </c>
      <c r="D16" s="303">
        <f>IF(A16&gt;0,"= "&amp;C16&amp;" min",)</f>
        <v>0</v>
      </c>
      <c r="E16" s="578"/>
      <c r="F16" s="579"/>
      <c r="G16" s="701">
        <f>AD16</f>
        <v>0</v>
      </c>
      <c r="H16" s="702">
        <f>AE16</f>
        <v>0</v>
      </c>
      <c r="I16" s="580"/>
      <c r="J16" s="581"/>
      <c r="K16" s="582"/>
      <c r="L16" s="701">
        <f>AF16</f>
        <v>0</v>
      </c>
      <c r="M16" s="702">
        <f>AG16</f>
        <v>0</v>
      </c>
      <c r="N16" s="583"/>
      <c r="O16" s="586"/>
      <c r="P16" s="587"/>
      <c r="Q16" s="701">
        <f>AH16</f>
        <v>0</v>
      </c>
      <c r="R16" s="702">
        <f>AI16</f>
        <v>0</v>
      </c>
      <c r="S16" s="583"/>
      <c r="T16" s="581"/>
      <c r="U16" s="582"/>
      <c r="V16" s="701">
        <f>AJ16</f>
        <v>0</v>
      </c>
      <c r="W16" s="702">
        <f>AK16</f>
        <v>0</v>
      </c>
      <c r="X16" s="583"/>
      <c r="Y16" s="586"/>
      <c r="Z16" s="587"/>
      <c r="AA16" s="701">
        <f>AL16</f>
        <v>0</v>
      </c>
      <c r="AB16" s="702">
        <f>AM16</f>
        <v>0</v>
      </c>
      <c r="AD16" s="304">
        <f>IF(E16&gt;=AF1,ROUNDDOWN(E16/AF1,0),IF(E16&gt;0,1,))*C16/50</f>
        <v>0</v>
      </c>
      <c r="AE16" s="304">
        <f>IF(F16&gt;=AG1,MAX(ROUNDDOWN(F16/AG1,0),ROUNDUP(F16/AF3,0)),IF(F16&gt;0,1,))*C16/50*0.5</f>
        <v>0</v>
      </c>
      <c r="AF16" s="304">
        <f>IF(J16&gt;=AF1,ROUNDDOWN(J16/AF1,0),IF(J16&gt;0,1,))*C16/50</f>
        <v>0</v>
      </c>
      <c r="AG16" s="304">
        <f>IF(K16&gt;=AG1,MAX(ROUNDDOWN(K16/AG1,0),ROUNDUP(K16/AF3,0)),IF(K16&gt;0,1,))*C16/50*0.5</f>
        <v>0</v>
      </c>
      <c r="AH16" s="304">
        <f>IF(O16&gt;=AF1,ROUNDDOWN(O16/AF1,0),IF(O16&gt;0,1,))*C16/50</f>
        <v>0</v>
      </c>
      <c r="AI16" s="304">
        <f>IF(P16&gt;=AG1,MAX(ROUNDDOWN(P16/AG1,0),ROUNDUP(P16/AF3,0)),IF(P16&gt;0,1,))*C16/50*0.5</f>
        <v>0</v>
      </c>
      <c r="AJ16" s="304">
        <f>IF(T16&gt;=AF1,ROUNDDOWN(T16/AF1,0),IF(T16&gt;0,1,))*C16/50</f>
        <v>0</v>
      </c>
      <c r="AK16" s="304">
        <f>IF(U16&gt;=AG1,MAX(ROUNDDOWN(U16/AG1,0),ROUNDUP(U16/AF3,0)),IF(U16&gt;0,1,))*C16/50*0.5</f>
        <v>0</v>
      </c>
      <c r="AL16" s="304">
        <f>IF(Y16&gt;=AF1,ROUNDDOWN(Y16/AF1,0),IF(Y16&gt;0,1,))*C16/50</f>
        <v>0</v>
      </c>
      <c r="AM16" s="304">
        <f>IF(Z16&gt;=AG1,MAX(ROUNDDOWN(Z16/AG1,0),ROUNDUP(Z16/AF3,0)),IF(Z16&gt;0,1,))*C16/50*0.5</f>
        <v>0</v>
      </c>
    </row>
    <row r="17" spans="1:39" ht="18">
      <c r="A17" s="680">
        <f t="shared" si="7"/>
        <v>0</v>
      </c>
      <c r="B17" s="681">
        <f t="shared" si="8"/>
        <v>0</v>
      </c>
      <c r="C17" s="303">
        <f t="shared" si="0"/>
        <v>0</v>
      </c>
      <c r="D17" s="303">
        <f t="shared" si="1"/>
        <v>0</v>
      </c>
      <c r="E17" s="578"/>
      <c r="F17" s="579"/>
      <c r="G17" s="701">
        <f t="shared" si="2"/>
        <v>0</v>
      </c>
      <c r="H17" s="702">
        <f t="shared" si="2"/>
        <v>0</v>
      </c>
      <c r="I17" s="580"/>
      <c r="J17" s="581"/>
      <c r="K17" s="582"/>
      <c r="L17" s="701">
        <f t="shared" si="3"/>
        <v>0</v>
      </c>
      <c r="M17" s="702">
        <f t="shared" si="3"/>
        <v>0</v>
      </c>
      <c r="N17" s="583"/>
      <c r="O17" s="586"/>
      <c r="P17" s="587"/>
      <c r="Q17" s="701">
        <f t="shared" si="4"/>
        <v>0</v>
      </c>
      <c r="R17" s="702">
        <f t="shared" si="4"/>
        <v>0</v>
      </c>
      <c r="S17" s="583"/>
      <c r="T17" s="581"/>
      <c r="U17" s="582"/>
      <c r="V17" s="701">
        <f t="shared" si="5"/>
        <v>0</v>
      </c>
      <c r="W17" s="702">
        <f t="shared" si="5"/>
        <v>0</v>
      </c>
      <c r="X17" s="583"/>
      <c r="Y17" s="586"/>
      <c r="Z17" s="587"/>
      <c r="AA17" s="701">
        <f t="shared" si="6"/>
        <v>0</v>
      </c>
      <c r="AB17" s="702">
        <f t="shared" si="6"/>
        <v>0</v>
      </c>
      <c r="AD17" s="304">
        <f>IF(E17&gt;=AF1,ROUNDDOWN(E17/AF1,0),IF(E17&gt;0,1,))*C17/50</f>
        <v>0</v>
      </c>
      <c r="AE17" s="304">
        <f>IF(F17&gt;=AG1,MAX(ROUNDDOWN(F17/AG1,0),ROUNDUP(F17/AF3,0)),IF(F17&gt;0,1,))*C17/50*0.5</f>
        <v>0</v>
      </c>
      <c r="AF17" s="304">
        <f>IF(J17&gt;=AF1,ROUNDDOWN(J17/AF1,0),IF(J17&gt;0,1,))*C17/50</f>
        <v>0</v>
      </c>
      <c r="AG17" s="304">
        <f>IF(K17&gt;=AG1,MAX(ROUNDDOWN(K17/AG1,0),ROUNDUP(K17/AF3,0)),IF(K17&gt;0,1,))*C17/50*0.5</f>
        <v>0</v>
      </c>
      <c r="AH17" s="304">
        <f>IF(O17&gt;=AF1,ROUNDDOWN(O17/AF1,0),IF(O17&gt;0,1,))*C17/50</f>
        <v>0</v>
      </c>
      <c r="AI17" s="304">
        <f>IF(P17&gt;=AG1,MAX(ROUNDDOWN(P17/AG1,0),ROUNDUP(P17/AF3,0)),IF(P17&gt;0,1,))*C17/50*0.5</f>
        <v>0</v>
      </c>
      <c r="AJ17" s="304">
        <f>IF(T17&gt;=AF1,ROUNDDOWN(T17/AF1,0),IF(T17&gt;0,1,))*C17/50</f>
        <v>0</v>
      </c>
      <c r="AK17" s="304">
        <f>IF(U17&gt;=AG1,MAX(ROUNDDOWN(U17/AG1,0),ROUNDUP(U17/AF3,0)),IF(U17&gt;0,1,))*C17/50*0.5</f>
        <v>0</v>
      </c>
      <c r="AL17" s="304">
        <f>IF(Y17&gt;=AF1,ROUNDDOWN(Y17/AF1,0),IF(Y17&gt;0,1,))*C17/50</f>
        <v>0</v>
      </c>
      <c r="AM17" s="304">
        <f>IF(Z17&gt;=AG1,MAX(ROUNDDOWN(Z17/AG1,0),ROUNDUP(Z17/AF3,0)),IF(Z17&gt;0,1,))*C17/50*0.5</f>
        <v>0</v>
      </c>
    </row>
    <row r="18" spans="1:39" ht="18">
      <c r="A18" s="680">
        <f t="shared" si="7"/>
        <v>0</v>
      </c>
      <c r="B18" s="681">
        <f t="shared" si="8"/>
        <v>0</v>
      </c>
      <c r="C18" s="303">
        <f t="shared" si="0"/>
        <v>0</v>
      </c>
      <c r="D18" s="303">
        <f t="shared" si="1"/>
        <v>0</v>
      </c>
      <c r="E18" s="588"/>
      <c r="F18" s="589"/>
      <c r="G18" s="701">
        <f t="shared" si="2"/>
        <v>0</v>
      </c>
      <c r="H18" s="702">
        <f t="shared" si="2"/>
        <v>0</v>
      </c>
      <c r="I18" s="580"/>
      <c r="J18" s="590"/>
      <c r="K18" s="591"/>
      <c r="L18" s="701">
        <f t="shared" si="3"/>
        <v>0</v>
      </c>
      <c r="M18" s="702">
        <f t="shared" si="3"/>
        <v>0</v>
      </c>
      <c r="N18" s="583"/>
      <c r="O18" s="592"/>
      <c r="P18" s="593"/>
      <c r="Q18" s="701">
        <f t="shared" si="4"/>
        <v>0</v>
      </c>
      <c r="R18" s="702">
        <f t="shared" si="4"/>
        <v>0</v>
      </c>
      <c r="S18" s="583"/>
      <c r="T18" s="590"/>
      <c r="U18" s="591"/>
      <c r="V18" s="701">
        <f t="shared" si="5"/>
        <v>0</v>
      </c>
      <c r="W18" s="702">
        <f t="shared" si="5"/>
        <v>0</v>
      </c>
      <c r="X18" s="583"/>
      <c r="Y18" s="592"/>
      <c r="Z18" s="593"/>
      <c r="AA18" s="701">
        <f t="shared" si="6"/>
        <v>0</v>
      </c>
      <c r="AB18" s="702">
        <f t="shared" si="6"/>
        <v>0</v>
      </c>
      <c r="AD18" s="304">
        <f>IF(E18&gt;=AF1,ROUNDDOWN(E18/AF1,0),IF(E18&gt;0,1,))*C18/50</f>
        <v>0</v>
      </c>
      <c r="AE18" s="304">
        <f>IF(F18&gt;=AG1,MAX(ROUNDDOWN(F18/AG1,0),ROUNDUP(F18/AF3,0)),IF(F18&gt;0,1,))*C18/50*0.5</f>
        <v>0</v>
      </c>
      <c r="AF18" s="304">
        <f>IF(J18&gt;=AF1,ROUNDDOWN(J18/AF1,0),IF(J18&gt;0,1,))*C18/50</f>
        <v>0</v>
      </c>
      <c r="AG18" s="304">
        <f>IF(K18&gt;=AG1,MAX(ROUNDDOWN(K18/AG1,0),ROUNDUP(K18/AF3,0)),IF(K18&gt;0,1,))*C18/50*0.5</f>
        <v>0</v>
      </c>
      <c r="AH18" s="304">
        <f>IF(O18&gt;=AF1,ROUNDDOWN(O18/AF1,0),IF(O18&gt;0,1,))*C18/50</f>
        <v>0</v>
      </c>
      <c r="AI18" s="304">
        <f>IF(P18&gt;=AG1,MAX(ROUNDDOWN(P18/AG1,0),ROUNDUP(P18/AF3,0)),IF(P18&gt;0,1,))*C18/50*0.5</f>
        <v>0</v>
      </c>
      <c r="AJ18" s="304">
        <f>IF(T18&gt;=AF1,ROUNDDOWN(T18/AF1,0),IF(T18&gt;0,1,))*C18/50</f>
        <v>0</v>
      </c>
      <c r="AK18" s="304">
        <f>IF(U18&gt;=AG1,MAX(ROUNDDOWN(U18/AG1,0),ROUNDUP(U18/AF3,0)),IF(U18&gt;0,1,))*C18/50*0.5</f>
        <v>0</v>
      </c>
      <c r="AL18" s="304">
        <f>IF(Y18&gt;=AF1,ROUNDDOWN(Y18/AF1,0),IF(Y18&gt;0,1,))*C18/50</f>
        <v>0</v>
      </c>
      <c r="AM18" s="304">
        <f>IF(Z18&gt;=AG1,MAX(ROUNDDOWN(Z18/AG1,0),ROUNDUP(Z18/AF3,0)),IF(Z18&gt;0,1,))*C18/50*0.5</f>
        <v>0</v>
      </c>
    </row>
    <row r="19" spans="1:39" ht="5.25" customHeight="1">
      <c r="A19" s="680">
        <f t="shared" si="7"/>
        <v>0</v>
      </c>
      <c r="B19" s="681">
        <f t="shared" si="8"/>
        <v>0</v>
      </c>
      <c r="C19" s="303">
        <f>ROUND((B19-A19)*24*60,1)</f>
        <v>0</v>
      </c>
      <c r="D19" s="303">
        <f>IF(A19&gt;0,"= "&amp;C19&amp;" min",)</f>
        <v>0</v>
      </c>
      <c r="E19" s="588"/>
      <c r="F19" s="589"/>
      <c r="G19" s="701">
        <f t="shared" si="2"/>
        <v>0</v>
      </c>
      <c r="H19" s="702">
        <f t="shared" si="2"/>
        <v>0</v>
      </c>
      <c r="I19" s="580"/>
      <c r="J19" s="590"/>
      <c r="K19" s="591"/>
      <c r="L19" s="701">
        <f t="shared" si="3"/>
        <v>0</v>
      </c>
      <c r="M19" s="702">
        <f t="shared" si="3"/>
        <v>0</v>
      </c>
      <c r="N19" s="583"/>
      <c r="O19" s="592"/>
      <c r="P19" s="593"/>
      <c r="Q19" s="701">
        <f t="shared" si="4"/>
        <v>0</v>
      </c>
      <c r="R19" s="702">
        <f t="shared" si="4"/>
        <v>0</v>
      </c>
      <c r="S19" s="583"/>
      <c r="T19" s="590"/>
      <c r="U19" s="591"/>
      <c r="V19" s="701">
        <f t="shared" si="5"/>
        <v>0</v>
      </c>
      <c r="W19" s="702">
        <f t="shared" si="5"/>
        <v>0</v>
      </c>
      <c r="X19" s="583"/>
      <c r="Y19" s="592"/>
      <c r="Z19" s="593"/>
      <c r="AA19" s="701">
        <f t="shared" si="6"/>
        <v>0</v>
      </c>
      <c r="AB19" s="702">
        <f t="shared" si="6"/>
        <v>0</v>
      </c>
      <c r="AD19" s="304">
        <f>IF(E19&gt;=AF1,ROUNDDOWN(E19/AF1,0),IF(E19&gt;0,1,))*C19/50</f>
        <v>0</v>
      </c>
      <c r="AE19" s="304">
        <f>IF(F19&gt;=AG1,MAX(ROUNDDOWN(F19/AG1,0),ROUNDUP(F19/AF3,0)),IF(F19&gt;0,1,))*C19/50*0.5</f>
        <v>0</v>
      </c>
      <c r="AF19" s="304">
        <f>IF(J19&gt;=AF1,ROUNDDOWN(J19/AF1,0),IF(J19&gt;0,1,))*C19/50</f>
        <v>0</v>
      </c>
      <c r="AG19" s="304">
        <f>IF(K19&gt;=AG1,MAX(ROUNDDOWN(K19/AG1,0),ROUNDUP(K19/AF3,0)),IF(K19&gt;0,1,))*C19/50*0.5</f>
        <v>0</v>
      </c>
      <c r="AH19" s="304">
        <f>IF(O19&gt;=AF1,ROUNDDOWN(O19/AF1,0),IF(O19&gt;0,1,))*C19/50</f>
        <v>0</v>
      </c>
      <c r="AI19" s="304">
        <f>IF(P19&gt;=AG1,MAX(ROUNDDOWN(P19/AG1,0),ROUNDUP(P19/AF3,0)),IF(P19&gt;0,1,))*C19/50*0.5</f>
        <v>0</v>
      </c>
      <c r="AJ19" s="304">
        <f>IF(T19&gt;=AF1,ROUNDDOWN(T19/AF1,0),IF(T19&gt;0,1,))*C19/50</f>
        <v>0</v>
      </c>
      <c r="AK19" s="304">
        <f>IF(U19&gt;=AG1,MAX(ROUNDDOWN(U19/AG1,0),ROUNDUP(U19/AF3,0)),IF(U19&gt;0,1,))*C19/50*0.5</f>
        <v>0</v>
      </c>
      <c r="AL19" s="304">
        <f>IF(Y19&gt;=AF1,ROUNDDOWN(Y19/AF1,0),IF(Y19&gt;0,1,))*C19/50</f>
        <v>0</v>
      </c>
      <c r="AM19" s="304">
        <f>IF(Z19&gt;=AG1,MAX(ROUNDDOWN(Z19/AG1,0),ROUNDUP(Z19/AF3,0)),IF(Z19&gt;0,1,))*C19/50*0.5</f>
        <v>0</v>
      </c>
    </row>
    <row r="20" spans="1:39" ht="5.25" customHeight="1">
      <c r="A20" s="680">
        <f t="shared" si="7"/>
        <v>0</v>
      </c>
      <c r="B20" s="681">
        <f t="shared" si="8"/>
        <v>0</v>
      </c>
      <c r="C20" s="303">
        <f>ROUND((B20-A20)*24*60,1)</f>
        <v>0</v>
      </c>
      <c r="D20" s="303">
        <f>IF(A20&gt;0,"= "&amp;C20&amp;" min",)</f>
        <v>0</v>
      </c>
      <c r="E20" s="588"/>
      <c r="F20" s="589"/>
      <c r="G20" s="701">
        <f t="shared" si="2"/>
        <v>0</v>
      </c>
      <c r="H20" s="702">
        <f t="shared" si="2"/>
        <v>0</v>
      </c>
      <c r="I20" s="580"/>
      <c r="J20" s="590"/>
      <c r="K20" s="591"/>
      <c r="L20" s="701">
        <f t="shared" si="3"/>
        <v>0</v>
      </c>
      <c r="M20" s="702">
        <f t="shared" si="3"/>
        <v>0</v>
      </c>
      <c r="N20" s="583"/>
      <c r="O20" s="592"/>
      <c r="P20" s="593"/>
      <c r="Q20" s="701">
        <f t="shared" si="4"/>
        <v>0</v>
      </c>
      <c r="R20" s="702">
        <f t="shared" si="4"/>
        <v>0</v>
      </c>
      <c r="S20" s="583"/>
      <c r="T20" s="590"/>
      <c r="U20" s="591"/>
      <c r="V20" s="701">
        <f t="shared" si="5"/>
        <v>0</v>
      </c>
      <c r="W20" s="702">
        <f t="shared" si="5"/>
        <v>0</v>
      </c>
      <c r="X20" s="583"/>
      <c r="Y20" s="592"/>
      <c r="Z20" s="593"/>
      <c r="AA20" s="701">
        <f t="shared" si="6"/>
        <v>0</v>
      </c>
      <c r="AB20" s="702">
        <f t="shared" si="6"/>
        <v>0</v>
      </c>
      <c r="AD20" s="304">
        <f>IF(E20&gt;=AF1,ROUNDDOWN(E20/AF1,0),IF(E20&gt;0,1,))*C20/50</f>
        <v>0</v>
      </c>
      <c r="AE20" s="304">
        <f>IF(F20&gt;=AG1,MAX(ROUNDDOWN(F20/AG1,0),ROUNDUP(F20/AF3,0)),IF(F20&gt;0,1,))*C20/50*0.5</f>
        <v>0</v>
      </c>
      <c r="AF20" s="304">
        <f>IF(J20&gt;=AF1,ROUNDDOWN(J20/AF1,0),IF(J20&gt;0,1,))*C20/50</f>
        <v>0</v>
      </c>
      <c r="AG20" s="304">
        <f>IF(K20&gt;=AG1,MAX(ROUNDDOWN(K20/AG1,0),ROUNDUP(K20/AF3,0)),IF(K20&gt;0,1,))*C20/50*0.5</f>
        <v>0</v>
      </c>
      <c r="AH20" s="304">
        <f>IF(O20&gt;=AF1,ROUNDDOWN(O20/AF1,0),IF(O20&gt;0,1,))*C20/50</f>
        <v>0</v>
      </c>
      <c r="AI20" s="304">
        <f>IF(P20&gt;=AG1,MAX(ROUNDDOWN(P20/AG1,0),ROUNDUP(P20/AF3,0)),IF(P20&gt;0,1,))*C20/50*0.5</f>
        <v>0</v>
      </c>
      <c r="AJ20" s="304">
        <f>IF(T20&gt;=AF1,ROUNDDOWN(T20/AF1,0),IF(T20&gt;0,1,))*C20/50</f>
        <v>0</v>
      </c>
      <c r="AK20" s="304">
        <f>IF(U20&gt;=AG1,MAX(ROUNDDOWN(U20/AG1,0),ROUNDUP(U20/AF3,0)),IF(U20&gt;0,1,))*C20/50*0.5</f>
        <v>0</v>
      </c>
      <c r="AL20" s="304">
        <f>IF(Y20&gt;=AF1,ROUNDDOWN(Y20/AF1,0),IF(Y20&gt;0,1,))*C20/50</f>
        <v>0</v>
      </c>
      <c r="AM20" s="304">
        <f>IF(Z20&gt;=AG1,MAX(ROUNDDOWN(Z20/AG1,0),ROUNDUP(Z20/AF3,0)),IF(Z20&gt;0,1,))*C20/50*0.5</f>
        <v>0</v>
      </c>
    </row>
    <row r="21" spans="1:39" ht="5.25" customHeight="1">
      <c r="A21" s="680">
        <f t="shared" si="7"/>
        <v>0</v>
      </c>
      <c r="B21" s="681">
        <f t="shared" si="8"/>
        <v>0</v>
      </c>
      <c r="C21" s="303">
        <f>ROUND((B21-A21)*24*60,1)</f>
        <v>0</v>
      </c>
      <c r="D21" s="303">
        <f>IF(A21&gt;0,"= "&amp;C21&amp;" min",)</f>
        <v>0</v>
      </c>
      <c r="E21" s="588"/>
      <c r="F21" s="589"/>
      <c r="G21" s="701">
        <f t="shared" si="2"/>
        <v>0</v>
      </c>
      <c r="H21" s="702">
        <f t="shared" si="2"/>
        <v>0</v>
      </c>
      <c r="I21" s="580"/>
      <c r="J21" s="590"/>
      <c r="K21" s="591"/>
      <c r="L21" s="701">
        <f t="shared" si="3"/>
        <v>0</v>
      </c>
      <c r="M21" s="702">
        <f t="shared" si="3"/>
        <v>0</v>
      </c>
      <c r="N21" s="583"/>
      <c r="O21" s="592"/>
      <c r="P21" s="593"/>
      <c r="Q21" s="701">
        <f t="shared" si="4"/>
        <v>0</v>
      </c>
      <c r="R21" s="702">
        <f t="shared" si="4"/>
        <v>0</v>
      </c>
      <c r="S21" s="583"/>
      <c r="T21" s="590"/>
      <c r="U21" s="591"/>
      <c r="V21" s="701">
        <f t="shared" si="5"/>
        <v>0</v>
      </c>
      <c r="W21" s="702">
        <f t="shared" si="5"/>
        <v>0</v>
      </c>
      <c r="X21" s="583"/>
      <c r="Y21" s="592"/>
      <c r="Z21" s="593"/>
      <c r="AA21" s="701">
        <f t="shared" si="6"/>
        <v>0</v>
      </c>
      <c r="AB21" s="702">
        <f t="shared" si="6"/>
        <v>0</v>
      </c>
      <c r="AD21" s="304">
        <f>IF(E21&gt;=AF1,ROUNDDOWN(E21/AF1,0),IF(E21&gt;0,1,))*C21/50</f>
        <v>0</v>
      </c>
      <c r="AE21" s="304">
        <f>IF(F21&gt;=AG1,MAX(ROUNDDOWN(F21/AG1,0),ROUNDUP(F21/AF3,0)),IF(F21&gt;0,1,))*C21/50*0.5</f>
        <v>0</v>
      </c>
      <c r="AF21" s="304">
        <f>IF(J21&gt;=AF1,ROUNDDOWN(J21/AF1,0),IF(J21&gt;0,1,))*C21/50</f>
        <v>0</v>
      </c>
      <c r="AG21" s="304">
        <f>IF(K21&gt;=AG1,MAX(ROUNDDOWN(K21/AG1,0),ROUNDUP(K21/AF3,0)),IF(K21&gt;0,1,))*C21/50*0.5</f>
        <v>0</v>
      </c>
      <c r="AH21" s="304">
        <f>IF(O21&gt;=AF1,ROUNDDOWN(O21/AF1,0),IF(O21&gt;0,1,))*C21/50</f>
        <v>0</v>
      </c>
      <c r="AI21" s="304">
        <f>IF(P21&gt;=AG1,MAX(ROUNDDOWN(P21/AG1,0),ROUNDUP(P21/AF3,0)),IF(P21&gt;0,1,))*C21/50*0.5</f>
        <v>0</v>
      </c>
      <c r="AJ21" s="304">
        <f>IF(T21&gt;=AF1,ROUNDDOWN(T21/AF1,0),IF(T21&gt;0,1,))*C21/50</f>
        <v>0</v>
      </c>
      <c r="AK21" s="304">
        <f>IF(U21&gt;=AG1,MAX(ROUNDDOWN(U21/AG1,0),ROUNDUP(U21/AF3,0)),IF(U21&gt;0,1,))*C21/50*0.5</f>
        <v>0</v>
      </c>
      <c r="AL21" s="304">
        <f>IF(Y21&gt;=AF1,ROUNDDOWN(Y21/AF1,0),IF(Y21&gt;0,1,))*C21/50</f>
        <v>0</v>
      </c>
      <c r="AM21" s="304">
        <f>IF(Z21&gt;=AG1,MAX(ROUNDDOWN(Z21/AG1,0),ROUNDUP(Z21/AF3,0)),IF(Z21&gt;0,1,))*C21/50*0.5</f>
        <v>0</v>
      </c>
    </row>
    <row r="22" spans="1:39" ht="5.25" customHeight="1">
      <c r="A22" s="680">
        <f t="shared" si="7"/>
        <v>0</v>
      </c>
      <c r="B22" s="681">
        <f t="shared" si="8"/>
        <v>0</v>
      </c>
      <c r="C22" s="303">
        <f t="shared" si="0"/>
        <v>0</v>
      </c>
      <c r="D22" s="303">
        <f t="shared" si="1"/>
        <v>0</v>
      </c>
      <c r="E22" s="588"/>
      <c r="F22" s="589"/>
      <c r="G22" s="701">
        <f t="shared" si="2"/>
        <v>0</v>
      </c>
      <c r="H22" s="702">
        <f t="shared" si="2"/>
        <v>0</v>
      </c>
      <c r="I22" s="580"/>
      <c r="J22" s="590"/>
      <c r="K22" s="591"/>
      <c r="L22" s="701">
        <f t="shared" si="3"/>
        <v>0</v>
      </c>
      <c r="M22" s="702">
        <f t="shared" si="3"/>
        <v>0</v>
      </c>
      <c r="N22" s="583"/>
      <c r="O22" s="592"/>
      <c r="P22" s="593"/>
      <c r="Q22" s="701">
        <f t="shared" si="4"/>
        <v>0</v>
      </c>
      <c r="R22" s="702">
        <f t="shared" si="4"/>
        <v>0</v>
      </c>
      <c r="S22" s="583"/>
      <c r="T22" s="590"/>
      <c r="U22" s="591"/>
      <c r="V22" s="701">
        <f t="shared" si="5"/>
        <v>0</v>
      </c>
      <c r="W22" s="702">
        <f t="shared" si="5"/>
        <v>0</v>
      </c>
      <c r="X22" s="583"/>
      <c r="Y22" s="592"/>
      <c r="Z22" s="593"/>
      <c r="AA22" s="701">
        <f t="shared" si="6"/>
        <v>0</v>
      </c>
      <c r="AB22" s="702">
        <f t="shared" si="6"/>
        <v>0</v>
      </c>
      <c r="AD22" s="304">
        <f>IF(E22&gt;=AF1,ROUNDDOWN(E22/AF1,0),IF(E22&gt;0,1,))*C22/50</f>
        <v>0</v>
      </c>
      <c r="AE22" s="304">
        <f>IF(F22&gt;=AG1,MAX(ROUNDDOWN(F22/AG1,0),ROUNDUP(F22/AF3,0)),IF(F22&gt;0,1,))*C22/50*0.5</f>
        <v>0</v>
      </c>
      <c r="AF22" s="304">
        <f>IF(J22&gt;=AF1,ROUNDDOWN(J22/AF1,0),IF(J22&gt;0,1,))*C22/50</f>
        <v>0</v>
      </c>
      <c r="AG22" s="304">
        <f>IF(K22&gt;=AG1,MAX(ROUNDDOWN(K22/AG1,0),ROUNDUP(K22/AF3,0)),IF(K22&gt;0,1,))*C22/50*0.5</f>
        <v>0</v>
      </c>
      <c r="AH22" s="304">
        <f>IF(O22&gt;=AF1,ROUNDDOWN(O22/AF1,0),IF(O22&gt;0,1,))*C22/50</f>
        <v>0</v>
      </c>
      <c r="AI22" s="304">
        <f>IF(P22&gt;=AG1,MAX(ROUNDDOWN(P22/AG1,0),ROUNDUP(P22/AF3,0)),IF(P22&gt;0,1,))*C22/50*0.5</f>
        <v>0</v>
      </c>
      <c r="AJ22" s="304">
        <f>IF(T22&gt;=AF1,ROUNDDOWN(T22/AF1,0),IF(T22&gt;0,1,))*C22/50</f>
        <v>0</v>
      </c>
      <c r="AK22" s="304">
        <f>IF(U22&gt;=AG1,MAX(ROUNDDOWN(U22/AG1,0),ROUNDUP(U22/AF3,0)),IF(U22&gt;0,1,))*C22/50*0.5</f>
        <v>0</v>
      </c>
      <c r="AL22" s="304">
        <f>IF(Y22&gt;=AF1,ROUNDDOWN(Y22/AF1,0),IF(Y22&gt;0,1,))*C22/50</f>
        <v>0</v>
      </c>
      <c r="AM22" s="304">
        <f>IF(Z22&gt;=AG1,MAX(ROUNDDOWN(Z22/AG1,0),ROUNDUP(Z22/AF3,0)),IF(Z22&gt;0,1,))*C22/50*0.5</f>
        <v>0</v>
      </c>
    </row>
    <row r="23" spans="1:39" ht="5.25" customHeight="1">
      <c r="A23" s="682">
        <f>IF(B22&lt;AE$12,B22,)</f>
        <v>0</v>
      </c>
      <c r="B23" s="683">
        <f>IF(A23&gt;0,A23+AD$12,)</f>
        <v>0</v>
      </c>
      <c r="C23" s="303">
        <f t="shared" si="0"/>
        <v>0</v>
      </c>
      <c r="D23" s="303">
        <f t="shared" si="1"/>
        <v>0</v>
      </c>
      <c r="E23" s="594"/>
      <c r="F23" s="595"/>
      <c r="G23" s="701">
        <f t="shared" si="2"/>
        <v>0</v>
      </c>
      <c r="H23" s="702">
        <f t="shared" si="2"/>
        <v>0</v>
      </c>
      <c r="I23" s="580"/>
      <c r="J23" s="596"/>
      <c r="K23" s="597"/>
      <c r="L23" s="701">
        <f t="shared" si="3"/>
        <v>0</v>
      </c>
      <c r="M23" s="702">
        <f t="shared" si="3"/>
        <v>0</v>
      </c>
      <c r="N23" s="583"/>
      <c r="O23" s="592"/>
      <c r="P23" s="593"/>
      <c r="Q23" s="701">
        <f t="shared" si="4"/>
        <v>0</v>
      </c>
      <c r="R23" s="702">
        <f t="shared" si="4"/>
        <v>0</v>
      </c>
      <c r="S23" s="583"/>
      <c r="T23" s="596"/>
      <c r="U23" s="597"/>
      <c r="V23" s="701">
        <f t="shared" si="5"/>
        <v>0</v>
      </c>
      <c r="W23" s="702">
        <f t="shared" si="5"/>
        <v>0</v>
      </c>
      <c r="X23" s="583"/>
      <c r="Y23" s="592"/>
      <c r="Z23" s="593"/>
      <c r="AA23" s="701">
        <f t="shared" si="6"/>
        <v>0</v>
      </c>
      <c r="AB23" s="702">
        <f t="shared" si="6"/>
        <v>0</v>
      </c>
      <c r="AD23" s="304">
        <f>IF(E23&gt;=AF1,ROUNDDOWN(E23/AF1,0),IF(E23&gt;0,1,))*C23/50</f>
        <v>0</v>
      </c>
      <c r="AE23" s="304">
        <f>IF(F23&gt;=AG1,MAX(ROUNDDOWN(F23/AG1,0),ROUNDUP(F23/AF3,0)),IF(F23&gt;0,1,))*C23/50*0.5</f>
        <v>0</v>
      </c>
      <c r="AF23" s="304">
        <f>IF(J23&gt;=AF1,ROUNDDOWN(J23/AF1,0),IF(J23&gt;0,1,))*C23/50</f>
        <v>0</v>
      </c>
      <c r="AG23" s="304">
        <f>IF(K23&gt;=AG1,MAX(ROUNDDOWN(K23/AG1,0),ROUNDUP(K23/AF3,0)),IF(K23&gt;0,1,))*C23/50*0.5</f>
        <v>0</v>
      </c>
      <c r="AH23" s="304">
        <f>IF(O23&gt;=AF1,ROUNDDOWN(O23/AF1,0),IF(O23&gt;0,1,))*C23/50</f>
        <v>0</v>
      </c>
      <c r="AI23" s="304">
        <f>IF(P23&gt;=AG1,MAX(ROUNDDOWN(P23/AG1,0),ROUNDUP(P23/AF3,0)),IF(P23&gt;0,1,))*C23/50*0.5</f>
        <v>0</v>
      </c>
      <c r="AJ23" s="304">
        <f>IF(T23&gt;=AF1,ROUNDDOWN(T23/AF1,0),IF(T23&gt;0,1,))*C23/50</f>
        <v>0</v>
      </c>
      <c r="AK23" s="304">
        <f>IF(U23&gt;=AG1,MAX(ROUNDDOWN(U23/AG1,0),ROUNDUP(U23/AF3,0)),IF(U23&gt;0,1,))*C23/50*0.5</f>
        <v>0</v>
      </c>
      <c r="AL23" s="304">
        <f>IF(Y23&gt;=AF1,ROUNDDOWN(Y23/AF1,0),IF(Y23&gt;0,1,))*C23/50</f>
        <v>0</v>
      </c>
      <c r="AM23" s="304">
        <f>IF(Z23&gt;=AG1,MAX(ROUNDDOWN(Z23/AG1,0),ROUNDUP(Z23/AF3,0)),IF(Z23&gt;0,1,))*C23/50*0.5</f>
        <v>0</v>
      </c>
    </row>
    <row r="24" spans="5:37" ht="23.25">
      <c r="E24" s="759">
        <f>SUM(E14:E23)</f>
        <v>0</v>
      </c>
      <c r="F24" s="759">
        <f>SUM(F14:F23)</f>
        <v>0</v>
      </c>
      <c r="G24" s="760">
        <f>SUM(G14:G23)</f>
        <v>0</v>
      </c>
      <c r="H24" s="760">
        <f>SUM(H14:H23)</f>
        <v>0</v>
      </c>
      <c r="I24" s="761"/>
      <c r="J24" s="759">
        <f>SUM(J14:J23)</f>
        <v>0</v>
      </c>
      <c r="K24" s="759">
        <f>SUM(K14:K23)</f>
        <v>0</v>
      </c>
      <c r="L24" s="760">
        <f>SUM(L14:L23)</f>
        <v>0</v>
      </c>
      <c r="M24" s="760">
        <f>SUM(M14:M23)</f>
        <v>0</v>
      </c>
      <c r="N24" s="762"/>
      <c r="O24" s="759">
        <f>SUM(O14:O23)</f>
        <v>0</v>
      </c>
      <c r="P24" s="759">
        <f>SUM(P14:P23)</f>
        <v>0</v>
      </c>
      <c r="Q24" s="760">
        <f>SUM(Q14:Q23)</f>
        <v>0</v>
      </c>
      <c r="R24" s="760">
        <f>SUM(R14:R23)</f>
        <v>0</v>
      </c>
      <c r="S24" s="762"/>
      <c r="T24" s="759">
        <f>SUM(T14:T23)</f>
        <v>0</v>
      </c>
      <c r="U24" s="759">
        <f>SUM(U14:U23)</f>
        <v>0</v>
      </c>
      <c r="V24" s="760">
        <f>SUM(V14:V23)</f>
        <v>0</v>
      </c>
      <c r="W24" s="760">
        <f>SUM(W14:W23)</f>
        <v>0</v>
      </c>
      <c r="X24" s="762"/>
      <c r="Y24" s="759">
        <f>SUM(Y14:Y23)</f>
        <v>0</v>
      </c>
      <c r="Z24" s="759">
        <f>SUM(Z14:Z23)</f>
        <v>0</v>
      </c>
      <c r="AA24" s="760">
        <f>SUM(AA14:AA23)</f>
        <v>0</v>
      </c>
      <c r="AB24" s="760">
        <f>SUM(AB14:AB23)</f>
        <v>0</v>
      </c>
      <c r="AC24" s="305"/>
      <c r="AD24" s="306">
        <f>E24+J24+O24+T24+Y24</f>
        <v>0</v>
      </c>
      <c r="AE24" s="306">
        <f>F24+K24+P24+U24+Z24</f>
        <v>0</v>
      </c>
      <c r="AF24" s="307">
        <f>G24+L24+Q24+V24+AA24</f>
        <v>0</v>
      </c>
      <c r="AG24" s="307">
        <f>H24+M24+R24+W24+AB24</f>
        <v>0</v>
      </c>
      <c r="AH24" s="307">
        <f>AF24+AG24</f>
        <v>0</v>
      </c>
      <c r="AI24" s="307">
        <f>ROUND(IF(AH24&gt;AH7,AH7,AH24),2)</f>
        <v>0</v>
      </c>
      <c r="AJ24" s="540">
        <f>IF(AF24&gt;AI24,AI24,AF24)</f>
        <v>0</v>
      </c>
      <c r="AK24" s="541">
        <f>AI24-AJ24</f>
        <v>0</v>
      </c>
    </row>
    <row r="25" spans="1:37" ht="2.25" customHeight="1">
      <c r="A25" s="278"/>
      <c r="D25" s="763" t="s">
        <v>104</v>
      </c>
      <c r="F25" s="764">
        <f>E24+F24</f>
        <v>0</v>
      </c>
      <c r="G25" s="764">
        <f>AD28+AE28*2</f>
        <v>0</v>
      </c>
      <c r="H25" s="764"/>
      <c r="I25" s="765"/>
      <c r="J25" s="12"/>
      <c r="K25" s="764">
        <f>J24+K24</f>
        <v>0</v>
      </c>
      <c r="L25" s="764">
        <f>AF28+AG28*2</f>
        <v>0</v>
      </c>
      <c r="M25" s="12"/>
      <c r="N25" s="764"/>
      <c r="O25" s="12"/>
      <c r="P25" s="764">
        <f>O24+P24</f>
        <v>0</v>
      </c>
      <c r="Q25" s="764">
        <f>AH28+AI28*2</f>
        <v>0</v>
      </c>
      <c r="R25" s="12"/>
      <c r="S25" s="764"/>
      <c r="T25" s="12"/>
      <c r="U25" s="764">
        <f>T24+U24</f>
        <v>0</v>
      </c>
      <c r="V25" s="764">
        <f>AJ28+AK28*2</f>
        <v>0</v>
      </c>
      <c r="W25" s="12"/>
      <c r="X25" s="764"/>
      <c r="Y25" s="12"/>
      <c r="Z25" s="764">
        <f>Y24+Z24</f>
        <v>0</v>
      </c>
      <c r="AA25" s="764">
        <f>AL28+AM28*2</f>
        <v>0</v>
      </c>
      <c r="AB25" s="12"/>
      <c r="AE25" s="766">
        <f>F25+K25+P25+U25+Z25</f>
        <v>0</v>
      </c>
      <c r="AF25" s="766">
        <f>G25+L25+Q25+V25+AA25</f>
        <v>0</v>
      </c>
      <c r="AK25" s="309" t="e">
        <f ca="1">INDIRECT("Seit_1!A78")</f>
        <v>#REF!</v>
      </c>
    </row>
    <row r="26" spans="1:38" ht="34.5">
      <c r="A26" s="767">
        <f>IF(AH24&gt;AI24,AH24,)</f>
        <v>0</v>
      </c>
      <c r="D26" s="723"/>
      <c r="J26" s="768">
        <f>IF(AE25&gt;0,"Zusammengezählt werden "&amp;AE25&amp;" Schüler in  "&amp;AF25&amp;" Gruppen geführt  ",)</f>
        <v>0</v>
      </c>
      <c r="K26" s="769">
        <f>IF(AE25&gt;0,"=  durchschnittlich "&amp;AE26&amp;" Kinder  über "&amp;AF26&amp;" Tage",)</f>
        <v>0</v>
      </c>
      <c r="L26" s="725"/>
      <c r="M26" s="725"/>
      <c r="Q26" s="858">
        <f>IF(AE25=0,,IF(AF26=5,"… in "&amp;AJ26-M29&amp;" Gruppen im Durchschnitt über 5 Tage","… in "&amp;AI26&amp;" Gruppen täglich  bzw "&amp;AJ26-M29&amp;" über 5 Tage"))</f>
        <v>0</v>
      </c>
      <c r="R26" s="858"/>
      <c r="S26" s="858"/>
      <c r="T26" s="858"/>
      <c r="U26" s="725">
        <f>IF(AND(Q26&gt;0,AF26&lt;&gt;5),"   ( = im Durchschnitt )",)</f>
        <v>0</v>
      </c>
      <c r="AB26" s="326">
        <f>IF(A27&gt;0,"bei max. "&amp;AC26&amp;" LZGrup",)</f>
        <v>0</v>
      </c>
      <c r="AC26" s="758">
        <f>MAX(MAX(AD29:AD38,AF29:AF38,AH29:AH38,AJ29:AJ38,AL29:AL38),MAX(AE29:AE38,AG29:AG38,AI29:AI38,AK29:AK38,AM29:AM38)*2)</f>
        <v>0</v>
      </c>
      <c r="AE26" s="640">
        <f>IF(AE25&gt;0,ROUND(AE25/AF25,1),)</f>
        <v>0</v>
      </c>
      <c r="AF26" s="640">
        <f>SUM(AD27:AM27)</f>
        <v>0</v>
      </c>
      <c r="AH26" s="641">
        <f>SUM(AD39:AM39)</f>
        <v>0</v>
      </c>
      <c r="AI26" s="641">
        <f>IF(AH26&gt;0,ROUND(AF25/AH26,1),)</f>
        <v>0</v>
      </c>
      <c r="AJ26" s="641">
        <f>IF(AH26&gt;0,ROUND(AF25/AH26*AF26/5,2),)+M29</f>
        <v>0</v>
      </c>
      <c r="AK26" s="309">
        <f>INT(AJ26/2)</f>
        <v>0</v>
      </c>
      <c r="AL26" s="308">
        <f>ROUNDUP(AJ26/2,0)</f>
        <v>0</v>
      </c>
    </row>
    <row r="27" spans="1:39" ht="20.25">
      <c r="A27" s="863">
        <f>AI24</f>
        <v>0</v>
      </c>
      <c r="B27" s="863"/>
      <c r="D27" s="724">
        <f>IF(AND(AE25&gt;0,AG24&gt;0),"  (umgerechnete) Wochenstden sind somit tatsächlich über die Lehrerbesoldung bei pr3 verrechenbar.",IF(AE25&gt;0,"  Wochenstunden sind somit tatsächlich über die Lehrerbesoldung bei pr3 verrechenbar.",))</f>
        <v>0</v>
      </c>
      <c r="E27" s="1"/>
      <c r="Z27" s="311">
        <f ca="1">TODAY()</f>
        <v>43958</v>
      </c>
      <c r="AA27" s="312"/>
      <c r="AB27" s="312"/>
      <c r="AE27" s="642">
        <f>IF((AD28+AE28)&gt;0,1,)</f>
        <v>0</v>
      </c>
      <c r="AF27" s="643"/>
      <c r="AG27" s="642">
        <f>IF((AF28+AG28)&gt;0,1,)</f>
        <v>0</v>
      </c>
      <c r="AH27" s="643"/>
      <c r="AI27" s="642">
        <f>IF((AH28+AI28)&gt;0,1,)</f>
        <v>0</v>
      </c>
      <c r="AJ27" s="643"/>
      <c r="AK27" s="642">
        <f>IF((AJ28+AK28)&gt;0,1,)</f>
        <v>0</v>
      </c>
      <c r="AL27" s="643"/>
      <c r="AM27" s="642">
        <f>IF((AL28+AM28)&gt;0,1,)</f>
        <v>0</v>
      </c>
    </row>
    <row r="28" spans="4:39" ht="18">
      <c r="D28" s="15"/>
      <c r="K28" s="726">
        <f>IF(AH24&gt;0,"davon "&amp;AG24&amp;" ILZ",)</f>
        <v>0</v>
      </c>
      <c r="L28" s="774">
        <f>IF(AND(AG24=0,K28&lt;&gt;0),"&gt;&gt;&gt; dazu braucht es eine aktuelle Befragung u. Entscheidung!",)</f>
        <v>0</v>
      </c>
      <c r="Z28" s="313" t="s">
        <v>6</v>
      </c>
      <c r="AA28" s="313"/>
      <c r="AB28" s="314"/>
      <c r="AD28" s="315">
        <f aca="true" t="shared" si="9" ref="AD28:AM28">SUM(AD29:AD38)</f>
        <v>0</v>
      </c>
      <c r="AE28" s="315">
        <f t="shared" si="9"/>
        <v>0</v>
      </c>
      <c r="AF28" s="315">
        <f t="shared" si="9"/>
        <v>0</v>
      </c>
      <c r="AG28" s="315">
        <f t="shared" si="9"/>
        <v>0</v>
      </c>
      <c r="AH28" s="315">
        <f t="shared" si="9"/>
        <v>0</v>
      </c>
      <c r="AI28" s="315">
        <f t="shared" si="9"/>
        <v>0</v>
      </c>
      <c r="AJ28" s="315">
        <f t="shared" si="9"/>
        <v>0</v>
      </c>
      <c r="AK28" s="315">
        <f t="shared" si="9"/>
        <v>0</v>
      </c>
      <c r="AL28" s="315">
        <f t="shared" si="9"/>
        <v>0</v>
      </c>
      <c r="AM28" s="315">
        <f t="shared" si="9"/>
        <v>0</v>
      </c>
    </row>
    <row r="29" spans="1:41" ht="15.75">
      <c r="A29" s="722" t="s">
        <v>370</v>
      </c>
      <c r="G29" s="727">
        <f>IF(L29&lt;&gt;"","Mit ","")</f>
      </c>
      <c r="H29" s="728">
        <f>Klassen!AK18</f>
        <v>0</v>
      </c>
      <c r="I29" s="729">
        <f>IF(L29&lt;&gt;"","SchülerInnen","")</f>
      </c>
      <c r="L29" s="279">
        <f>IF(Klassen!$BP22&gt;0,"in","")</f>
      </c>
      <c r="M29" s="730">
        <f>Klassen!AL18</f>
        <v>0</v>
      </c>
      <c r="N29" s="278">
        <f>IF(L29&lt;&gt;"","Klassen","")</f>
      </c>
      <c r="O29" s="278"/>
      <c r="P29" s="864">
        <f>ROUND(SUM(G32:AB32,G36:AB36),2)</f>
        <v>0</v>
      </c>
      <c r="Q29" s="864"/>
      <c r="R29" s="278">
        <f>IF(SUM(G32:AB32)&gt;0," WoStden an Lernzeiten und Freizeit","")</f>
      </c>
      <c r="AD29" s="315">
        <f>IF(E14&gt;0,ROUND(G14*50/$C14,1),)</f>
        <v>0</v>
      </c>
      <c r="AE29" s="315">
        <f>IF(F14&gt;0,ROUND(H14*50/$C14,1),)</f>
        <v>0</v>
      </c>
      <c r="AF29" s="315">
        <f>IF(J14&gt;0,ROUND(L14*50/$C14,1),)</f>
        <v>0</v>
      </c>
      <c r="AG29" s="315">
        <f>IF(K14&gt;0,ROUND(M14*50/$C14,1),)</f>
        <v>0</v>
      </c>
      <c r="AH29" s="315">
        <f>IF(O14&gt;0,ROUND(Q14*50/$C14,1),)</f>
        <v>0</v>
      </c>
      <c r="AI29" s="315">
        <f>IF(P14&gt;0,ROUND(R14*50/$C14,1),)</f>
        <v>0</v>
      </c>
      <c r="AJ29" s="315">
        <f>IF(T14&gt;0,ROUND(V14*50/$C14,1),)</f>
        <v>0</v>
      </c>
      <c r="AK29" s="315">
        <f>IF(U14&gt;0,ROUND(W14*50/$C14,1),)</f>
        <v>0</v>
      </c>
      <c r="AL29" s="315">
        <f>IF(Y14&gt;0,ROUND(AA14*50/$C14,1),)</f>
        <v>0</v>
      </c>
      <c r="AM29" s="315">
        <f>IF(Z14&gt;0,ROUND(AB14*50/$C14,1),)</f>
        <v>0</v>
      </c>
      <c r="AN29" s="315"/>
      <c r="AO29" s="315"/>
    </row>
    <row r="30" spans="7:41" ht="14.25">
      <c r="G30" s="731" t="s">
        <v>99</v>
      </c>
      <c r="H30" s="732"/>
      <c r="L30" s="731">
        <f>IF(J32&gt;0,"WoStunden","")</f>
      </c>
      <c r="M30" s="732"/>
      <c r="Q30" s="731">
        <f>IF(O32&gt;0,"WoStunden","")</f>
      </c>
      <c r="R30" s="732"/>
      <c r="V30" s="731">
        <f>IF(T32&gt;0,"WoStunden","")</f>
      </c>
      <c r="W30" s="732"/>
      <c r="AA30" s="731">
        <f>IF(Y32&gt;0,"WoStunden","")</f>
      </c>
      <c r="AB30" s="732"/>
      <c r="AD30" s="315">
        <f>IF(E15&gt;0,ROUND(G15*50/$C15,1),)</f>
        <v>0</v>
      </c>
      <c r="AE30" s="315">
        <f>IF(F15&gt;0,ROUND(H15*50/$C15,1),)</f>
        <v>0</v>
      </c>
      <c r="AF30" s="315">
        <f>IF(J15&gt;0,ROUND(L15*50/$C15,1),)</f>
        <v>0</v>
      </c>
      <c r="AG30" s="315">
        <f>IF(K15&gt;0,ROUND(M15*50/$C15,1),)</f>
        <v>0</v>
      </c>
      <c r="AH30" s="315">
        <f>IF(O15&gt;0,ROUND(Q15*50/$C15,1),)</f>
        <v>0</v>
      </c>
      <c r="AI30" s="315">
        <f>IF(P15&gt;0,ROUND(R15*50/$C15,1),)</f>
        <v>0</v>
      </c>
      <c r="AJ30" s="315">
        <f>IF(T15&gt;0,ROUND(V15*50/$C15,1),)</f>
        <v>0</v>
      </c>
      <c r="AK30" s="315">
        <f>IF(U15&gt;0,ROUND(W15*50/$C15,1),)</f>
        <v>0</v>
      </c>
      <c r="AL30" s="315">
        <f>IF(Y15&gt;0,ROUND(AA15*50/$C15,1),)</f>
        <v>0</v>
      </c>
      <c r="AM30" s="315">
        <f>IF(Z15&gt;0,ROUND(AB15*50/$C15,1),)</f>
        <v>0</v>
      </c>
      <c r="AN30" s="315"/>
      <c r="AO30" s="315"/>
    </row>
    <row r="31" spans="4:41" ht="14.25">
      <c r="D31" s="279">
        <f>IF(L29&lt;&gt;"","Lernzeiten u. Freizeit: ","")</f>
      </c>
      <c r="E31" s="733">
        <f>IF(E32&gt;0,"in Klasse ..","")</f>
      </c>
      <c r="F31" s="734"/>
      <c r="G31" s="735" t="s">
        <v>361</v>
      </c>
      <c r="H31" s="302" t="s">
        <v>362</v>
      </c>
      <c r="I31" s="278"/>
      <c r="J31" s="733">
        <f>IF(J32&gt;0,"in Klasse ..","")</f>
      </c>
      <c r="K31" s="734"/>
      <c r="L31" s="735" t="s">
        <v>361</v>
      </c>
      <c r="M31" s="302" t="s">
        <v>362</v>
      </c>
      <c r="N31" s="278"/>
      <c r="O31" s="733">
        <f>IF(O32&gt;0,"in Klasse ..","")</f>
      </c>
      <c r="P31" s="734"/>
      <c r="Q31" s="735" t="s">
        <v>361</v>
      </c>
      <c r="R31" s="302" t="s">
        <v>362</v>
      </c>
      <c r="S31" s="278"/>
      <c r="T31" s="733">
        <f>IF(T32&gt;0,"in Klasse ..","")</f>
      </c>
      <c r="U31" s="734"/>
      <c r="V31" s="735">
        <f>IF(T32&gt;0,"LZ","")</f>
      </c>
      <c r="W31" s="302">
        <f>IF(T32&gt;0,"FrZ","")</f>
      </c>
      <c r="X31" s="278"/>
      <c r="Y31" s="733">
        <f>IF(Y32&gt;0,"in Klasse ..","")</f>
      </c>
      <c r="Z31" s="734"/>
      <c r="AA31" s="735">
        <f>IF(Y32&gt;0,"LZ","")</f>
      </c>
      <c r="AB31" s="302">
        <f>IF(Y32&gt;0,"FrZ","")</f>
      </c>
      <c r="AC31" s="736">
        <f>SUM(H32,M32,R32,W32,AB32,H36,M36,R36,W36,AB36)</f>
        <v>0</v>
      </c>
      <c r="AD31" s="315">
        <f aca="true" t="shared" si="10" ref="AD31:AE38">IF(E16&gt;0,ROUND(G16*50/$C16,1),)</f>
        <v>0</v>
      </c>
      <c r="AE31" s="315">
        <f t="shared" si="10"/>
        <v>0</v>
      </c>
      <c r="AF31" s="315">
        <f aca="true" t="shared" si="11" ref="AF31:AG38">IF(J16&gt;0,ROUND(L16*50/$C16,1),)</f>
        <v>0</v>
      </c>
      <c r="AG31" s="315">
        <f t="shared" si="11"/>
        <v>0</v>
      </c>
      <c r="AH31" s="315">
        <f aca="true" t="shared" si="12" ref="AH31:AI38">IF(O16&gt;0,ROUND(Q16*50/$C16,1),)</f>
        <v>0</v>
      </c>
      <c r="AI31" s="315">
        <f t="shared" si="12"/>
        <v>0</v>
      </c>
      <c r="AJ31" s="315">
        <f aca="true" t="shared" si="13" ref="AJ31:AK38">IF(T16&gt;0,ROUND(V16*50/$C16,1),)</f>
        <v>0</v>
      </c>
      <c r="AK31" s="315">
        <f t="shared" si="13"/>
        <v>0</v>
      </c>
      <c r="AL31" s="315">
        <f aca="true" t="shared" si="14" ref="AL31:AM38">IF(Y16&gt;0,ROUND(AA16*50/$C16,1),)</f>
        <v>0</v>
      </c>
      <c r="AM31" s="315">
        <f t="shared" si="14"/>
        <v>0</v>
      </c>
      <c r="AN31" s="315"/>
      <c r="AO31" s="315"/>
    </row>
    <row r="32" spans="5:41" ht="15">
      <c r="E32" s="737">
        <f>IF(Klassen!$BP22&gt;0,Klassen!$BP22&amp;" Schü. in "&amp;Klassen!$BR22,)</f>
        <v>0</v>
      </c>
      <c r="F32" s="738"/>
      <c r="G32" s="739"/>
      <c r="H32" s="740"/>
      <c r="J32" s="737">
        <f>IF(Klassen!$BP23&gt;0,Klassen!$BP23&amp;" Schü. in "&amp;Klassen!$BR23,)</f>
        <v>0</v>
      </c>
      <c r="K32" s="738"/>
      <c r="L32" s="739"/>
      <c r="M32" s="740"/>
      <c r="O32" s="737">
        <f>IF(Klassen!$BP24&gt;0,Klassen!$BP24&amp;" Schü. in "&amp;Klassen!$BR24,)</f>
        <v>0</v>
      </c>
      <c r="P32" s="738"/>
      <c r="Q32" s="739"/>
      <c r="R32" s="740"/>
      <c r="T32" s="737">
        <f>IF(Klassen!$BP25&gt;0,Klassen!$BP25&amp;" Schü. in "&amp;Klassen!$BR25,)</f>
        <v>0</v>
      </c>
      <c r="U32" s="738"/>
      <c r="V32" s="741"/>
      <c r="W32" s="770"/>
      <c r="Y32" s="737">
        <f>IF(Klassen!$BP26&gt;0,Klassen!$BP26&amp;" Schü. in "&amp;Klassen!$BR26,)</f>
        <v>0</v>
      </c>
      <c r="Z32" s="738"/>
      <c r="AA32" s="741"/>
      <c r="AB32" s="770"/>
      <c r="AD32" s="315">
        <f t="shared" si="10"/>
        <v>0</v>
      </c>
      <c r="AE32" s="315">
        <f t="shared" si="10"/>
        <v>0</v>
      </c>
      <c r="AF32" s="315">
        <f t="shared" si="11"/>
        <v>0</v>
      </c>
      <c r="AG32" s="315">
        <f t="shared" si="11"/>
        <v>0</v>
      </c>
      <c r="AH32" s="315">
        <f t="shared" si="12"/>
        <v>0</v>
      </c>
      <c r="AI32" s="315">
        <f t="shared" si="12"/>
        <v>0</v>
      </c>
      <c r="AJ32" s="315">
        <f t="shared" si="13"/>
        <v>0</v>
      </c>
      <c r="AK32" s="315">
        <f t="shared" si="13"/>
        <v>0</v>
      </c>
      <c r="AL32" s="315">
        <f t="shared" si="14"/>
        <v>0</v>
      </c>
      <c r="AM32" s="315">
        <f t="shared" si="14"/>
        <v>0</v>
      </c>
      <c r="AN32" s="315"/>
      <c r="AO32" s="315"/>
    </row>
    <row r="33" spans="30:41" ht="14.25" hidden="1">
      <c r="AD33" s="315">
        <f t="shared" si="10"/>
        <v>0</v>
      </c>
      <c r="AE33" s="315">
        <f t="shared" si="10"/>
        <v>0</v>
      </c>
      <c r="AF33" s="315">
        <f t="shared" si="11"/>
        <v>0</v>
      </c>
      <c r="AG33" s="315">
        <f t="shared" si="11"/>
        <v>0</v>
      </c>
      <c r="AH33" s="315">
        <f t="shared" si="12"/>
        <v>0</v>
      </c>
      <c r="AI33" s="315">
        <f t="shared" si="12"/>
        <v>0</v>
      </c>
      <c r="AJ33" s="315">
        <f t="shared" si="13"/>
        <v>0</v>
      </c>
      <c r="AK33" s="315">
        <f t="shared" si="13"/>
        <v>0</v>
      </c>
      <c r="AL33" s="315">
        <f t="shared" si="14"/>
        <v>0</v>
      </c>
      <c r="AM33" s="315">
        <f t="shared" si="14"/>
        <v>0</v>
      </c>
      <c r="AN33" s="315"/>
      <c r="AO33" s="315"/>
    </row>
    <row r="34" spans="7:41" ht="14.25" hidden="1">
      <c r="G34" s="731">
        <f>IF(E36&gt;0,"WoStunden","")</f>
      </c>
      <c r="H34" s="732"/>
      <c r="L34" s="731">
        <f>IF(J36&gt;0,"WoStunden","")</f>
      </c>
      <c r="M34" s="732"/>
      <c r="Q34" s="731">
        <f>IF(O36&gt;0,"WoStunden","")</f>
      </c>
      <c r="R34" s="732"/>
      <c r="V34" s="731">
        <f>IF(T36&gt;0,"WoStunden","")</f>
      </c>
      <c r="W34" s="732"/>
      <c r="AA34" s="731">
        <f>IF(Y36&gt;0,"WoStunden","")</f>
      </c>
      <c r="AB34" s="732"/>
      <c r="AD34" s="315">
        <f t="shared" si="10"/>
        <v>0</v>
      </c>
      <c r="AE34" s="315">
        <f t="shared" si="10"/>
        <v>0</v>
      </c>
      <c r="AF34" s="315">
        <f t="shared" si="11"/>
        <v>0</v>
      </c>
      <c r="AG34" s="315">
        <f t="shared" si="11"/>
        <v>0</v>
      </c>
      <c r="AH34" s="315">
        <f t="shared" si="12"/>
        <v>0</v>
      </c>
      <c r="AI34" s="315">
        <f t="shared" si="12"/>
        <v>0</v>
      </c>
      <c r="AJ34" s="315">
        <f t="shared" si="13"/>
        <v>0</v>
      </c>
      <c r="AK34" s="315">
        <f t="shared" si="13"/>
        <v>0</v>
      </c>
      <c r="AL34" s="315">
        <f t="shared" si="14"/>
        <v>0</v>
      </c>
      <c r="AM34" s="315">
        <f t="shared" si="14"/>
        <v>0</v>
      </c>
      <c r="AN34" s="315"/>
      <c r="AO34" s="315"/>
    </row>
    <row r="35" spans="4:39" ht="14.25" hidden="1">
      <c r="D35" s="279" t="s">
        <v>360</v>
      </c>
      <c r="E35" s="733">
        <f>IF(E36&gt;0,"in Klasse ..","")</f>
      </c>
      <c r="F35" s="734"/>
      <c r="G35" s="735" t="s">
        <v>361</v>
      </c>
      <c r="H35" s="302" t="s">
        <v>362</v>
      </c>
      <c r="I35" s="278"/>
      <c r="J35" s="733">
        <f>IF(J36&gt;0,"in Klasse ..","")</f>
      </c>
      <c r="K35" s="734"/>
      <c r="L35" s="735">
        <f>IF(J36&gt;0,"LZ","")</f>
      </c>
      <c r="M35" s="302">
        <f>IF(J36&gt;0,"FrZ","")</f>
      </c>
      <c r="N35" s="278"/>
      <c r="O35" s="733">
        <f>IF(O36&gt;0,"in Klasse ..","")</f>
      </c>
      <c r="P35" s="734"/>
      <c r="Q35" s="735">
        <f>IF(O36&gt;0,"LZ","")</f>
      </c>
      <c r="R35" s="302">
        <f>IF(O36&gt;0,"FrZ","")</f>
      </c>
      <c r="S35" s="278"/>
      <c r="T35" s="733">
        <f>IF(T36&gt;0,"in Klasse ..","")</f>
      </c>
      <c r="U35" s="734"/>
      <c r="V35" s="735">
        <f>IF(T36&gt;0,"LZ","")</f>
      </c>
      <c r="W35" s="302">
        <f>IF(T36&gt;0,"FrZ","")</f>
      </c>
      <c r="X35" s="278"/>
      <c r="Y35" s="733">
        <f>IF(Y36&gt;0,"in Klasse ..","")</f>
      </c>
      <c r="Z35" s="734"/>
      <c r="AA35" s="735">
        <f>IF(Y36&gt;0,"LZ","")</f>
      </c>
      <c r="AB35" s="302">
        <f>IF(Y36&gt;0,"FrZ","")</f>
      </c>
      <c r="AC35" s="278"/>
      <c r="AD35" s="315">
        <f t="shared" si="10"/>
        <v>0</v>
      </c>
      <c r="AE35" s="315">
        <f t="shared" si="10"/>
        <v>0</v>
      </c>
      <c r="AF35" s="315">
        <f t="shared" si="11"/>
        <v>0</v>
      </c>
      <c r="AG35" s="315">
        <f t="shared" si="11"/>
        <v>0</v>
      </c>
      <c r="AH35" s="315">
        <f t="shared" si="12"/>
        <v>0</v>
      </c>
      <c r="AI35" s="315">
        <f t="shared" si="12"/>
        <v>0</v>
      </c>
      <c r="AJ35" s="315">
        <f t="shared" si="13"/>
        <v>0</v>
      </c>
      <c r="AK35" s="315">
        <f t="shared" si="13"/>
        <v>0</v>
      </c>
      <c r="AL35" s="315">
        <f t="shared" si="14"/>
        <v>0</v>
      </c>
      <c r="AM35" s="315">
        <f t="shared" si="14"/>
        <v>0</v>
      </c>
    </row>
    <row r="36" spans="5:39" ht="15" hidden="1">
      <c r="E36" s="737">
        <f>IF(Klassen!$BP27&gt;0,Klassen!$BP27&amp;" Schü. in "&amp;Klassen!$BR27,)</f>
        <v>0</v>
      </c>
      <c r="F36" s="738"/>
      <c r="G36" s="741"/>
      <c r="H36" s="770"/>
      <c r="J36" s="737">
        <f>IF(Klassen!$BP28&gt;0,Klassen!$BP28&amp;" Schü. in "&amp;Klassen!$BR28,)</f>
        <v>0</v>
      </c>
      <c r="K36" s="738"/>
      <c r="L36" s="741"/>
      <c r="M36" s="770"/>
      <c r="O36" s="737">
        <f>IF(Klassen!$BP29&gt;0,Klassen!$BP29&amp;" Schü. in "&amp;Klassen!$BR29,)</f>
        <v>0</v>
      </c>
      <c r="P36" s="738"/>
      <c r="Q36" s="741"/>
      <c r="R36" s="770"/>
      <c r="T36" s="737">
        <f>IF(Klassen!$BP30&gt;0,Klassen!$BP30&amp;" Schü. in "&amp;Klassen!$BR30,)</f>
        <v>0</v>
      </c>
      <c r="U36" s="738"/>
      <c r="V36" s="741"/>
      <c r="W36" s="770"/>
      <c r="Y36" s="737">
        <f>IF(Klassen!$BP31&gt;0,Klassen!$BP31&amp;" Schü. in "&amp;Klassen!$BR31,)</f>
        <v>0</v>
      </c>
      <c r="Z36" s="738"/>
      <c r="AA36" s="741"/>
      <c r="AB36" s="770"/>
      <c r="AD36" s="315">
        <f t="shared" si="10"/>
        <v>0</v>
      </c>
      <c r="AE36" s="315">
        <f t="shared" si="10"/>
        <v>0</v>
      </c>
      <c r="AF36" s="315">
        <f t="shared" si="11"/>
        <v>0</v>
      </c>
      <c r="AG36" s="315">
        <f t="shared" si="11"/>
        <v>0</v>
      </c>
      <c r="AH36" s="315">
        <f t="shared" si="12"/>
        <v>0</v>
      </c>
      <c r="AI36" s="315">
        <f t="shared" si="12"/>
        <v>0</v>
      </c>
      <c r="AJ36" s="315">
        <f t="shared" si="13"/>
        <v>0</v>
      </c>
      <c r="AK36" s="315">
        <f t="shared" si="13"/>
        <v>0</v>
      </c>
      <c r="AL36" s="315">
        <f t="shared" si="14"/>
        <v>0</v>
      </c>
      <c r="AM36" s="315">
        <f t="shared" si="14"/>
        <v>0</v>
      </c>
    </row>
    <row r="37" spans="30:39" ht="14.25">
      <c r="AD37" s="315">
        <f t="shared" si="10"/>
        <v>0</v>
      </c>
      <c r="AE37" s="315">
        <f t="shared" si="10"/>
        <v>0</v>
      </c>
      <c r="AF37" s="315">
        <f t="shared" si="11"/>
        <v>0</v>
      </c>
      <c r="AG37" s="315">
        <f t="shared" si="11"/>
        <v>0</v>
      </c>
      <c r="AH37" s="315">
        <f t="shared" si="12"/>
        <v>0</v>
      </c>
      <c r="AI37" s="315">
        <f t="shared" si="12"/>
        <v>0</v>
      </c>
      <c r="AJ37" s="315">
        <f t="shared" si="13"/>
        <v>0</v>
      </c>
      <c r="AK37" s="315">
        <f t="shared" si="13"/>
        <v>0</v>
      </c>
      <c r="AL37" s="315">
        <f t="shared" si="14"/>
        <v>0</v>
      </c>
      <c r="AM37" s="315">
        <f t="shared" si="14"/>
        <v>0</v>
      </c>
    </row>
    <row r="38" spans="1:39" ht="20.25">
      <c r="A38" s="859">
        <f>P29</f>
        <v>0</v>
      </c>
      <c r="B38" s="859"/>
      <c r="C38"/>
      <c r="D38" s="742">
        <f>IF(M29&gt;0,"  für verschränkte Form",)</f>
        <v>0</v>
      </c>
      <c r="E38" s="1"/>
      <c r="I38" s="743">
        <f>IF(A38&gt;0,".. sofern als gesonderter Zuschlag von der BilDi genehmigt.",)</f>
        <v>0</v>
      </c>
      <c r="J38"/>
      <c r="K38"/>
      <c r="L38"/>
      <c r="M38"/>
      <c r="N38"/>
      <c r="O38"/>
      <c r="P38"/>
      <c r="Q38"/>
      <c r="R38"/>
      <c r="S38"/>
      <c r="T38"/>
      <c r="U38"/>
      <c r="W38" s="316">
        <f>IF(AE25&gt;0,"Beim Leiter:",)</f>
        <v>0</v>
      </c>
      <c r="X38" s="317">
        <f>IF(AE25&gt;0,"+ "&amp;AL26&amp;" Kl. bei LeiterZulage",)</f>
        <v>0</v>
      </c>
      <c r="Y38"/>
      <c r="Z38"/>
      <c r="AA38"/>
      <c r="AB38"/>
      <c r="AC38" s="318"/>
      <c r="AD38" s="315">
        <f t="shared" si="10"/>
        <v>0</v>
      </c>
      <c r="AE38" s="315">
        <f t="shared" si="10"/>
        <v>0</v>
      </c>
      <c r="AF38" s="315">
        <f t="shared" si="11"/>
        <v>0</v>
      </c>
      <c r="AG38" s="315">
        <f t="shared" si="11"/>
        <v>0</v>
      </c>
      <c r="AH38" s="315">
        <f t="shared" si="12"/>
        <v>0</v>
      </c>
      <c r="AI38" s="315">
        <f t="shared" si="12"/>
        <v>0</v>
      </c>
      <c r="AJ38" s="315">
        <f t="shared" si="13"/>
        <v>0</v>
      </c>
      <c r="AK38" s="315">
        <f t="shared" si="13"/>
        <v>0</v>
      </c>
      <c r="AL38" s="315">
        <f t="shared" si="14"/>
        <v>0</v>
      </c>
      <c r="AM38" s="315">
        <f t="shared" si="14"/>
        <v>0</v>
      </c>
    </row>
    <row r="39" spans="1:39" ht="14.25">
      <c r="A39" s="775" t="s">
        <v>105</v>
      </c>
      <c r="B39" s="776"/>
      <c r="C39">
        <f>IF(A38&lt;999,A38,)</f>
        <v>0</v>
      </c>
      <c r="D39" s="744">
        <f>A27+C39</f>
        <v>0</v>
      </c>
      <c r="E39" s="745">
        <f>IF(A38&gt;0," = zusammen",)</f>
        <v>0</v>
      </c>
      <c r="F39"/>
      <c r="G39"/>
      <c r="I39"/>
      <c r="K39" s="746">
        <f>IF(P29&gt;0,"davon "&amp;AC31&amp;" FrZ",)</f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 s="319">
        <f>IF(X38&gt;0,"[ "&amp;AJ26&amp;" Gruppen /2 ..aufgerundet ]",)</f>
        <v>0</v>
      </c>
      <c r="AC39"/>
      <c r="AD39"/>
      <c r="AE39" s="642">
        <f>IF((E14+F14)&gt;0,1,)+IF((E15+F15)&gt;0,1,)+IF((E16+F16)&gt;0,1,)+IF((E17+F17)&gt;0,1,)+IF((E18+F18)&gt;0,1,)+IF((E19+F19)&gt;0,1,)+IF((E20+F20)&gt;0,1,)+IF((E21+F21)&gt;0,1,)+IF((E22+F22)&gt;0,1,)+IF((E23+F23)&gt;0,1,)</f>
        <v>0</v>
      </c>
      <c r="AF39"/>
      <c r="AG39" s="642">
        <f>IF((J14+K14)&gt;0,1,)+IF((J15+K15)&gt;0,1,)+IF((J16+K16)&gt;0,1,)+IF((J17+K17)&gt;0,1,)+IF((J18+K18)&gt;0,1,)+IF((J19+K19)&gt;0,1,)+IF((J20+K20)&gt;0,1,)+IF((J21+K21)&gt;0,1,)+IF((J22+K22)&gt;0,1,)+IF((J23+K23)&gt;0,1,)</f>
        <v>0</v>
      </c>
      <c r="AH39"/>
      <c r="AI39" s="642">
        <f>IF((O14+P14)&gt;0,1,)+IF((O15+P15)&gt;0,1,)+IF((O16+P16)&gt;0,1,)+IF((O17+P17)&gt;0,1,)+IF((O18+P18)&gt;0,1,)+IF((O19+P19)&gt;0,1,)+IF((O20+P20)&gt;0,1,)+IF((O21+P21)&gt;0,1,)+IF((O22+P22)&gt;0,1,)+IF((O23+P23)&gt;0,1,)</f>
        <v>0</v>
      </c>
      <c r="AJ39"/>
      <c r="AK39" s="642">
        <f>IF((T14+U14)&gt;0,1,)+IF((T15+U15)&gt;0,1,)+IF((T16+U16)&gt;0,1,)+IF((T17+U17)&gt;0,1,)+IF((T18+U18)&gt;0,1,)+IF((T19+U19)&gt;0,1,)+IF((T20+U20)&gt;0,1,)+IF((T21+U21)&gt;0,1,)+IF((T22+U22)&gt;0,1,)+IF((T23+U23)&gt;0,1,)</f>
        <v>0</v>
      </c>
      <c r="AL39"/>
      <c r="AM39" s="642">
        <f>IF((Y14+Z14)&gt;0,1,)+IF((Y15+Z15)&gt;0,1,)+IF((Y16+Z16)&gt;0,1,)+IF((Y17+Z17)&gt;0,1,)+IF((Y18+Z18)&gt;0,1,)+IF((Y19+Z19)&gt;0,1,)+IF((Y20+Z20)&gt;0,1,)+IF((Y21+Z21)&gt;0,1,)+IF((Y22+Z22)&gt;0,1,)+IF((Y23+Z23)&gt;0,1,)</f>
        <v>0</v>
      </c>
    </row>
    <row r="40" spans="1:29" ht="14.25" customHeight="1">
      <c r="A40" s="860"/>
      <c r="B40" s="860"/>
      <c r="C40" s="860"/>
      <c r="D40" s="860"/>
      <c r="E40" s="860"/>
      <c r="F40" s="860"/>
      <c r="G40" s="860"/>
      <c r="H40" s="860"/>
      <c r="I40" s="860"/>
      <c r="J40" s="860"/>
      <c r="K40" s="860"/>
      <c r="L40" s="860"/>
      <c r="M40" s="860"/>
      <c r="N40" s="860"/>
      <c r="O40" s="860"/>
      <c r="P40" s="860"/>
      <c r="Q40" s="860"/>
      <c r="R40" s="860"/>
      <c r="S40" s="860"/>
      <c r="T40" s="860"/>
      <c r="U40" s="860"/>
      <c r="V40" s="860"/>
      <c r="W40" s="317" t="e">
        <f>IF(AND(AK26&gt;0,(AK26+AK25)&gt;7,AK25&lt;12),"SupplierV reduziert um "&amp;AK26*1.5&amp;" WoStd",IF(AND((AK26+AK25)&lt;=7,AJ26&gt;=1),"Einrechnung von "&amp;ROUNDDOWN(AJ26,0)*0.75&amp;" WoStd",))</f>
        <v>#REF!</v>
      </c>
      <c r="X40"/>
      <c r="Y40"/>
      <c r="Z40"/>
      <c r="AA40"/>
      <c r="AB40"/>
      <c r="AC40" s="320"/>
    </row>
    <row r="41" spans="1:29" ht="14.25" customHeight="1">
      <c r="A41" s="860"/>
      <c r="B41" s="860"/>
      <c r="C41" s="860"/>
      <c r="D41" s="860"/>
      <c r="E41" s="860"/>
      <c r="F41" s="860"/>
      <c r="G41" s="860"/>
      <c r="H41" s="860"/>
      <c r="I41" s="860"/>
      <c r="J41" s="860"/>
      <c r="K41" s="860"/>
      <c r="L41" s="860"/>
      <c r="M41" s="860"/>
      <c r="N41" s="860"/>
      <c r="O41" s="860"/>
      <c r="P41" s="860"/>
      <c r="Q41" s="860"/>
      <c r="R41" s="860"/>
      <c r="S41" s="860"/>
      <c r="T41" s="860"/>
      <c r="U41" s="860"/>
      <c r="V41" s="860"/>
      <c r="W41"/>
      <c r="X41"/>
      <c r="Y41"/>
      <c r="Z41"/>
      <c r="AA41"/>
      <c r="AB41" s="319" t="e">
        <f>IF(LEFT(W40,4)="Einr","[ "&amp;AJ26&amp;" Gruppen …abgerundet * 0,75 ]",IF(LEFT(W40,4)="Supp","[ mind. "&amp;AK26*2&amp;" Gruppen * 0,75 ]",))</f>
        <v>#REF!</v>
      </c>
      <c r="AC41"/>
    </row>
    <row r="42" spans="1:29" ht="14.25" customHeight="1">
      <c r="A42" s="860"/>
      <c r="B42" s="860"/>
      <c r="C42" s="860"/>
      <c r="D42" s="860"/>
      <c r="E42" s="860"/>
      <c r="F42" s="860"/>
      <c r="G42" s="860"/>
      <c r="H42" s="860"/>
      <c r="I42" s="860"/>
      <c r="J42" s="860"/>
      <c r="K42" s="860"/>
      <c r="L42" s="860"/>
      <c r="M42" s="860"/>
      <c r="N42" s="860"/>
      <c r="O42" s="860"/>
      <c r="P42" s="860"/>
      <c r="Q42" s="860"/>
      <c r="R42" s="860"/>
      <c r="S42" s="860"/>
      <c r="T42" s="860"/>
      <c r="U42" s="860"/>
      <c r="V42" s="860"/>
      <c r="W42"/>
      <c r="X42"/>
      <c r="Y42"/>
      <c r="Z42"/>
      <c r="AA42"/>
      <c r="AB42"/>
      <c r="AC42"/>
    </row>
    <row r="43" spans="1:22" ht="14.25" customHeight="1">
      <c r="A43" s="860"/>
      <c r="B43" s="860"/>
      <c r="C43" s="860"/>
      <c r="D43" s="860"/>
      <c r="E43" s="860"/>
      <c r="F43" s="860"/>
      <c r="G43" s="860"/>
      <c r="H43" s="860"/>
      <c r="I43" s="860"/>
      <c r="J43" s="860"/>
      <c r="K43" s="860"/>
      <c r="L43" s="860"/>
      <c r="M43" s="860"/>
      <c r="N43" s="860"/>
      <c r="O43" s="860"/>
      <c r="P43" s="860"/>
      <c r="Q43" s="860"/>
      <c r="R43" s="860"/>
      <c r="S43" s="860"/>
      <c r="T43" s="860"/>
      <c r="U43" s="860"/>
      <c r="V43" s="860"/>
    </row>
    <row r="44" spans="1:28" ht="14.25" customHeight="1">
      <c r="A44" s="860"/>
      <c r="B44" s="860"/>
      <c r="C44" s="860"/>
      <c r="D44" s="860"/>
      <c r="E44" s="860"/>
      <c r="F44" s="860"/>
      <c r="G44" s="860"/>
      <c r="H44" s="860"/>
      <c r="I44" s="860"/>
      <c r="J44" s="860"/>
      <c r="K44" s="860"/>
      <c r="L44" s="860"/>
      <c r="M44" s="860"/>
      <c r="N44" s="860"/>
      <c r="O44" s="860"/>
      <c r="P44" s="860"/>
      <c r="Q44" s="860"/>
      <c r="R44" s="860"/>
      <c r="S44" s="860"/>
      <c r="T44" s="860"/>
      <c r="U44" s="860"/>
      <c r="V44" s="860"/>
      <c r="W44" s="22"/>
      <c r="X44" s="22"/>
      <c r="Y44" s="22"/>
      <c r="Z44" s="569"/>
      <c r="AA44" s="570" t="s">
        <v>295</v>
      </c>
      <c r="AB44" s="22"/>
    </row>
    <row r="45" ht="14.25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CF48" sheet="1" formatRows="0"/>
  <mergeCells count="7">
    <mergeCell ref="A11:B12"/>
    <mergeCell ref="Q26:T26"/>
    <mergeCell ref="A38:B38"/>
    <mergeCell ref="A40:V44"/>
    <mergeCell ref="I5:J5"/>
    <mergeCell ref="A27:B27"/>
    <mergeCell ref="P29:Q29"/>
  </mergeCells>
  <conditionalFormatting sqref="R15">
    <cfRule type="cellIs" priority="98" dxfId="206" operator="greaterThan" stopIfTrue="1">
      <formula>AI15</formula>
    </cfRule>
  </conditionalFormatting>
  <conditionalFormatting sqref="Q17">
    <cfRule type="cellIs" priority="97" dxfId="206" operator="greaterThan" stopIfTrue="1">
      <formula>AH17</formula>
    </cfRule>
  </conditionalFormatting>
  <conditionalFormatting sqref="R17">
    <cfRule type="cellIs" priority="96" dxfId="206" operator="greaterThan" stopIfTrue="1">
      <formula>AI17</formula>
    </cfRule>
  </conditionalFormatting>
  <conditionalFormatting sqref="Q18">
    <cfRule type="cellIs" priority="95" dxfId="206" operator="greaterThan" stopIfTrue="1">
      <formula>AH18</formula>
    </cfRule>
  </conditionalFormatting>
  <conditionalFormatting sqref="R18">
    <cfRule type="cellIs" priority="94" dxfId="206" operator="greaterThan" stopIfTrue="1">
      <formula>AI18</formula>
    </cfRule>
  </conditionalFormatting>
  <conditionalFormatting sqref="Q22">
    <cfRule type="cellIs" priority="93" dxfId="206" operator="greaterThan" stopIfTrue="1">
      <formula>AH22</formula>
    </cfRule>
  </conditionalFormatting>
  <conditionalFormatting sqref="G15">
    <cfRule type="cellIs" priority="33" dxfId="206" operator="greaterThan" stopIfTrue="1">
      <formula>AD15</formula>
    </cfRule>
  </conditionalFormatting>
  <conditionalFormatting sqref="L15">
    <cfRule type="cellIs" priority="87" dxfId="206" operator="greaterThan" stopIfTrue="1">
      <formula>AF15</formula>
    </cfRule>
  </conditionalFormatting>
  <conditionalFormatting sqref="M15">
    <cfRule type="cellIs" priority="86" dxfId="206" operator="greaterThan" stopIfTrue="1">
      <formula>AG15</formula>
    </cfRule>
  </conditionalFormatting>
  <conditionalFormatting sqref="L17">
    <cfRule type="cellIs" priority="83" dxfId="206" operator="greaterThan" stopIfTrue="1">
      <formula>AF17</formula>
    </cfRule>
  </conditionalFormatting>
  <conditionalFormatting sqref="M17">
    <cfRule type="cellIs" priority="82" dxfId="206" operator="greaterThan" stopIfTrue="1">
      <formula>AG17</formula>
    </cfRule>
  </conditionalFormatting>
  <conditionalFormatting sqref="L18">
    <cfRule type="cellIs" priority="81" dxfId="206" operator="greaterThan" stopIfTrue="1">
      <formula>AF18</formula>
    </cfRule>
  </conditionalFormatting>
  <conditionalFormatting sqref="M18">
    <cfRule type="cellIs" priority="80" dxfId="206" operator="greaterThan" stopIfTrue="1">
      <formula>AG18</formula>
    </cfRule>
  </conditionalFormatting>
  <conditionalFormatting sqref="L22">
    <cfRule type="cellIs" priority="79" dxfId="206" operator="greaterThan" stopIfTrue="1">
      <formula>AF22</formula>
    </cfRule>
  </conditionalFormatting>
  <conditionalFormatting sqref="H17">
    <cfRule type="cellIs" priority="72" dxfId="206" operator="greaterThan" stopIfTrue="1">
      <formula>AE17</formula>
    </cfRule>
  </conditionalFormatting>
  <conditionalFormatting sqref="G22">
    <cfRule type="cellIs" priority="73" dxfId="206" operator="greaterThan" stopIfTrue="1">
      <formula>AD22</formula>
    </cfRule>
  </conditionalFormatting>
  <conditionalFormatting sqref="G19:G21">
    <cfRule type="cellIs" priority="71" dxfId="206" operator="greaterThan" stopIfTrue="1">
      <formula>AD19</formula>
    </cfRule>
  </conditionalFormatting>
  <conditionalFormatting sqref="H16">
    <cfRule type="cellIs" priority="22" dxfId="206" operator="greaterThan" stopIfTrue="1">
      <formula>AE16</formula>
    </cfRule>
  </conditionalFormatting>
  <conditionalFormatting sqref="G18">
    <cfRule type="cellIs" priority="69" dxfId="206" operator="greaterThan" stopIfTrue="1">
      <formula>AD18</formula>
    </cfRule>
  </conditionalFormatting>
  <conditionalFormatting sqref="V15">
    <cfRule type="cellIs" priority="63" dxfId="206" operator="greaterThan" stopIfTrue="1">
      <formula>AJ15</formula>
    </cfRule>
  </conditionalFormatting>
  <conditionalFormatting sqref="W15">
    <cfRule type="cellIs" priority="62" dxfId="206" operator="greaterThan" stopIfTrue="1">
      <formula>AK15</formula>
    </cfRule>
  </conditionalFormatting>
  <conditionalFormatting sqref="V17">
    <cfRule type="cellIs" priority="61" dxfId="206" operator="greaterThan" stopIfTrue="1">
      <formula>AJ17</formula>
    </cfRule>
  </conditionalFormatting>
  <conditionalFormatting sqref="W17">
    <cfRule type="cellIs" priority="60" dxfId="206" operator="greaterThan" stopIfTrue="1">
      <formula>AK17</formula>
    </cfRule>
  </conditionalFormatting>
  <conditionalFormatting sqref="V18">
    <cfRule type="cellIs" priority="59" dxfId="206" operator="greaterThan" stopIfTrue="1">
      <formula>AJ18</formula>
    </cfRule>
  </conditionalFormatting>
  <conditionalFormatting sqref="W18">
    <cfRule type="cellIs" priority="58" dxfId="206" operator="greaterThan" stopIfTrue="1">
      <formula>AK18</formula>
    </cfRule>
  </conditionalFormatting>
  <conditionalFormatting sqref="V22">
    <cfRule type="cellIs" priority="57" dxfId="206" operator="greaterThan" stopIfTrue="1">
      <formula>AJ22</formula>
    </cfRule>
  </conditionalFormatting>
  <conditionalFormatting sqref="AA15">
    <cfRule type="cellIs" priority="51" dxfId="206" operator="greaterThan" stopIfTrue="1">
      <formula>AL15</formula>
    </cfRule>
  </conditionalFormatting>
  <conditionalFormatting sqref="AB15">
    <cfRule type="cellIs" priority="50" dxfId="206" operator="greaterThan" stopIfTrue="1">
      <formula>AM15</formula>
    </cfRule>
  </conditionalFormatting>
  <conditionalFormatting sqref="AA17">
    <cfRule type="cellIs" priority="49" dxfId="206" operator="greaterThan" stopIfTrue="1">
      <formula>AL17</formula>
    </cfRule>
  </conditionalFormatting>
  <conditionalFormatting sqref="AB17">
    <cfRule type="cellIs" priority="48" dxfId="206" operator="greaterThan" stopIfTrue="1">
      <formula>AM17</formula>
    </cfRule>
  </conditionalFormatting>
  <conditionalFormatting sqref="AA18">
    <cfRule type="cellIs" priority="47" dxfId="206" operator="greaterThan" stopIfTrue="1">
      <formula>AL18</formula>
    </cfRule>
  </conditionalFormatting>
  <conditionalFormatting sqref="AB18">
    <cfRule type="cellIs" priority="46" dxfId="206" operator="greaterThan" stopIfTrue="1">
      <formula>AM18</formula>
    </cfRule>
  </conditionalFormatting>
  <conditionalFormatting sqref="AA22">
    <cfRule type="cellIs" priority="45" dxfId="206" operator="greaterThan" stopIfTrue="1">
      <formula>AL22</formula>
    </cfRule>
  </conditionalFormatting>
  <conditionalFormatting sqref="Q19:Q21">
    <cfRule type="cellIs" priority="37" dxfId="206" operator="greaterThan" stopIfTrue="1">
      <formula>AH19</formula>
    </cfRule>
  </conditionalFormatting>
  <conditionalFormatting sqref="R19:R21">
    <cfRule type="cellIs" priority="36" dxfId="206" operator="greaterThan" stopIfTrue="1">
      <formula>AI19</formula>
    </cfRule>
  </conditionalFormatting>
  <conditionalFormatting sqref="L19:L21">
    <cfRule type="cellIs" priority="35" dxfId="206" operator="greaterThan" stopIfTrue="1">
      <formula>AF19</formula>
    </cfRule>
  </conditionalFormatting>
  <conditionalFormatting sqref="M19:M21">
    <cfRule type="cellIs" priority="34" dxfId="206" operator="greaterThan" stopIfTrue="1">
      <formula>AG19</formula>
    </cfRule>
  </conditionalFormatting>
  <conditionalFormatting sqref="H19:H21">
    <cfRule type="cellIs" priority="32" dxfId="206" operator="greaterThan" stopIfTrue="1">
      <formula>AE19</formula>
    </cfRule>
  </conditionalFormatting>
  <conditionalFormatting sqref="V19:V21">
    <cfRule type="cellIs" priority="31" dxfId="206" operator="greaterThan" stopIfTrue="1">
      <formula>AJ19</formula>
    </cfRule>
  </conditionalFormatting>
  <conditionalFormatting sqref="W19:W21">
    <cfRule type="cellIs" priority="30" dxfId="206" operator="greaterThan" stopIfTrue="1">
      <formula>AK19</formula>
    </cfRule>
  </conditionalFormatting>
  <conditionalFormatting sqref="AA19:AA21">
    <cfRule type="cellIs" priority="29" dxfId="206" operator="greaterThan" stopIfTrue="1">
      <formula>AL19</formula>
    </cfRule>
  </conditionalFormatting>
  <conditionalFormatting sqref="AB19:AB21">
    <cfRule type="cellIs" priority="28" dxfId="206" operator="greaterThan" stopIfTrue="1">
      <formula>AM19</formula>
    </cfRule>
  </conditionalFormatting>
  <conditionalFormatting sqref="R16">
    <cfRule type="cellIs" priority="26" dxfId="206" operator="greaterThan" stopIfTrue="1">
      <formula>AI16</formula>
    </cfRule>
  </conditionalFormatting>
  <conditionalFormatting sqref="M16">
    <cfRule type="cellIs" priority="24" dxfId="206" operator="greaterThan" stopIfTrue="1">
      <formula>AG16</formula>
    </cfRule>
  </conditionalFormatting>
  <conditionalFormatting sqref="H18">
    <cfRule type="cellIs" priority="70" dxfId="206" operator="greaterThan" stopIfTrue="1">
      <formula>AE18</formula>
    </cfRule>
  </conditionalFormatting>
  <conditionalFormatting sqref="W16">
    <cfRule type="cellIs" priority="20" dxfId="206" operator="greaterThan" stopIfTrue="1">
      <formula>AK16</formula>
    </cfRule>
  </conditionalFormatting>
  <conditionalFormatting sqref="AB16">
    <cfRule type="cellIs" priority="18" dxfId="206" operator="greaterThan" stopIfTrue="1">
      <formula>AM16</formula>
    </cfRule>
  </conditionalFormatting>
  <conditionalFormatting sqref="E18:F18 J18:K18 T18:U18 T22:U23 J22:K23 E22:F23">
    <cfRule type="expression" priority="99" dxfId="42" stopIfTrue="1">
      <formula>$A18&gt;0</formula>
    </cfRule>
  </conditionalFormatting>
  <conditionalFormatting sqref="O18:P18 Y18:Z18 Y22:Z23 O22:P23">
    <cfRule type="expression" priority="100" dxfId="207" stopIfTrue="1">
      <formula>$A18&gt;0</formula>
    </cfRule>
  </conditionalFormatting>
  <conditionalFormatting sqref="R22">
    <cfRule type="cellIs" priority="92" dxfId="206" operator="greaterThan" stopIfTrue="1">
      <formula>AI22</formula>
    </cfRule>
  </conditionalFormatting>
  <conditionalFormatting sqref="Q23">
    <cfRule type="cellIs" priority="91" dxfId="206" operator="greaterThan" stopIfTrue="1">
      <formula>AH23</formula>
    </cfRule>
  </conditionalFormatting>
  <conditionalFormatting sqref="R23">
    <cfRule type="cellIs" priority="90" dxfId="206" operator="greaterThan" stopIfTrue="1">
      <formula>AI23</formula>
    </cfRule>
  </conditionalFormatting>
  <conditionalFormatting sqref="Q14">
    <cfRule type="cellIs" priority="89" dxfId="206" operator="greaterThan" stopIfTrue="1">
      <formula>AH14</formula>
    </cfRule>
  </conditionalFormatting>
  <conditionalFormatting sqref="R14">
    <cfRule type="cellIs" priority="88" dxfId="206" operator="greaterThan" stopIfTrue="1">
      <formula>AI14</formula>
    </cfRule>
  </conditionalFormatting>
  <conditionalFormatting sqref="H15">
    <cfRule type="cellIs" priority="84" dxfId="206" operator="greaterThan" stopIfTrue="1">
      <formula>AE15</formula>
    </cfRule>
  </conditionalFormatting>
  <conditionalFormatting sqref="M22">
    <cfRule type="cellIs" priority="78" dxfId="206" operator="greaterThan" stopIfTrue="1">
      <formula>AG22</formula>
    </cfRule>
  </conditionalFormatting>
  <conditionalFormatting sqref="L23">
    <cfRule type="cellIs" priority="77" dxfId="206" operator="greaterThan" stopIfTrue="1">
      <formula>AF23</formula>
    </cfRule>
  </conditionalFormatting>
  <conditionalFormatting sqref="M23">
    <cfRule type="cellIs" priority="76" dxfId="206" operator="greaterThan" stopIfTrue="1">
      <formula>AG23</formula>
    </cfRule>
  </conditionalFormatting>
  <conditionalFormatting sqref="L14">
    <cfRule type="cellIs" priority="75" dxfId="206" operator="greaterThan" stopIfTrue="1">
      <formula>AF14</formula>
    </cfRule>
  </conditionalFormatting>
  <conditionalFormatting sqref="M14">
    <cfRule type="cellIs" priority="74" dxfId="206" operator="greaterThan" stopIfTrue="1">
      <formula>AG14</formula>
    </cfRule>
  </conditionalFormatting>
  <conditionalFormatting sqref="G17">
    <cfRule type="cellIs" priority="67" dxfId="206" operator="greaterThan" stopIfTrue="1">
      <formula>AD17</formula>
    </cfRule>
  </conditionalFormatting>
  <conditionalFormatting sqref="H22">
    <cfRule type="cellIs" priority="68" dxfId="206" operator="greaterThan" stopIfTrue="1">
      <formula>AE22</formula>
    </cfRule>
  </conditionalFormatting>
  <conditionalFormatting sqref="G23">
    <cfRule type="cellIs" priority="85" dxfId="206" operator="greaterThan" stopIfTrue="1">
      <formula>AD23</formula>
    </cfRule>
  </conditionalFormatting>
  <conditionalFormatting sqref="H23">
    <cfRule type="cellIs" priority="66" dxfId="206" operator="greaterThan" stopIfTrue="1">
      <formula>AE23</formula>
    </cfRule>
  </conditionalFormatting>
  <conditionalFormatting sqref="G14">
    <cfRule type="cellIs" priority="23" dxfId="206" operator="greaterThan" stopIfTrue="1">
      <formula>AD14</formula>
    </cfRule>
  </conditionalFormatting>
  <conditionalFormatting sqref="H14">
    <cfRule type="cellIs" priority="64" dxfId="206" operator="greaterThan" stopIfTrue="1">
      <formula>AE14</formula>
    </cfRule>
  </conditionalFormatting>
  <conditionalFormatting sqref="W22">
    <cfRule type="cellIs" priority="56" dxfId="206" operator="greaterThan" stopIfTrue="1">
      <formula>AK22</formula>
    </cfRule>
  </conditionalFormatting>
  <conditionalFormatting sqref="V23">
    <cfRule type="cellIs" priority="55" dxfId="206" operator="greaterThan" stopIfTrue="1">
      <formula>AJ23</formula>
    </cfRule>
  </conditionalFormatting>
  <conditionalFormatting sqref="W23">
    <cfRule type="cellIs" priority="54" dxfId="206" operator="greaterThan" stopIfTrue="1">
      <formula>AK23</formula>
    </cfRule>
  </conditionalFormatting>
  <conditionalFormatting sqref="V14">
    <cfRule type="cellIs" priority="53" dxfId="206" operator="greaterThan" stopIfTrue="1">
      <formula>AJ14</formula>
    </cfRule>
  </conditionalFormatting>
  <conditionalFormatting sqref="W14">
    <cfRule type="cellIs" priority="52" dxfId="206" operator="greaterThan" stopIfTrue="1">
      <formula>AK14</formula>
    </cfRule>
  </conditionalFormatting>
  <conditionalFormatting sqref="AB22">
    <cfRule type="cellIs" priority="44" dxfId="206" operator="greaterThan" stopIfTrue="1">
      <formula>AM22</formula>
    </cfRule>
  </conditionalFormatting>
  <conditionalFormatting sqref="AA23">
    <cfRule type="cellIs" priority="43" dxfId="206" operator="greaterThan" stopIfTrue="1">
      <formula>AL23</formula>
    </cfRule>
  </conditionalFormatting>
  <conditionalFormatting sqref="AB23">
    <cfRule type="cellIs" priority="42" dxfId="206" operator="greaterThan" stopIfTrue="1">
      <formula>AM23</formula>
    </cfRule>
  </conditionalFormatting>
  <conditionalFormatting sqref="AA14">
    <cfRule type="cellIs" priority="41" dxfId="206" operator="greaterThan" stopIfTrue="1">
      <formula>AL14</formula>
    </cfRule>
  </conditionalFormatting>
  <conditionalFormatting sqref="AB14">
    <cfRule type="cellIs" priority="40" dxfId="206" operator="greaterThan" stopIfTrue="1">
      <formula>AM14</formula>
    </cfRule>
  </conditionalFormatting>
  <conditionalFormatting sqref="Q15">
    <cfRule type="cellIs" priority="39" dxfId="206" operator="greaterThan" stopIfTrue="1">
      <formula>AH15</formula>
    </cfRule>
  </conditionalFormatting>
  <conditionalFormatting sqref="T19:U21 J19:K21 E19:F21">
    <cfRule type="expression" priority="101" dxfId="42" stopIfTrue="1">
      <formula>$A19&gt;0</formula>
    </cfRule>
  </conditionalFormatting>
  <conditionalFormatting sqref="Y19:Z21 O19:P21">
    <cfRule type="expression" priority="38" dxfId="207" stopIfTrue="1">
      <formula>$A19&gt;0</formula>
    </cfRule>
  </conditionalFormatting>
  <conditionalFormatting sqref="Q16">
    <cfRule type="cellIs" priority="27" dxfId="206" operator="greaterThan" stopIfTrue="1">
      <formula>AH16</formula>
    </cfRule>
  </conditionalFormatting>
  <conditionalFormatting sqref="L16">
    <cfRule type="cellIs" priority="25" dxfId="206" operator="greaterThan" stopIfTrue="1">
      <formula>AF16</formula>
    </cfRule>
  </conditionalFormatting>
  <conditionalFormatting sqref="G16">
    <cfRule type="cellIs" priority="65" dxfId="206" operator="greaterThan" stopIfTrue="1">
      <formula>AD16</formula>
    </cfRule>
  </conditionalFormatting>
  <conditionalFormatting sqref="V16">
    <cfRule type="cellIs" priority="21" dxfId="206" operator="greaterThan" stopIfTrue="1">
      <formula>AJ16</formula>
    </cfRule>
  </conditionalFormatting>
  <conditionalFormatting sqref="AA16">
    <cfRule type="cellIs" priority="19" dxfId="206" operator="greaterThan" stopIfTrue="1">
      <formula>AL16</formula>
    </cfRule>
  </conditionalFormatting>
  <conditionalFormatting sqref="A14">
    <cfRule type="cellIs" priority="16" dxfId="35" operator="greaterThan" stopIfTrue="1">
      <formula>0</formula>
    </cfRule>
  </conditionalFormatting>
  <conditionalFormatting sqref="A15:A23">
    <cfRule type="expression" priority="15" dxfId="34" stopIfTrue="1">
      <formula>AND($A15&lt;$B14,$A15&gt;0)</formula>
    </cfRule>
  </conditionalFormatting>
  <conditionalFormatting sqref="E14:F23 J14:K23 O14:P23 T14:U23 Y14:Z23">
    <cfRule type="cellIs" priority="245" dxfId="33" operator="between" stopIfTrue="1">
      <formula>1</formula>
      <formula>$AF$2-1</formula>
    </cfRule>
    <cfRule type="cellIs" priority="246" dxfId="32" operator="greaterThan" stopIfTrue="1">
      <formula>$C$6</formula>
    </cfRule>
  </conditionalFormatting>
  <conditionalFormatting sqref="Q5">
    <cfRule type="cellIs" priority="12" dxfId="31" operator="greaterThan" stopIfTrue="1">
      <formula>0</formula>
    </cfRule>
  </conditionalFormatting>
  <conditionalFormatting sqref="A27:B27">
    <cfRule type="cellIs" priority="11" dxfId="208" operator="greaterThan" stopIfTrue="1">
      <formula>0</formula>
    </cfRule>
  </conditionalFormatting>
  <conditionalFormatting sqref="H29">
    <cfRule type="cellIs" priority="10" dxfId="29" operator="greaterThan" stopIfTrue="1">
      <formula>0</formula>
    </cfRule>
  </conditionalFormatting>
  <conditionalFormatting sqref="A38:B38">
    <cfRule type="cellIs" priority="9" dxfId="208" operator="greaterThan" stopIfTrue="1">
      <formula>0</formula>
    </cfRule>
  </conditionalFormatting>
  <conditionalFormatting sqref="H24 M24 R24 W24 AB24">
    <cfRule type="expression" priority="3" dxfId="191" stopIfTrue="1">
      <formula>G25&gt;0</formula>
    </cfRule>
  </conditionalFormatting>
  <conditionalFormatting sqref="Q26:T26">
    <cfRule type="cellIs" priority="4" dxfId="209" operator="greaterThan" stopIfTrue="1">
      <formula>0</formula>
    </cfRule>
  </conditionalFormatting>
  <conditionalFormatting sqref="AE25">
    <cfRule type="expression" priority="5" dxfId="6" stopIfTrue="1">
      <formula>AND($C$6=0,$AE$25&gt;0)</formula>
    </cfRule>
  </conditionalFormatting>
  <conditionalFormatting sqref="L28:W28">
    <cfRule type="expression" priority="1" dxfId="24" stopIfTrue="1">
      <formula>$L$28&lt;&gt;0</formula>
    </cfRule>
  </conditionalFormatting>
  <dataValidations count="8">
    <dataValidation type="time" allowBlank="1" showInputMessage="1" showErrorMessage="1" prompt="Uhrzeit bitte mit Doppelpunkt eingeben" error="Uhrzeit bitte mit Doppelpunkt eingeben" sqref="A14">
      <formula1>0.2916666666666667</formula1>
      <formula2>0.75</formula2>
    </dataValidation>
    <dataValidation type="time" allowBlank="1" showInputMessage="1" showErrorMessage="1" error="Uhrzeit bitte mit Doppelpunkt eingeben" sqref="B14:B23 A15:A23">
      <formula1>0.2916666666666667</formula1>
      <formula2>0.75</formula2>
    </dataValidation>
    <dataValidation type="decimal" operator="lessThanOrEqual" allowBlank="1" showInputMessage="1" showErrorMessage="1" prompt="Lehrerstunden wöchentlich  ... nach Umrechnung  2 : 1&#10;&#10;(gehalten 2  =  1 zu verrechnen)" error="diese Zahl passt nicht zusammen mit der Schülerzahl in Zeile 5!" sqref="H14:H23 M14:M23 R14:R23 W14:W23 AB14:AB23">
      <formula1>$O$6</formula1>
    </dataValidation>
    <dataValidation type="decimal" operator="lessThanOrEqual" allowBlank="1" showErrorMessage="1" error="diese Zahl passt nicht zusammen mit der Schülerzahl in Zeile 5!" sqref="G14:G23 L14:L23 Q14:Q23 V14:V23 AA14:AA23">
      <formula1>$O$6</formula1>
    </dataValidation>
    <dataValidation type="whole" allowBlank="1" showInputMessage="1" error="bitte Schüler als Ganzzahl eingeben!&#10;(mindestens = 8 pro Gruppe)" sqref="E14:F23 J14:K23 O14:P23 T14:U23 Y14:Z23">
      <formula1>$AF$2</formula1>
      <formula2>333</formula2>
    </dataValidation>
    <dataValidation type="whole" allowBlank="1" showInputMessage="1" showErrorMessage="1" prompt="jeder (verschiedene) Schülerkopf = 1&#10;... unabhängig an wieviel Tagen pro Woche&#10;&#10;Minuseintrag = selber keine Gruppe&#10;" error="soviel geht nicht!" sqref="L5">
      <formula1>-I5</formula1>
      <formula2>222</formula2>
    </dataValidation>
    <dataValidation allowBlank="1" showInputMessage="1" showErrorMessage="1" prompt="Lehrerstunden wöchentlich,&#10;wobei Individ.LZ mit 2 : 1 umgerechnet einzubeziehen ist&#10;(gehalten 2  =  1 zu verrechnen)" sqref="G32 L32 Q32"/>
    <dataValidation allowBlank="1" showInputMessage="1" showErrorMessage="1" prompt="Hier WoStunden der Freizeitbetreuung eingeben, soweit über SQM genehmigt" sqref="H32 M32 R32"/>
  </dataValidations>
  <hyperlinks>
    <hyperlink ref="S4" r:id="rId1" display="http://www2.vobs.at/ftp-pub/allgemein/formulare/GTS.PDF"/>
  </hyperlinks>
  <printOptions horizontalCentered="1"/>
  <pageMargins left="0.5511811023622047" right="0.42" top="0.34" bottom="0.38" header="0.53" footer="0.33"/>
  <pageSetup fitToHeight="2" fitToWidth="1" horizontalDpi="600" verticalDpi="600" orientation="landscape" paperSize="9" scale="91" r:id="rId5"/>
  <headerFooter alignWithMargins="0">
    <oddFooter>&amp;C&amp;8&amp;F</oddFooter>
  </headerFooter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tabColor indexed="47"/>
    <pageSetUpPr fitToPage="1"/>
  </sheetPr>
  <dimension ref="A1:IV45"/>
  <sheetViews>
    <sheetView showGridLines="0" showZeros="0" zoomScale="67" zoomScaleNormal="67" zoomScalePageLayoutView="0" workbookViewId="0" topLeftCell="A1">
      <pane ySplit="5" topLeftCell="A6" activePane="bottomLeft" state="frozen"/>
      <selection pane="topLeft" activeCell="C4" sqref="C4"/>
      <selection pane="bottomLeft" activeCell="B5" sqref="B5"/>
    </sheetView>
  </sheetViews>
  <sheetFormatPr defaultColWidth="11.25390625" defaultRowHeight="14.25" zeroHeight="1"/>
  <cols>
    <col min="1" max="1" width="32.875" style="87" customWidth="1"/>
    <col min="2" max="2" width="1.625" style="87" customWidth="1"/>
    <col min="3" max="3" width="5.875" style="87" customWidth="1"/>
    <col min="4" max="4" width="5.75390625" style="87" customWidth="1"/>
    <col min="5" max="5" width="7.375" style="87" customWidth="1"/>
    <col min="6" max="7" width="4.125" style="87" customWidth="1"/>
    <col min="8" max="8" width="1.4921875" style="155" customWidth="1"/>
    <col min="9" max="10" width="5.00390625" style="87" customWidth="1"/>
    <col min="11" max="11" width="1.00390625" style="155" customWidth="1"/>
    <col min="12" max="12" width="4.75390625" style="87" customWidth="1"/>
    <col min="13" max="13" width="5.00390625" style="87" customWidth="1"/>
    <col min="14" max="15" width="4.875" style="87" customWidth="1"/>
    <col min="16" max="16" width="1.00390625" style="87" customWidth="1"/>
    <col min="17" max="17" width="10.00390625" style="87" customWidth="1"/>
    <col min="18" max="18" width="1.75390625" style="156" customWidth="1"/>
    <col min="19" max="19" width="6.375" style="87" customWidth="1"/>
    <col min="20" max="247" width="10.00390625" style="87" customWidth="1"/>
    <col min="248" max="16384" width="11.25390625" style="87" customWidth="1"/>
  </cols>
  <sheetData>
    <row r="1" spans="1:18" s="94" customFormat="1" ht="30" customHeight="1">
      <c r="A1" s="632" t="str">
        <f>Einleitung!B6</f>
        <v>ASO  . . .</v>
      </c>
      <c r="B1" s="9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262" t="s">
        <v>58</v>
      </c>
      <c r="R1" s="96"/>
    </row>
    <row r="2" spans="1:256" s="251" customFormat="1" ht="14.25">
      <c r="A2" s="250"/>
      <c r="B2" s="250"/>
      <c r="C2" s="99">
        <f>33-COUNTBLANK(C6:C38)</f>
        <v>1</v>
      </c>
      <c r="D2" s="99">
        <f>33-COUNTBLANK(D6:D38)</f>
        <v>0</v>
      </c>
      <c r="E2" s="250"/>
      <c r="F2" s="99">
        <f>33-COUNTBLANK(F6:F38)</f>
        <v>0</v>
      </c>
      <c r="G2" s="99">
        <f>33-COUNTBLANK(G6:G38)</f>
        <v>0</v>
      </c>
      <c r="H2" s="250"/>
      <c r="I2" s="99">
        <f>33-COUNTBLANK(I6:I38)</f>
        <v>0</v>
      </c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250"/>
      <c r="FM2" s="250"/>
      <c r="FN2" s="250"/>
      <c r="FO2" s="250"/>
      <c r="FP2" s="250"/>
      <c r="FQ2" s="250"/>
      <c r="FR2" s="250"/>
      <c r="FS2" s="250"/>
      <c r="FT2" s="250"/>
      <c r="FU2" s="250"/>
      <c r="FV2" s="250"/>
      <c r="FW2" s="250"/>
      <c r="FX2" s="250"/>
      <c r="FY2" s="250"/>
      <c r="FZ2" s="250"/>
      <c r="GA2" s="250"/>
      <c r="GB2" s="250"/>
      <c r="GC2" s="250"/>
      <c r="GD2" s="250"/>
      <c r="GE2" s="250"/>
      <c r="GF2" s="250"/>
      <c r="GG2" s="250"/>
      <c r="GH2" s="250"/>
      <c r="GI2" s="250"/>
      <c r="GJ2" s="250"/>
      <c r="GK2" s="250"/>
      <c r="GL2" s="250"/>
      <c r="GM2" s="250"/>
      <c r="GN2" s="250"/>
      <c r="GO2" s="250"/>
      <c r="GP2" s="250"/>
      <c r="GQ2" s="250"/>
      <c r="GR2" s="250"/>
      <c r="GS2" s="250"/>
      <c r="GT2" s="250"/>
      <c r="GU2" s="250"/>
      <c r="GV2" s="250"/>
      <c r="GW2" s="250"/>
      <c r="GX2" s="250"/>
      <c r="GY2" s="250"/>
      <c r="GZ2" s="250"/>
      <c r="HA2" s="250"/>
      <c r="HB2" s="250"/>
      <c r="HC2" s="250"/>
      <c r="HD2" s="250"/>
      <c r="HE2" s="250"/>
      <c r="HF2" s="250"/>
      <c r="HG2" s="250"/>
      <c r="HH2" s="250"/>
      <c r="HI2" s="250"/>
      <c r="HJ2" s="250"/>
      <c r="HK2" s="250"/>
      <c r="HL2" s="250"/>
      <c r="HM2" s="250"/>
      <c r="HN2" s="250"/>
      <c r="HO2" s="250"/>
      <c r="HP2" s="250"/>
      <c r="HQ2" s="250"/>
      <c r="HR2" s="250"/>
      <c r="HS2" s="250"/>
      <c r="HT2" s="250"/>
      <c r="HU2" s="250"/>
      <c r="HV2" s="250"/>
      <c r="HW2" s="250"/>
      <c r="HX2" s="250"/>
      <c r="HY2" s="250"/>
      <c r="HZ2" s="250"/>
      <c r="IA2" s="250"/>
      <c r="IB2" s="250"/>
      <c r="IC2" s="250"/>
      <c r="ID2" s="250"/>
      <c r="IE2" s="250"/>
      <c r="IF2" s="250"/>
      <c r="IG2" s="250"/>
      <c r="IH2" s="250"/>
      <c r="II2" s="250"/>
      <c r="IJ2" s="250"/>
      <c r="IK2" s="250"/>
      <c r="IL2" s="250"/>
      <c r="IM2" s="250"/>
      <c r="IN2" s="250"/>
      <c r="IO2" s="250"/>
      <c r="IP2" s="250"/>
      <c r="IQ2" s="250"/>
      <c r="IR2" s="250"/>
      <c r="IS2" s="250"/>
      <c r="IT2" s="250"/>
      <c r="IU2" s="250"/>
      <c r="IV2" s="250"/>
    </row>
    <row r="3" spans="1:18" ht="25.5" customHeight="1">
      <c r="A3" s="100" t="str">
        <f>" Voraussichtlich zum 1.9."&amp;Einleitung!D3&amp;":"</f>
        <v> Voraussichtlich zum 1.9.2020:</v>
      </c>
      <c r="B3" s="101"/>
      <c r="C3" s="269" t="s">
        <v>63</v>
      </c>
      <c r="D3" s="270"/>
      <c r="E3" s="271"/>
      <c r="F3" s="268"/>
      <c r="G3" s="865" t="s">
        <v>64</v>
      </c>
      <c r="H3" s="257"/>
      <c r="I3" s="867" t="s">
        <v>81</v>
      </c>
      <c r="J3" s="868"/>
      <c r="K3" s="868"/>
      <c r="L3" s="868"/>
      <c r="M3" s="868"/>
      <c r="N3" s="868"/>
      <c r="O3" s="869"/>
      <c r="P3" s="102"/>
      <c r="Q3" s="248" t="s">
        <v>75</v>
      </c>
      <c r="R3" s="103"/>
    </row>
    <row r="4" spans="1:18" ht="89.25" customHeight="1">
      <c r="A4" s="104" t="s">
        <v>65</v>
      </c>
      <c r="B4" s="105"/>
      <c r="C4" s="265" t="s">
        <v>66</v>
      </c>
      <c r="D4" s="266" t="s">
        <v>67</v>
      </c>
      <c r="E4" s="267" t="s">
        <v>68</v>
      </c>
      <c r="F4" s="106" t="s">
        <v>69</v>
      </c>
      <c r="G4" s="866"/>
      <c r="H4" s="107"/>
      <c r="I4" s="264" t="s">
        <v>82</v>
      </c>
      <c r="J4" s="263" t="s">
        <v>83</v>
      </c>
      <c r="K4" s="252"/>
      <c r="L4" s="398" t="s">
        <v>160</v>
      </c>
      <c r="M4" s="254" t="s">
        <v>57</v>
      </c>
      <c r="N4" s="255" t="s">
        <v>38</v>
      </c>
      <c r="O4" s="256" t="s">
        <v>76</v>
      </c>
      <c r="P4" s="108"/>
      <c r="Q4" s="109" t="s">
        <v>300</v>
      </c>
      <c r="R4" s="87"/>
    </row>
    <row r="5" spans="1:18" s="117" customFormat="1" ht="3.75" customHeight="1" thickBot="1">
      <c r="A5" s="110"/>
      <c r="B5" s="111"/>
      <c r="C5" s="112"/>
      <c r="D5" s="112"/>
      <c r="E5" s="113"/>
      <c r="F5" s="175"/>
      <c r="G5" s="259"/>
      <c r="H5" s="258"/>
      <c r="I5" s="114"/>
      <c r="J5" s="115"/>
      <c r="K5" s="253"/>
      <c r="L5" s="113"/>
      <c r="M5" s="246"/>
      <c r="N5" s="115"/>
      <c r="O5" s="113"/>
      <c r="P5" s="116"/>
      <c r="Q5" s="113"/>
      <c r="R5" s="103"/>
    </row>
    <row r="6" spans="1:18" ht="23.25" customHeight="1" thickTop="1">
      <c r="A6" s="118"/>
      <c r="B6" s="119">
        <v>1</v>
      </c>
      <c r="C6" s="542" t="e">
        <f ca="1">"  "&amp;INDIRECT("Seit_1!N49")</f>
        <v>#REF!</v>
      </c>
      <c r="D6" s="120"/>
      <c r="E6" s="121"/>
      <c r="F6" s="121"/>
      <c r="G6" s="277"/>
      <c r="H6" s="122"/>
      <c r="I6" s="276"/>
      <c r="J6" s="123"/>
      <c r="K6" s="122"/>
      <c r="L6" s="124"/>
      <c r="M6" s="247"/>
      <c r="N6" s="123"/>
      <c r="O6" s="124"/>
      <c r="P6" s="126"/>
      <c r="Q6" s="127"/>
      <c r="R6" s="128"/>
    </row>
    <row r="7" spans="1:18" ht="23.25" customHeight="1">
      <c r="A7" s="129"/>
      <c r="B7" s="130">
        <f>B6+1</f>
        <v>2</v>
      </c>
      <c r="C7" s="131"/>
      <c r="D7" s="131"/>
      <c r="E7" s="124"/>
      <c r="F7" s="123"/>
      <c r="G7" s="260"/>
      <c r="H7" s="122">
        <f aca="true" t="shared" si="0" ref="H7:H38">IF(E7&gt;0,SUM(I7:Q7),)</f>
        <v>0</v>
      </c>
      <c r="I7" s="125"/>
      <c r="J7" s="123"/>
      <c r="K7" s="122"/>
      <c r="L7" s="124"/>
      <c r="M7" s="125"/>
      <c r="N7" s="125"/>
      <c r="O7" s="124"/>
      <c r="P7" s="132"/>
      <c r="Q7" s="127"/>
      <c r="R7" s="128"/>
    </row>
    <row r="8" spans="1:18" ht="23.25" customHeight="1">
      <c r="A8" s="129"/>
      <c r="B8" s="130">
        <f>B7+1</f>
        <v>3</v>
      </c>
      <c r="C8" s="131"/>
      <c r="D8" s="131"/>
      <c r="E8" s="124"/>
      <c r="F8" s="123"/>
      <c r="G8" s="260"/>
      <c r="H8" s="122">
        <f t="shared" si="0"/>
        <v>0</v>
      </c>
      <c r="I8" s="125"/>
      <c r="J8" s="123"/>
      <c r="K8" s="122"/>
      <c r="L8" s="124"/>
      <c r="M8" s="125"/>
      <c r="N8" s="125"/>
      <c r="O8" s="124"/>
      <c r="P8" s="126"/>
      <c r="Q8" s="127"/>
      <c r="R8" s="128"/>
    </row>
    <row r="9" spans="1:18" ht="23.25" customHeight="1">
      <c r="A9" s="129"/>
      <c r="B9" s="130">
        <f aca="true" t="shared" si="1" ref="B9:B14">B8+1</f>
        <v>4</v>
      </c>
      <c r="C9" s="131"/>
      <c r="D9" s="131"/>
      <c r="E9" s="124"/>
      <c r="F9" s="123"/>
      <c r="G9" s="260"/>
      <c r="H9" s="122">
        <f t="shared" si="0"/>
        <v>0</v>
      </c>
      <c r="I9" s="125"/>
      <c r="J9" s="123"/>
      <c r="K9" s="122"/>
      <c r="L9" s="124"/>
      <c r="M9" s="125"/>
      <c r="N9" s="125"/>
      <c r="O9" s="124"/>
      <c r="P9" s="126"/>
      <c r="Q9" s="127"/>
      <c r="R9" s="128"/>
    </row>
    <row r="10" spans="1:18" ht="23.25" customHeight="1">
      <c r="A10" s="133"/>
      <c r="B10" s="134">
        <f t="shared" si="1"/>
        <v>5</v>
      </c>
      <c r="C10" s="135"/>
      <c r="D10" s="135"/>
      <c r="E10" s="136"/>
      <c r="F10" s="137"/>
      <c r="G10" s="261"/>
      <c r="H10" s="122">
        <f t="shared" si="0"/>
        <v>0</v>
      </c>
      <c r="I10" s="138"/>
      <c r="J10" s="137"/>
      <c r="K10" s="122"/>
      <c r="L10" s="136"/>
      <c r="M10" s="138"/>
      <c r="N10" s="138"/>
      <c r="O10" s="136"/>
      <c r="P10" s="126"/>
      <c r="Q10" s="139"/>
      <c r="R10" s="128"/>
    </row>
    <row r="11" spans="1:18" ht="23.25" customHeight="1">
      <c r="A11" s="129"/>
      <c r="B11" s="130">
        <f t="shared" si="1"/>
        <v>6</v>
      </c>
      <c r="C11" s="131"/>
      <c r="D11" s="131"/>
      <c r="E11" s="124"/>
      <c r="F11" s="123"/>
      <c r="G11" s="260"/>
      <c r="H11" s="122">
        <f t="shared" si="0"/>
        <v>0</v>
      </c>
      <c r="I11" s="125"/>
      <c r="J11" s="123"/>
      <c r="K11" s="122"/>
      <c r="L11" s="124"/>
      <c r="M11" s="125"/>
      <c r="N11" s="125"/>
      <c r="O11" s="124"/>
      <c r="P11" s="132"/>
      <c r="Q11" s="127"/>
      <c r="R11" s="128"/>
    </row>
    <row r="12" spans="1:18" ht="23.25" customHeight="1">
      <c r="A12" s="129"/>
      <c r="B12" s="130">
        <f t="shared" si="1"/>
        <v>7</v>
      </c>
      <c r="C12" s="131"/>
      <c r="D12" s="131"/>
      <c r="E12" s="124"/>
      <c r="F12" s="123"/>
      <c r="G12" s="260"/>
      <c r="H12" s="122">
        <f t="shared" si="0"/>
        <v>0</v>
      </c>
      <c r="I12" s="125"/>
      <c r="J12" s="123"/>
      <c r="K12" s="122"/>
      <c r="L12" s="124"/>
      <c r="M12" s="125"/>
      <c r="N12" s="125"/>
      <c r="O12" s="124"/>
      <c r="P12" s="126"/>
      <c r="Q12" s="127"/>
      <c r="R12" s="128"/>
    </row>
    <row r="13" spans="1:18" ht="23.25" customHeight="1">
      <c r="A13" s="133"/>
      <c r="B13" s="134">
        <f t="shared" si="1"/>
        <v>8</v>
      </c>
      <c r="C13" s="135"/>
      <c r="D13" s="135"/>
      <c r="E13" s="136"/>
      <c r="F13" s="137"/>
      <c r="G13" s="261"/>
      <c r="H13" s="122">
        <f t="shared" si="0"/>
        <v>0</v>
      </c>
      <c r="I13" s="138"/>
      <c r="J13" s="137"/>
      <c r="K13" s="122"/>
      <c r="L13" s="136"/>
      <c r="M13" s="138"/>
      <c r="N13" s="138"/>
      <c r="O13" s="136"/>
      <c r="P13" s="126"/>
      <c r="Q13" s="139"/>
      <c r="R13" s="128"/>
    </row>
    <row r="14" spans="1:18" ht="23.25" customHeight="1">
      <c r="A14" s="129"/>
      <c r="B14" s="130">
        <f t="shared" si="1"/>
        <v>9</v>
      </c>
      <c r="C14" s="131"/>
      <c r="D14" s="131"/>
      <c r="E14" s="124"/>
      <c r="F14" s="123"/>
      <c r="G14" s="260"/>
      <c r="H14" s="122">
        <f t="shared" si="0"/>
        <v>0</v>
      </c>
      <c r="I14" s="125"/>
      <c r="J14" s="123"/>
      <c r="K14" s="122"/>
      <c r="L14" s="124"/>
      <c r="M14" s="125"/>
      <c r="N14" s="125"/>
      <c r="O14" s="124"/>
      <c r="P14" s="126"/>
      <c r="Q14" s="127"/>
      <c r="R14" s="128"/>
    </row>
    <row r="15" spans="1:18" ht="23.25" customHeight="1">
      <c r="A15" s="129"/>
      <c r="B15" s="130">
        <f>B14+1</f>
        <v>10</v>
      </c>
      <c r="C15" s="131"/>
      <c r="D15" s="131"/>
      <c r="E15" s="124"/>
      <c r="F15" s="123"/>
      <c r="G15" s="260"/>
      <c r="H15" s="122">
        <f t="shared" si="0"/>
        <v>0</v>
      </c>
      <c r="I15" s="125"/>
      <c r="J15" s="123"/>
      <c r="K15" s="122"/>
      <c r="L15" s="124"/>
      <c r="M15" s="125"/>
      <c r="N15" s="125"/>
      <c r="O15" s="124"/>
      <c r="P15" s="126"/>
      <c r="Q15" s="127"/>
      <c r="R15" s="128"/>
    </row>
    <row r="16" spans="1:18" ht="23.25" customHeight="1">
      <c r="A16" s="129"/>
      <c r="B16" s="130">
        <f aca="true" t="shared" si="2" ref="B16:B23">B15+1</f>
        <v>11</v>
      </c>
      <c r="C16" s="131"/>
      <c r="D16" s="131"/>
      <c r="E16" s="124"/>
      <c r="F16" s="123"/>
      <c r="G16" s="260"/>
      <c r="H16" s="122">
        <f t="shared" si="0"/>
        <v>0</v>
      </c>
      <c r="I16" s="125"/>
      <c r="J16" s="123"/>
      <c r="K16" s="122"/>
      <c r="L16" s="124"/>
      <c r="M16" s="125"/>
      <c r="N16" s="125"/>
      <c r="O16" s="124"/>
      <c r="P16" s="126"/>
      <c r="Q16" s="127"/>
      <c r="R16" s="128"/>
    </row>
    <row r="17" spans="1:18" ht="23.25" customHeight="1">
      <c r="A17" s="129"/>
      <c r="B17" s="130">
        <f t="shared" si="2"/>
        <v>12</v>
      </c>
      <c r="C17" s="131"/>
      <c r="D17" s="131"/>
      <c r="E17" s="124"/>
      <c r="F17" s="123"/>
      <c r="G17" s="260"/>
      <c r="H17" s="122">
        <f t="shared" si="0"/>
        <v>0</v>
      </c>
      <c r="I17" s="125"/>
      <c r="J17" s="123"/>
      <c r="K17" s="122"/>
      <c r="L17" s="124"/>
      <c r="M17" s="125"/>
      <c r="N17" s="125"/>
      <c r="O17" s="124"/>
      <c r="P17" s="126"/>
      <c r="Q17" s="127"/>
      <c r="R17" s="128"/>
    </row>
    <row r="18" spans="1:18" ht="23.25" customHeight="1">
      <c r="A18" s="133"/>
      <c r="B18" s="134">
        <f t="shared" si="2"/>
        <v>13</v>
      </c>
      <c r="C18" s="135"/>
      <c r="D18" s="135"/>
      <c r="E18" s="136"/>
      <c r="F18" s="137"/>
      <c r="G18" s="261"/>
      <c r="H18" s="122">
        <f t="shared" si="0"/>
        <v>0</v>
      </c>
      <c r="I18" s="138"/>
      <c r="J18" s="137"/>
      <c r="K18" s="122"/>
      <c r="L18" s="136"/>
      <c r="M18" s="138"/>
      <c r="N18" s="138"/>
      <c r="O18" s="136"/>
      <c r="P18" s="126"/>
      <c r="Q18" s="139"/>
      <c r="R18" s="128"/>
    </row>
    <row r="19" spans="1:18" ht="23.25" customHeight="1">
      <c r="A19" s="129"/>
      <c r="B19" s="130">
        <f t="shared" si="2"/>
        <v>14</v>
      </c>
      <c r="C19" s="131"/>
      <c r="D19" s="131"/>
      <c r="E19" s="124"/>
      <c r="F19" s="123"/>
      <c r="G19" s="260"/>
      <c r="H19" s="122">
        <f t="shared" si="0"/>
        <v>0</v>
      </c>
      <c r="I19" s="125"/>
      <c r="J19" s="123"/>
      <c r="K19" s="122"/>
      <c r="L19" s="124"/>
      <c r="M19" s="125"/>
      <c r="N19" s="125"/>
      <c r="O19" s="124"/>
      <c r="P19" s="132"/>
      <c r="Q19" s="127"/>
      <c r="R19" s="128"/>
    </row>
    <row r="20" spans="1:18" ht="23.25" customHeight="1">
      <c r="A20" s="129"/>
      <c r="B20" s="130">
        <f t="shared" si="2"/>
        <v>15</v>
      </c>
      <c r="C20" s="131"/>
      <c r="D20" s="131"/>
      <c r="E20" s="124"/>
      <c r="F20" s="123"/>
      <c r="G20" s="260"/>
      <c r="H20" s="122">
        <f t="shared" si="0"/>
        <v>0</v>
      </c>
      <c r="I20" s="125"/>
      <c r="J20" s="123"/>
      <c r="K20" s="122"/>
      <c r="L20" s="124"/>
      <c r="M20" s="125"/>
      <c r="N20" s="125"/>
      <c r="O20" s="124"/>
      <c r="P20" s="126"/>
      <c r="Q20" s="127"/>
      <c r="R20" s="128"/>
    </row>
    <row r="21" spans="1:18" ht="23.25" customHeight="1">
      <c r="A21" s="133"/>
      <c r="B21" s="134">
        <f t="shared" si="2"/>
        <v>16</v>
      </c>
      <c r="C21" s="135"/>
      <c r="D21" s="135"/>
      <c r="E21" s="136"/>
      <c r="F21" s="137"/>
      <c r="G21" s="261"/>
      <c r="H21" s="122">
        <f t="shared" si="0"/>
        <v>0</v>
      </c>
      <c r="I21" s="138"/>
      <c r="J21" s="137"/>
      <c r="K21" s="122"/>
      <c r="L21" s="136"/>
      <c r="M21" s="138"/>
      <c r="N21" s="138"/>
      <c r="O21" s="136"/>
      <c r="P21" s="126"/>
      <c r="Q21" s="139"/>
      <c r="R21" s="128"/>
    </row>
    <row r="22" spans="1:18" ht="21.75" customHeight="1">
      <c r="A22" s="129"/>
      <c r="B22" s="130">
        <f t="shared" si="2"/>
        <v>17</v>
      </c>
      <c r="C22" s="131"/>
      <c r="D22" s="131"/>
      <c r="E22" s="124"/>
      <c r="F22" s="123"/>
      <c r="G22" s="260"/>
      <c r="H22" s="122">
        <f t="shared" si="0"/>
        <v>0</v>
      </c>
      <c r="I22" s="125"/>
      <c r="J22" s="123"/>
      <c r="K22" s="122"/>
      <c r="L22" s="124"/>
      <c r="M22" s="125"/>
      <c r="N22" s="125"/>
      <c r="O22" s="124"/>
      <c r="P22" s="126"/>
      <c r="Q22" s="127"/>
      <c r="R22" s="128"/>
    </row>
    <row r="23" spans="1:18" ht="21.75" customHeight="1">
      <c r="A23" s="129"/>
      <c r="B23" s="130">
        <f t="shared" si="2"/>
        <v>18</v>
      </c>
      <c r="C23" s="131"/>
      <c r="D23" s="131"/>
      <c r="E23" s="124"/>
      <c r="F23" s="123"/>
      <c r="G23" s="260"/>
      <c r="H23" s="122">
        <f t="shared" si="0"/>
        <v>0</v>
      </c>
      <c r="I23" s="125"/>
      <c r="J23" s="123"/>
      <c r="K23" s="122"/>
      <c r="L23" s="124"/>
      <c r="M23" s="125"/>
      <c r="N23" s="125"/>
      <c r="O23" s="124"/>
      <c r="P23" s="126"/>
      <c r="Q23" s="127"/>
      <c r="R23" s="128"/>
    </row>
    <row r="24" spans="1:18" ht="21.75" customHeight="1">
      <c r="A24" s="129"/>
      <c r="B24" s="130">
        <f aca="true" t="shared" si="3" ref="B24:B31">B23+1</f>
        <v>19</v>
      </c>
      <c r="C24" s="131"/>
      <c r="D24" s="131"/>
      <c r="E24" s="124"/>
      <c r="F24" s="123"/>
      <c r="G24" s="260"/>
      <c r="H24" s="122">
        <f t="shared" si="0"/>
        <v>0</v>
      </c>
      <c r="I24" s="125"/>
      <c r="J24" s="123"/>
      <c r="K24" s="122"/>
      <c r="L24" s="124"/>
      <c r="M24" s="125"/>
      <c r="N24" s="125"/>
      <c r="O24" s="124"/>
      <c r="P24" s="126"/>
      <c r="Q24" s="127"/>
      <c r="R24" s="128"/>
    </row>
    <row r="25" spans="1:18" ht="21.75" customHeight="1">
      <c r="A25" s="129"/>
      <c r="B25" s="130">
        <f t="shared" si="3"/>
        <v>20</v>
      </c>
      <c r="C25" s="131"/>
      <c r="D25" s="131"/>
      <c r="E25" s="124"/>
      <c r="F25" s="123"/>
      <c r="G25" s="260"/>
      <c r="H25" s="122">
        <f t="shared" si="0"/>
        <v>0</v>
      </c>
      <c r="I25" s="125"/>
      <c r="J25" s="123"/>
      <c r="K25" s="122"/>
      <c r="L25" s="124"/>
      <c r="M25" s="125"/>
      <c r="N25" s="125"/>
      <c r="O25" s="124"/>
      <c r="P25" s="126"/>
      <c r="Q25" s="127"/>
      <c r="R25" s="128"/>
    </row>
    <row r="26" spans="1:18" ht="21.75" customHeight="1">
      <c r="A26" s="133"/>
      <c r="B26" s="134">
        <f t="shared" si="3"/>
        <v>21</v>
      </c>
      <c r="C26" s="135"/>
      <c r="D26" s="135"/>
      <c r="E26" s="136"/>
      <c r="F26" s="137"/>
      <c r="G26" s="261"/>
      <c r="H26" s="122">
        <f t="shared" si="0"/>
        <v>0</v>
      </c>
      <c r="I26" s="138"/>
      <c r="J26" s="137"/>
      <c r="K26" s="122"/>
      <c r="L26" s="136"/>
      <c r="M26" s="138"/>
      <c r="N26" s="138"/>
      <c r="O26" s="136"/>
      <c r="P26" s="126"/>
      <c r="Q26" s="139"/>
      <c r="R26" s="128"/>
    </row>
    <row r="27" spans="1:18" ht="21.75" customHeight="1">
      <c r="A27" s="129"/>
      <c r="B27" s="130">
        <f t="shared" si="3"/>
        <v>22</v>
      </c>
      <c r="C27" s="131"/>
      <c r="D27" s="131"/>
      <c r="E27" s="124"/>
      <c r="F27" s="123"/>
      <c r="G27" s="260"/>
      <c r="H27" s="122">
        <f t="shared" si="0"/>
        <v>0</v>
      </c>
      <c r="I27" s="125"/>
      <c r="J27" s="123"/>
      <c r="K27" s="122"/>
      <c r="L27" s="124"/>
      <c r="M27" s="125"/>
      <c r="N27" s="125"/>
      <c r="O27" s="124"/>
      <c r="P27" s="132"/>
      <c r="Q27" s="127"/>
      <c r="R27" s="128"/>
    </row>
    <row r="28" spans="1:18" ht="21.75" customHeight="1">
      <c r="A28" s="129"/>
      <c r="B28" s="130">
        <f t="shared" si="3"/>
        <v>23</v>
      </c>
      <c r="C28" s="131"/>
      <c r="D28" s="131"/>
      <c r="E28" s="124"/>
      <c r="F28" s="123"/>
      <c r="G28" s="260"/>
      <c r="H28" s="122">
        <f t="shared" si="0"/>
        <v>0</v>
      </c>
      <c r="I28" s="125"/>
      <c r="J28" s="123"/>
      <c r="K28" s="122"/>
      <c r="L28" s="124"/>
      <c r="M28" s="125"/>
      <c r="N28" s="125"/>
      <c r="O28" s="124"/>
      <c r="P28" s="126"/>
      <c r="Q28" s="127"/>
      <c r="R28" s="128"/>
    </row>
    <row r="29" spans="1:18" ht="21.75" customHeight="1">
      <c r="A29" s="133"/>
      <c r="B29" s="134">
        <f t="shared" si="3"/>
        <v>24</v>
      </c>
      <c r="C29" s="135"/>
      <c r="D29" s="135"/>
      <c r="E29" s="136"/>
      <c r="F29" s="137"/>
      <c r="G29" s="261"/>
      <c r="H29" s="122">
        <f t="shared" si="0"/>
        <v>0</v>
      </c>
      <c r="I29" s="138"/>
      <c r="J29" s="137"/>
      <c r="K29" s="122"/>
      <c r="L29" s="136"/>
      <c r="M29" s="138"/>
      <c r="N29" s="138"/>
      <c r="O29" s="136"/>
      <c r="P29" s="126"/>
      <c r="Q29" s="139"/>
      <c r="R29" s="128"/>
    </row>
    <row r="30" spans="1:18" ht="21.75" customHeight="1">
      <c r="A30" s="129"/>
      <c r="B30" s="130">
        <f t="shared" si="3"/>
        <v>25</v>
      </c>
      <c r="C30" s="131"/>
      <c r="D30" s="131"/>
      <c r="E30" s="124"/>
      <c r="F30" s="123"/>
      <c r="G30" s="260"/>
      <c r="H30" s="122">
        <f t="shared" si="0"/>
        <v>0</v>
      </c>
      <c r="I30" s="125"/>
      <c r="J30" s="123"/>
      <c r="K30" s="122"/>
      <c r="L30" s="124"/>
      <c r="M30" s="125"/>
      <c r="N30" s="125"/>
      <c r="O30" s="124"/>
      <c r="P30" s="126"/>
      <c r="Q30" s="127"/>
      <c r="R30" s="128"/>
    </row>
    <row r="31" spans="1:18" ht="21.75" customHeight="1">
      <c r="A31" s="129"/>
      <c r="B31" s="130">
        <f t="shared" si="3"/>
        <v>26</v>
      </c>
      <c r="C31" s="131"/>
      <c r="D31" s="131"/>
      <c r="E31" s="124"/>
      <c r="F31" s="123"/>
      <c r="G31" s="260"/>
      <c r="H31" s="122">
        <f t="shared" si="0"/>
        <v>0</v>
      </c>
      <c r="I31" s="125"/>
      <c r="J31" s="123"/>
      <c r="K31" s="122"/>
      <c r="L31" s="124"/>
      <c r="M31" s="125"/>
      <c r="N31" s="125"/>
      <c r="O31" s="124"/>
      <c r="P31" s="126"/>
      <c r="Q31" s="127"/>
      <c r="R31" s="128"/>
    </row>
    <row r="32" spans="1:18" ht="21.75" customHeight="1">
      <c r="A32" s="129"/>
      <c r="B32" s="130">
        <f aca="true" t="shared" si="4" ref="B32:B37">B31+1</f>
        <v>27</v>
      </c>
      <c r="C32" s="131"/>
      <c r="D32" s="131"/>
      <c r="E32" s="124"/>
      <c r="F32" s="123"/>
      <c r="G32" s="260"/>
      <c r="H32" s="122">
        <f t="shared" si="0"/>
        <v>0</v>
      </c>
      <c r="I32" s="125"/>
      <c r="J32" s="123"/>
      <c r="K32" s="122"/>
      <c r="L32" s="124"/>
      <c r="M32" s="125"/>
      <c r="N32" s="125"/>
      <c r="O32" s="124"/>
      <c r="P32" s="126"/>
      <c r="Q32" s="127"/>
      <c r="R32" s="128"/>
    </row>
    <row r="33" spans="1:18" ht="21.75" customHeight="1">
      <c r="A33" s="129"/>
      <c r="B33" s="130">
        <f t="shared" si="4"/>
        <v>28</v>
      </c>
      <c r="C33" s="131"/>
      <c r="D33" s="131"/>
      <c r="E33" s="124"/>
      <c r="F33" s="123"/>
      <c r="G33" s="260"/>
      <c r="H33" s="122">
        <f t="shared" si="0"/>
        <v>0</v>
      </c>
      <c r="I33" s="125"/>
      <c r="J33" s="123"/>
      <c r="K33" s="122"/>
      <c r="L33" s="124"/>
      <c r="M33" s="125"/>
      <c r="N33" s="125"/>
      <c r="O33" s="124"/>
      <c r="P33" s="126"/>
      <c r="Q33" s="127"/>
      <c r="R33" s="128"/>
    </row>
    <row r="34" spans="1:18" ht="21.75" customHeight="1">
      <c r="A34" s="133"/>
      <c r="B34" s="134">
        <f t="shared" si="4"/>
        <v>29</v>
      </c>
      <c r="C34" s="135"/>
      <c r="D34" s="135"/>
      <c r="E34" s="136"/>
      <c r="F34" s="137"/>
      <c r="G34" s="261"/>
      <c r="H34" s="122">
        <f t="shared" si="0"/>
        <v>0</v>
      </c>
      <c r="I34" s="138"/>
      <c r="J34" s="137"/>
      <c r="K34" s="122"/>
      <c r="L34" s="136"/>
      <c r="M34" s="138"/>
      <c r="N34" s="138"/>
      <c r="O34" s="136"/>
      <c r="P34" s="126"/>
      <c r="Q34" s="139"/>
      <c r="R34" s="128"/>
    </row>
    <row r="35" spans="1:18" ht="21.75" customHeight="1">
      <c r="A35" s="129"/>
      <c r="B35" s="130">
        <f t="shared" si="4"/>
        <v>30</v>
      </c>
      <c r="C35" s="131"/>
      <c r="D35" s="131"/>
      <c r="E35" s="124"/>
      <c r="F35" s="123"/>
      <c r="G35" s="260"/>
      <c r="H35" s="122">
        <f t="shared" si="0"/>
        <v>0</v>
      </c>
      <c r="I35" s="125"/>
      <c r="J35" s="123"/>
      <c r="K35" s="122"/>
      <c r="L35" s="124"/>
      <c r="M35" s="125"/>
      <c r="N35" s="125"/>
      <c r="O35" s="124"/>
      <c r="P35" s="132"/>
      <c r="Q35" s="127"/>
      <c r="R35" s="128"/>
    </row>
    <row r="36" spans="1:18" ht="21.75" customHeight="1">
      <c r="A36" s="129"/>
      <c r="B36" s="130">
        <f t="shared" si="4"/>
        <v>31</v>
      </c>
      <c r="C36" s="131"/>
      <c r="D36" s="131"/>
      <c r="E36" s="124"/>
      <c r="F36" s="123"/>
      <c r="G36" s="260"/>
      <c r="H36" s="122">
        <f t="shared" si="0"/>
        <v>0</v>
      </c>
      <c r="I36" s="125"/>
      <c r="J36" s="123"/>
      <c r="K36" s="122"/>
      <c r="L36" s="124"/>
      <c r="M36" s="125"/>
      <c r="N36" s="125"/>
      <c r="O36" s="124"/>
      <c r="P36" s="132"/>
      <c r="Q36" s="127"/>
      <c r="R36" s="128"/>
    </row>
    <row r="37" spans="1:18" ht="21.75" customHeight="1">
      <c r="A37" s="129"/>
      <c r="B37" s="130">
        <f t="shared" si="4"/>
        <v>32</v>
      </c>
      <c r="C37" s="131"/>
      <c r="D37" s="131"/>
      <c r="E37" s="124"/>
      <c r="F37" s="123"/>
      <c r="G37" s="260"/>
      <c r="H37" s="122">
        <f t="shared" si="0"/>
        <v>0</v>
      </c>
      <c r="I37" s="125"/>
      <c r="J37" s="123"/>
      <c r="K37" s="122"/>
      <c r="L37" s="124"/>
      <c r="M37" s="125"/>
      <c r="N37" s="125"/>
      <c r="O37" s="124"/>
      <c r="P37" s="126"/>
      <c r="Q37" s="127"/>
      <c r="R37" s="128"/>
    </row>
    <row r="38" spans="1:18" ht="21.75" customHeight="1">
      <c r="A38" s="272"/>
      <c r="B38" s="134">
        <f>B37+1</f>
        <v>33</v>
      </c>
      <c r="C38" s="135"/>
      <c r="D38" s="135"/>
      <c r="E38" s="136"/>
      <c r="F38" s="137"/>
      <c r="G38" s="261"/>
      <c r="H38" s="122">
        <f t="shared" si="0"/>
        <v>0</v>
      </c>
      <c r="I38" s="138"/>
      <c r="J38" s="137"/>
      <c r="K38" s="122"/>
      <c r="L38" s="136"/>
      <c r="M38" s="138"/>
      <c r="N38" s="138"/>
      <c r="O38" s="136"/>
      <c r="P38" s="126"/>
      <c r="Q38" s="139"/>
      <c r="R38" s="128"/>
    </row>
    <row r="39" spans="1:19" s="140" customFormat="1" ht="23.25">
      <c r="A39" s="94"/>
      <c r="E39" s="141">
        <f>SUM(E6:E38)</f>
        <v>0</v>
      </c>
      <c r="F39" s="141"/>
      <c r="G39" s="141"/>
      <c r="H39" s="142"/>
      <c r="I39" s="141"/>
      <c r="J39" s="99">
        <f>SUM(J6:J38)</f>
        <v>0</v>
      </c>
      <c r="K39" s="142"/>
      <c r="L39" s="99">
        <f>SUM(L6:L38)</f>
        <v>0</v>
      </c>
      <c r="M39" s="99">
        <f>SUM(M6:M38)</f>
        <v>0</v>
      </c>
      <c r="N39" s="99">
        <f>SUM(N6:N38)</f>
        <v>0</v>
      </c>
      <c r="O39" s="99">
        <f>SUM(O6:O38)</f>
        <v>0</v>
      </c>
      <c r="Q39" s="99">
        <f>SUM(Q6:Q38)</f>
        <v>0</v>
      </c>
      <c r="R39" s="143"/>
      <c r="S39" s="144">
        <f>SUM(J39:Q39)</f>
        <v>0</v>
      </c>
    </row>
    <row r="40" spans="1:18" s="147" customFormat="1" ht="18">
      <c r="A40" s="145"/>
      <c r="B40" s="146"/>
      <c r="C40" s="146"/>
      <c r="H40" s="148"/>
      <c r="K40" s="148"/>
      <c r="O40" s="149">
        <f ca="1">IF(OR(C2&gt;1,S39&gt;0),TODAY(),)</f>
        <v>0</v>
      </c>
      <c r="P40" s="146"/>
      <c r="Q40" s="146"/>
      <c r="R40" s="150"/>
    </row>
    <row r="41" spans="1:18" s="152" customFormat="1" ht="12">
      <c r="A41" s="151" t="s">
        <v>39</v>
      </c>
      <c r="B41" s="151"/>
      <c r="C41" s="151"/>
      <c r="H41" s="153"/>
      <c r="K41" s="153"/>
      <c r="O41" s="151" t="s">
        <v>6</v>
      </c>
      <c r="P41" s="151"/>
      <c r="Q41" s="151"/>
      <c r="R41" s="154"/>
    </row>
    <row r="42" ht="14.25"/>
    <row r="43" ht="14.25" hidden="1"/>
    <row r="44" ht="14.25" hidden="1"/>
    <row r="45" ht="14.25" hidden="1">
      <c r="Q45" s="157"/>
    </row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</sheetData>
  <sheetProtection sheet="1" objects="1" scenarios="1" formatRows="0"/>
  <mergeCells count="2">
    <mergeCell ref="G3:G4"/>
    <mergeCell ref="I3:O3"/>
  </mergeCells>
  <dataValidations count="5">
    <dataValidation type="decimal" allowBlank="1" showInputMessage="1" showErrorMessage="1" error="bitte entspr. Zahl eingeben!" sqref="E7:E38">
      <formula1>0</formula1>
      <formula2>24</formula2>
    </dataValidation>
    <dataValidation allowBlank="1" showInputMessage="1" showErrorMessage="1" prompt="bitte auch die Lehrpersonen OHNE aktive Dienstleistung anführen!" sqref="A7:A9"/>
    <dataValidation type="decimal" allowBlank="1" showInputMessage="1" showErrorMessage="1" error="bitte Stundenzahl eingeben!" sqref="L6:O38">
      <formula1>0</formula1>
      <formula2>33</formula2>
    </dataValidation>
    <dataValidation allowBlank="1" showInputMessage="1" showErrorMessage="1" prompt="bei Zutreffen &quot;X&quot; oder &quot;ja&quot; eingeben" sqref="I6:I9"/>
    <dataValidation allowBlank="1" showInputMessage="1" showErrorMessage="1" prompt="Stundenzahl angeben bei Teil-Verwendung&#10;&#10;bzw &quot;X&quot; bei Einsatz zur Gänze" sqref="J6:J9"/>
  </dataValidations>
  <printOptions horizontalCentered="1"/>
  <pageMargins left="0.4724409448818898" right="0.3937007874015748" top="0.4724409448818898" bottom="0.4724409448818898" header="0.31496062992125984" footer="0.35433070866141736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indexed="47"/>
    <pageSetUpPr fitToPage="1"/>
  </sheetPr>
  <dimension ref="A1:Y47"/>
  <sheetViews>
    <sheetView showGridLines="0" showZeros="0" zoomScale="67" zoomScaleNormal="67" zoomScalePageLayoutView="0" workbookViewId="0" topLeftCell="A1">
      <selection activeCell="F4" sqref="F4"/>
    </sheetView>
  </sheetViews>
  <sheetFormatPr defaultColWidth="11.25390625" defaultRowHeight="14.25" zeroHeight="1"/>
  <cols>
    <col min="1" max="1" width="2.875" style="168" customWidth="1"/>
    <col min="2" max="2" width="27.875" style="168" customWidth="1"/>
    <col min="3" max="3" width="3.25390625" style="168" customWidth="1"/>
    <col min="4" max="5" width="8.00390625" style="168" customWidth="1"/>
    <col min="6" max="6" width="1.625" style="168" customWidth="1"/>
    <col min="7" max="7" width="4.875" style="168" customWidth="1"/>
    <col min="8" max="9" width="4.625" style="168" customWidth="1"/>
    <col min="10" max="11" width="5.125" style="168" customWidth="1"/>
    <col min="12" max="12" width="9.125" style="168" customWidth="1"/>
    <col min="13" max="13" width="1.625" style="168" customWidth="1"/>
    <col min="14" max="14" width="7.00390625" style="168" customWidth="1"/>
    <col min="15" max="15" width="3.25390625" style="166" customWidth="1"/>
    <col min="16" max="16" width="11.25390625" style="166" customWidth="1"/>
    <col min="17" max="18" width="11.25390625" style="167" customWidth="1"/>
    <col min="19" max="16384" width="11.25390625" style="168" customWidth="1"/>
  </cols>
  <sheetData>
    <row r="1" spans="1:24" s="94" customFormat="1" ht="30">
      <c r="A1" s="88" t="str">
        <f>Einleitung!B6</f>
        <v>ASO  . . .</v>
      </c>
      <c r="B1" s="89"/>
      <c r="C1" s="158"/>
      <c r="D1" s="90"/>
      <c r="E1" s="87"/>
      <c r="F1" s="91"/>
      <c r="G1" s="92"/>
      <c r="H1" s="93"/>
      <c r="I1" s="93"/>
      <c r="N1" s="95" t="s">
        <v>40</v>
      </c>
      <c r="O1" s="96"/>
      <c r="P1" s="96"/>
      <c r="Q1" s="97"/>
      <c r="R1" s="97"/>
      <c r="X1" s="93"/>
    </row>
    <row r="2" spans="1:14" ht="33">
      <c r="A2" s="159"/>
      <c r="B2" s="160"/>
      <c r="C2" s="161"/>
      <c r="D2" s="162" t="s">
        <v>70</v>
      </c>
      <c r="E2" s="163" t="str">
        <f>" die zum 1.9."&amp;Einleitung!D3&amp;" voraussichtl. bei uns unterrichten"</f>
        <v> die zum 1.9.2020 voraussichtl. bei uns unterrichten</v>
      </c>
      <c r="F2" s="164"/>
      <c r="G2" s="164"/>
      <c r="H2" s="164"/>
      <c r="I2" s="164"/>
      <c r="J2" s="164"/>
      <c r="K2" s="164"/>
      <c r="L2" s="164"/>
      <c r="M2" s="164"/>
      <c r="N2" s="165"/>
    </row>
    <row r="3" spans="1:14" s="87" customFormat="1" ht="73.5" customHeight="1">
      <c r="A3" s="169"/>
      <c r="B3" s="170" t="s">
        <v>71</v>
      </c>
      <c r="C3" s="171"/>
      <c r="D3" s="249" t="s">
        <v>72</v>
      </c>
      <c r="E3" s="172" t="s">
        <v>76</v>
      </c>
      <c r="F3" s="107"/>
      <c r="G3" s="870" t="s">
        <v>79</v>
      </c>
      <c r="H3" s="871"/>
      <c r="I3" s="173" t="s">
        <v>59</v>
      </c>
      <c r="J3" s="174" t="s">
        <v>73</v>
      </c>
      <c r="K3" s="872" t="s">
        <v>74</v>
      </c>
      <c r="L3" s="873"/>
      <c r="M3" s="873"/>
      <c r="N3" s="874"/>
    </row>
    <row r="4" spans="1:15" s="117" customFormat="1" ht="3.75" customHeight="1" thickBot="1">
      <c r="A4" s="175"/>
      <c r="B4" s="176"/>
      <c r="C4" s="113"/>
      <c r="D4" s="177"/>
      <c r="E4" s="113"/>
      <c r="F4" s="107"/>
      <c r="G4" s="175"/>
      <c r="H4" s="113"/>
      <c r="I4" s="114"/>
      <c r="J4" s="114"/>
      <c r="K4" s="178"/>
      <c r="L4" s="176"/>
      <c r="M4" s="176"/>
      <c r="N4" s="113"/>
      <c r="O4" s="103"/>
    </row>
    <row r="5" spans="1:15" s="87" customFormat="1" ht="21.75" customHeight="1" thickTop="1">
      <c r="A5" s="881"/>
      <c r="B5" s="882"/>
      <c r="C5" s="883"/>
      <c r="D5" s="179"/>
      <c r="E5" s="180"/>
      <c r="F5" s="107"/>
      <c r="G5" s="181"/>
      <c r="H5" s="182"/>
      <c r="I5" s="125"/>
      <c r="J5" s="125"/>
      <c r="K5" s="875"/>
      <c r="L5" s="876"/>
      <c r="M5" s="876"/>
      <c r="N5" s="877"/>
      <c r="O5" s="183"/>
    </row>
    <row r="6" spans="1:15" s="87" customFormat="1" ht="21.75" customHeight="1">
      <c r="A6" s="884"/>
      <c r="B6" s="885"/>
      <c r="C6" s="886"/>
      <c r="D6" s="131"/>
      <c r="E6" s="184"/>
      <c r="F6" s="107"/>
      <c r="G6" s="185"/>
      <c r="H6" s="186"/>
      <c r="I6" s="125"/>
      <c r="J6" s="125"/>
      <c r="K6" s="878"/>
      <c r="L6" s="879"/>
      <c r="M6" s="879"/>
      <c r="N6" s="880"/>
      <c r="O6" s="183"/>
    </row>
    <row r="7" spans="1:15" s="87" customFormat="1" ht="21.75" customHeight="1">
      <c r="A7" s="890"/>
      <c r="B7" s="891"/>
      <c r="C7" s="892"/>
      <c r="D7" s="187"/>
      <c r="E7" s="188"/>
      <c r="F7" s="107"/>
      <c r="G7" s="189"/>
      <c r="H7" s="190"/>
      <c r="I7" s="191"/>
      <c r="J7" s="191"/>
      <c r="K7" s="893"/>
      <c r="L7" s="894"/>
      <c r="M7" s="894"/>
      <c r="N7" s="895"/>
      <c r="O7" s="183"/>
    </row>
    <row r="8" spans="1:15" s="87" customFormat="1" ht="21.75" customHeight="1">
      <c r="A8" s="899"/>
      <c r="B8" s="900"/>
      <c r="C8" s="901"/>
      <c r="D8" s="131"/>
      <c r="E8" s="184"/>
      <c r="F8" s="107"/>
      <c r="G8" s="185"/>
      <c r="H8" s="186"/>
      <c r="I8" s="125"/>
      <c r="J8" s="125"/>
      <c r="K8" s="902"/>
      <c r="L8" s="903"/>
      <c r="M8" s="903"/>
      <c r="N8" s="904"/>
      <c r="O8" s="183"/>
    </row>
    <row r="9" spans="1:15" s="87" customFormat="1" ht="21.75" customHeight="1">
      <c r="A9" s="884"/>
      <c r="B9" s="885"/>
      <c r="C9" s="886"/>
      <c r="D9" s="131"/>
      <c r="E9" s="184"/>
      <c r="F9" s="107"/>
      <c r="G9" s="185"/>
      <c r="H9" s="186"/>
      <c r="I9" s="125"/>
      <c r="J9" s="125"/>
      <c r="K9" s="878"/>
      <c r="L9" s="879"/>
      <c r="M9" s="879"/>
      <c r="N9" s="880"/>
      <c r="O9" s="183"/>
    </row>
    <row r="10" spans="1:15" s="87" customFormat="1" ht="21.75" customHeight="1">
      <c r="A10" s="884"/>
      <c r="B10" s="885"/>
      <c r="C10" s="886"/>
      <c r="D10" s="131"/>
      <c r="E10" s="184"/>
      <c r="F10" s="107"/>
      <c r="G10" s="185"/>
      <c r="H10" s="186"/>
      <c r="I10" s="125"/>
      <c r="J10" s="125"/>
      <c r="K10" s="878"/>
      <c r="L10" s="879"/>
      <c r="M10" s="879"/>
      <c r="N10" s="880"/>
      <c r="O10" s="183"/>
    </row>
    <row r="11" spans="1:15" s="87" customFormat="1" ht="21.75" customHeight="1">
      <c r="A11" s="898"/>
      <c r="B11" s="898"/>
      <c r="C11" s="898"/>
      <c r="D11" s="192"/>
      <c r="E11" s="192"/>
      <c r="F11" s="92"/>
      <c r="G11" s="193"/>
      <c r="H11" s="194"/>
      <c r="I11" s="195"/>
      <c r="J11" s="195"/>
      <c r="K11" s="897"/>
      <c r="L11" s="897"/>
      <c r="M11" s="897"/>
      <c r="N11" s="897"/>
      <c r="O11" s="183"/>
    </row>
    <row r="12" spans="1:15" s="201" customFormat="1" ht="9" customHeight="1">
      <c r="A12" s="196"/>
      <c r="B12" s="196"/>
      <c r="C12" s="196"/>
      <c r="D12" s="197"/>
      <c r="E12" s="197"/>
      <c r="F12" s="198"/>
      <c r="G12" s="199"/>
      <c r="H12" s="199"/>
      <c r="I12" s="197"/>
      <c r="J12" s="197"/>
      <c r="K12" s="196"/>
      <c r="L12" s="196"/>
      <c r="M12" s="196"/>
      <c r="N12" s="196"/>
      <c r="O12" s="200"/>
    </row>
    <row r="13" spans="1:18" ht="30">
      <c r="A13" s="202" t="s">
        <v>60</v>
      </c>
      <c r="B13" s="203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5"/>
      <c r="N13" s="204"/>
      <c r="O13" s="206"/>
      <c r="P13" s="206"/>
      <c r="Q13" s="207"/>
      <c r="R13" s="207"/>
    </row>
    <row r="14" spans="1:2" s="208" customFormat="1" ht="21" thickBot="1">
      <c r="A14" s="637"/>
      <c r="B14" s="208" t="s">
        <v>41</v>
      </c>
    </row>
    <row r="15" s="209" customFormat="1" ht="18.75" thickTop="1">
      <c r="B15" s="209" t="s">
        <v>61</v>
      </c>
    </row>
    <row r="16" s="209" customFormat="1" ht="18" hidden="1">
      <c r="B16" s="209" t="s">
        <v>31</v>
      </c>
    </row>
    <row r="17" s="79" customFormat="1" ht="18">
      <c r="A17" s="209"/>
    </row>
    <row r="18" spans="1:2" s="208" customFormat="1" ht="21" thickBot="1">
      <c r="A18" s="637"/>
      <c r="B18" s="208" t="s">
        <v>42</v>
      </c>
    </row>
    <row r="19" s="209" customFormat="1" ht="18.75" thickTop="1">
      <c r="B19" s="209" t="s">
        <v>62</v>
      </c>
    </row>
    <row r="20" spans="2:14" s="209" customFormat="1" ht="18">
      <c r="B20" s="209" t="s">
        <v>32</v>
      </c>
      <c r="N20" s="210"/>
    </row>
    <row r="21" spans="1:4" s="209" customFormat="1" ht="25.5">
      <c r="A21" s="211"/>
      <c r="B21" s="209" t="s">
        <v>33</v>
      </c>
      <c r="C21" s="212" t="s">
        <v>34</v>
      </c>
      <c r="D21" s="213"/>
    </row>
    <row r="22" spans="1:19" s="214" customFormat="1" ht="9.75" customHeight="1">
      <c r="A22" s="638"/>
      <c r="C22" s="215"/>
      <c r="G22" s="216"/>
      <c r="H22" s="217"/>
      <c r="I22" s="217"/>
      <c r="J22" s="217"/>
      <c r="K22" s="217"/>
      <c r="L22" s="217"/>
      <c r="M22" s="217"/>
      <c r="N22" s="217"/>
      <c r="O22" s="218"/>
      <c r="P22" s="218"/>
      <c r="Q22" s="219"/>
      <c r="R22" s="219"/>
      <c r="S22" s="220"/>
    </row>
    <row r="23" spans="1:16" ht="21" thickBot="1">
      <c r="A23" s="637"/>
      <c r="B23" s="221"/>
      <c r="C23" s="222"/>
      <c r="D23" s="223" t="s">
        <v>35</v>
      </c>
      <c r="E23" s="224"/>
      <c r="F23" s="225"/>
      <c r="G23" s="226" t="s">
        <v>36</v>
      </c>
      <c r="H23" s="227"/>
      <c r="I23" s="227"/>
      <c r="J23" s="227"/>
      <c r="K23" s="227"/>
      <c r="L23" s="227"/>
      <c r="M23" s="227"/>
      <c r="N23" s="228"/>
      <c r="O23" s="229"/>
      <c r="P23" s="229"/>
    </row>
    <row r="24" spans="1:18" s="7" customFormat="1" ht="82.5" customHeight="1" thickTop="1">
      <c r="A24" s="50"/>
      <c r="B24" s="51" t="s">
        <v>43</v>
      </c>
      <c r="C24" s="52"/>
      <c r="D24" s="53" t="s">
        <v>37</v>
      </c>
      <c r="E24" s="54" t="s">
        <v>56</v>
      </c>
      <c r="F24" s="47"/>
      <c r="G24" s="55" t="s">
        <v>44</v>
      </c>
      <c r="H24" s="56" t="s">
        <v>57</v>
      </c>
      <c r="I24" s="57" t="s">
        <v>78</v>
      </c>
      <c r="J24" s="58" t="s">
        <v>77</v>
      </c>
      <c r="K24" s="399" t="s">
        <v>161</v>
      </c>
      <c r="L24" s="59" t="s">
        <v>55</v>
      </c>
      <c r="M24" s="59"/>
      <c r="N24" s="60"/>
      <c r="O24" s="49"/>
      <c r="P24" s="49"/>
      <c r="Q24" s="48"/>
      <c r="R24" s="48"/>
    </row>
    <row r="25" spans="1:18" s="70" customFormat="1" ht="5.25">
      <c r="A25" s="61"/>
      <c r="B25" s="62"/>
      <c r="C25" s="63"/>
      <c r="D25" s="64"/>
      <c r="E25" s="65"/>
      <c r="F25" s="66"/>
      <c r="G25" s="64"/>
      <c r="H25" s="64"/>
      <c r="I25" s="65"/>
      <c r="J25" s="64"/>
      <c r="K25" s="64"/>
      <c r="L25" s="67"/>
      <c r="M25" s="67"/>
      <c r="N25" s="64"/>
      <c r="O25" s="68"/>
      <c r="P25" s="68"/>
      <c r="Q25" s="69"/>
      <c r="R25" s="69"/>
    </row>
    <row r="26" spans="1:25" ht="20.25">
      <c r="A26" s="230"/>
      <c r="B26" s="231"/>
      <c r="C26" s="232"/>
      <c r="D26" s="233"/>
      <c r="E26" s="234"/>
      <c r="F26" s="235"/>
      <c r="G26" s="233"/>
      <c r="H26" s="233"/>
      <c r="I26" s="233"/>
      <c r="J26" s="234"/>
      <c r="K26" s="233"/>
      <c r="L26" s="887"/>
      <c r="M26" s="888"/>
      <c r="N26" s="889"/>
      <c r="O26" s="229"/>
      <c r="P26" s="229"/>
      <c r="S26" s="236"/>
      <c r="T26" s="236"/>
      <c r="U26" s="236"/>
      <c r="V26" s="236"/>
      <c r="W26" s="236"/>
      <c r="X26" s="236"/>
      <c r="Y26" s="84"/>
    </row>
    <row r="27" spans="1:25" ht="20.25">
      <c r="A27" s="230"/>
      <c r="B27" s="231"/>
      <c r="C27" s="232"/>
      <c r="D27" s="233"/>
      <c r="E27" s="234"/>
      <c r="F27" s="235"/>
      <c r="G27" s="233"/>
      <c r="H27" s="233"/>
      <c r="I27" s="233"/>
      <c r="J27" s="234"/>
      <c r="K27" s="233"/>
      <c r="L27" s="887"/>
      <c r="M27" s="888"/>
      <c r="N27" s="889"/>
      <c r="O27" s="229"/>
      <c r="P27" s="229"/>
      <c r="S27" s="236"/>
      <c r="T27" s="236"/>
      <c r="U27" s="236"/>
      <c r="V27" s="236"/>
      <c r="W27" s="236"/>
      <c r="X27" s="236"/>
      <c r="Y27" s="84"/>
    </row>
    <row r="28" spans="1:25" ht="20.25">
      <c r="A28" s="230"/>
      <c r="B28" s="231"/>
      <c r="C28" s="232"/>
      <c r="D28" s="233"/>
      <c r="E28" s="234"/>
      <c r="F28" s="235"/>
      <c r="G28" s="233"/>
      <c r="H28" s="233"/>
      <c r="I28" s="233"/>
      <c r="J28" s="234"/>
      <c r="K28" s="233"/>
      <c r="L28" s="887"/>
      <c r="M28" s="888"/>
      <c r="N28" s="889"/>
      <c r="O28" s="229"/>
      <c r="P28" s="229"/>
      <c r="S28" s="236"/>
      <c r="T28" s="236"/>
      <c r="U28" s="236"/>
      <c r="V28" s="236"/>
      <c r="W28" s="236"/>
      <c r="X28" s="236"/>
      <c r="Y28" s="84"/>
    </row>
    <row r="29" spans="1:25" ht="20.25">
      <c r="A29" s="230"/>
      <c r="B29" s="231"/>
      <c r="C29" s="232"/>
      <c r="D29" s="233"/>
      <c r="E29" s="234"/>
      <c r="F29" s="235"/>
      <c r="G29" s="233"/>
      <c r="H29" s="233"/>
      <c r="I29" s="233"/>
      <c r="J29" s="234"/>
      <c r="K29" s="233"/>
      <c r="L29" s="887"/>
      <c r="M29" s="888"/>
      <c r="N29" s="889"/>
      <c r="O29" s="229"/>
      <c r="P29" s="229"/>
      <c r="S29" s="236"/>
      <c r="T29" s="236"/>
      <c r="U29" s="236"/>
      <c r="V29" s="236"/>
      <c r="W29" s="236"/>
      <c r="X29" s="236"/>
      <c r="Y29" s="84"/>
    </row>
    <row r="30" spans="15:18" s="84" customFormat="1" ht="14.25">
      <c r="O30" s="82"/>
      <c r="P30" s="82"/>
      <c r="Q30" s="83"/>
      <c r="R30" s="83"/>
    </row>
    <row r="31" spans="1:15" s="79" customFormat="1" ht="15" customHeight="1">
      <c r="A31" s="896"/>
      <c r="B31" s="896"/>
      <c r="C31" s="896"/>
      <c r="D31" s="896"/>
      <c r="E31" s="896"/>
      <c r="F31" s="896"/>
      <c r="G31" s="896"/>
      <c r="H31" s="896"/>
      <c r="I31" s="896"/>
      <c r="J31" s="896"/>
      <c r="K31" s="896"/>
      <c r="L31" s="896"/>
      <c r="M31" s="896"/>
      <c r="N31" s="896"/>
      <c r="O31" s="80"/>
    </row>
    <row r="32" spans="1:18" s="84" customFormat="1" ht="66" customHeight="1">
      <c r="A32" s="896"/>
      <c r="B32" s="896"/>
      <c r="C32" s="896"/>
      <c r="D32" s="896"/>
      <c r="E32" s="896"/>
      <c r="F32" s="896"/>
      <c r="G32" s="896"/>
      <c r="H32" s="896"/>
      <c r="I32" s="896"/>
      <c r="J32" s="896"/>
      <c r="K32" s="896"/>
      <c r="L32" s="896"/>
      <c r="M32" s="896"/>
      <c r="N32" s="896"/>
      <c r="O32" s="81"/>
      <c r="P32" s="82"/>
      <c r="Q32" s="83"/>
      <c r="R32" s="83"/>
    </row>
    <row r="33" spans="1:18" s="84" customFormat="1" ht="14.25">
      <c r="A33" s="896"/>
      <c r="B33" s="896"/>
      <c r="C33" s="896"/>
      <c r="D33" s="896"/>
      <c r="E33" s="896"/>
      <c r="F33" s="896"/>
      <c r="G33" s="896"/>
      <c r="H33" s="896"/>
      <c r="I33" s="896"/>
      <c r="J33" s="896"/>
      <c r="K33" s="896"/>
      <c r="L33" s="896"/>
      <c r="M33" s="896"/>
      <c r="N33" s="896"/>
      <c r="O33" s="81"/>
      <c r="P33" s="82"/>
      <c r="Q33" s="83"/>
      <c r="R33" s="83"/>
    </row>
    <row r="34" spans="1:18" s="84" customFormat="1" ht="14.25">
      <c r="A34" s="896"/>
      <c r="B34" s="896"/>
      <c r="C34" s="896"/>
      <c r="D34" s="896"/>
      <c r="E34" s="896"/>
      <c r="F34" s="896"/>
      <c r="G34" s="896"/>
      <c r="H34" s="896"/>
      <c r="I34" s="896"/>
      <c r="J34" s="896"/>
      <c r="K34" s="896"/>
      <c r="L34" s="896"/>
      <c r="M34" s="896"/>
      <c r="N34" s="896"/>
      <c r="O34" s="81"/>
      <c r="P34" s="82"/>
      <c r="Q34" s="83"/>
      <c r="R34" s="83"/>
    </row>
    <row r="35" spans="1:18" s="84" customFormat="1" ht="14.25">
      <c r="A35" s="896"/>
      <c r="B35" s="896"/>
      <c r="C35" s="896"/>
      <c r="D35" s="896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1"/>
      <c r="P35" s="82"/>
      <c r="Q35" s="83"/>
      <c r="R35" s="83"/>
    </row>
    <row r="36" spans="1:18" s="84" customFormat="1" ht="14.25">
      <c r="A36" s="896"/>
      <c r="B36" s="896"/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1"/>
      <c r="P36" s="82"/>
      <c r="Q36" s="83"/>
      <c r="R36" s="83"/>
    </row>
    <row r="37" spans="1:15" s="79" customFormat="1" ht="14.25">
      <c r="A37" s="896"/>
      <c r="B37" s="896"/>
      <c r="C37" s="896"/>
      <c r="D37" s="896"/>
      <c r="E37" s="896"/>
      <c r="F37" s="896"/>
      <c r="G37" s="896"/>
      <c r="H37" s="896"/>
      <c r="I37" s="896"/>
      <c r="J37" s="896"/>
      <c r="K37" s="896"/>
      <c r="L37" s="896"/>
      <c r="M37" s="896"/>
      <c r="N37" s="896"/>
      <c r="O37" s="80"/>
    </row>
    <row r="38" spans="1:15" s="79" customFormat="1" ht="14.25">
      <c r="A38" s="896"/>
      <c r="B38" s="896"/>
      <c r="C38" s="896"/>
      <c r="D38" s="896"/>
      <c r="E38" s="896"/>
      <c r="F38" s="896"/>
      <c r="G38" s="896"/>
      <c r="H38" s="896"/>
      <c r="I38" s="896"/>
      <c r="J38" s="896"/>
      <c r="K38" s="896"/>
      <c r="L38" s="896"/>
      <c r="M38" s="896"/>
      <c r="N38" s="896"/>
      <c r="O38" s="80"/>
    </row>
    <row r="39" spans="1:18" s="238" customFormat="1" ht="18">
      <c r="A39" s="237"/>
      <c r="B39" s="237"/>
      <c r="C39" s="237"/>
      <c r="D39" s="237"/>
      <c r="L39" s="275">
        <f ca="1">TODAY()</f>
        <v>43958</v>
      </c>
      <c r="M39" s="239"/>
      <c r="N39" s="239"/>
      <c r="O39" s="240"/>
      <c r="P39" s="240"/>
      <c r="Q39" s="241"/>
      <c r="R39" s="241"/>
    </row>
    <row r="40" spans="1:18" s="243" customFormat="1" ht="12">
      <c r="A40" s="242" t="s">
        <v>39</v>
      </c>
      <c r="B40" s="242"/>
      <c r="C40" s="242"/>
      <c r="D40" s="242"/>
      <c r="L40" s="242" t="s">
        <v>6</v>
      </c>
      <c r="M40" s="242"/>
      <c r="N40" s="242"/>
      <c r="O40" s="166"/>
      <c r="P40" s="166"/>
      <c r="Q40" s="167"/>
      <c r="R40" s="167"/>
    </row>
    <row r="41" spans="1:18" s="84" customFormat="1" ht="14.25">
      <c r="A41" s="244"/>
      <c r="B41" s="244"/>
      <c r="C41" s="244"/>
      <c r="D41" s="244"/>
      <c r="L41" s="244"/>
      <c r="M41" s="244"/>
      <c r="N41" s="244"/>
      <c r="O41" s="82"/>
      <c r="P41" s="82"/>
      <c r="Q41" s="83"/>
      <c r="R41" s="83"/>
    </row>
    <row r="42" ht="14.25" hidden="1"/>
    <row r="43" ht="14.25" hidden="1"/>
    <row r="44" ht="14.25" hidden="1"/>
    <row r="45" ht="14.25" hidden="1"/>
    <row r="46" ht="14.25" hidden="1"/>
    <row r="47" ht="14.25" hidden="1">
      <c r="N47" s="245"/>
    </row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</sheetData>
  <sheetProtection sheet="1" objects="1" scenarios="1"/>
  <mergeCells count="21">
    <mergeCell ref="A31:N38"/>
    <mergeCell ref="L28:N28"/>
    <mergeCell ref="L29:N29"/>
    <mergeCell ref="K11:N11"/>
    <mergeCell ref="A11:C11"/>
    <mergeCell ref="A8:C8"/>
    <mergeCell ref="K8:N8"/>
    <mergeCell ref="A5:C5"/>
    <mergeCell ref="A6:C6"/>
    <mergeCell ref="A9:C9"/>
    <mergeCell ref="L26:N26"/>
    <mergeCell ref="L27:N27"/>
    <mergeCell ref="A10:C10"/>
    <mergeCell ref="A7:C7"/>
    <mergeCell ref="K7:N7"/>
    <mergeCell ref="G3:H3"/>
    <mergeCell ref="K3:N3"/>
    <mergeCell ref="K5:N5"/>
    <mergeCell ref="K6:N6"/>
    <mergeCell ref="K10:N10"/>
    <mergeCell ref="K9:N9"/>
  </mergeCells>
  <dataValidations count="1">
    <dataValidation type="decimal" allowBlank="1" showInputMessage="1" showErrorMessage="1" error="bitte Zahl eingeben!" sqref="D5:E11 J5:J11">
      <formula1>0</formula1>
      <formula2>33</formula2>
    </dataValidation>
  </dataValidations>
  <printOptions/>
  <pageMargins left="0.5905511811023623" right="0.3937007874015748" top="0.3937007874015748" bottom="0.31496062992125984" header="0.31496062992125984" footer="0.5118110236220472"/>
  <pageSetup fitToHeight="1" fitToWidth="1" horizontalDpi="600" verticalDpi="600" orientation="portrait" paperSize="9" scale="89" r:id="rId2"/>
  <headerFooter alignWithMargins="0">
    <oddFooter>&amp;C&amp;5                                                             &amp;A von:  &amp;F</oddFooter>
  </headerFooter>
  <rowBreaks count="1" manualBreakCount="1">
    <brk id="4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BilDiV, pr3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ASO Bedarf</dc:title>
  <dc:subject/>
  <dc:creator>Flatz Johannes</dc:creator>
  <cp:keywords/>
  <dc:description/>
  <cp:lastModifiedBy>Flatz Johannes</cp:lastModifiedBy>
  <cp:lastPrinted>2020-05-01T14:25:19Z</cp:lastPrinted>
  <dcterms:created xsi:type="dcterms:W3CDTF">2001-08-30T07:56:13Z</dcterms:created>
  <dcterms:modified xsi:type="dcterms:W3CDTF">2020-05-07T18:50:03Z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