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I:\abt2a\Ressourcen\Stundenberech_Excel\2024'25\Bed\"/>
    </mc:Choice>
  </mc:AlternateContent>
  <bookViews>
    <workbookView xWindow="9975" yWindow="705" windowWidth="18450" windowHeight="19020" firstSheet="1" activeTab="1"/>
  </bookViews>
  <sheets>
    <sheet name="CI" sheetId="2" state="veryHidden" r:id="rId1"/>
    <sheet name="BasisM" sheetId="3" r:id="rId2"/>
    <sheet name="Konti_MS" sheetId="1" r:id="rId3"/>
    <sheet name="GTS" sheetId="18" r:id="rId4"/>
    <sheet name="Assistenz" sheetId="5" r:id="rId5"/>
    <sheet name="Religion" sheetId="6" r:id="rId6"/>
    <sheet name="Erstsprache" sheetId="13" r:id="rId7"/>
    <sheet name="Lehrpersonen" sheetId="11" r:id="rId8"/>
    <sheet name="LP_intern" sheetId="17" state="veryHidden" r:id="rId9"/>
    <sheet name="Bedarf" sheetId="12" r:id="rId10"/>
    <sheet name="Beschreib" sheetId="7" state="veryHidden" r:id="rId11"/>
  </sheets>
  <definedNames>
    <definedName name="_xlnm._FilterDatabase" localSheetId="0" hidden="1">CI!$A$2:$I$223</definedName>
    <definedName name="_xlnm.Print_Area" localSheetId="4">Assistenz!$A$1:$M$69</definedName>
    <definedName name="_xlnm.Print_Area" localSheetId="1">BasisM!$B:$Q</definedName>
    <definedName name="_xlnm.Print_Area" localSheetId="9">Bedarf!$A$1:$L$53</definedName>
    <definedName name="_xlnm.Print_Area" localSheetId="0">CI!$B$1:$G$223</definedName>
    <definedName name="_xlnm.Print_Area" localSheetId="3">GTS!$A$1:$AF$46</definedName>
    <definedName name="_xlnm.Print_Area" localSheetId="2">Konti_MS!$B:$J</definedName>
    <definedName name="_xlnm.Print_Area" localSheetId="7">Lehrpersonen!$A$1:$Q$85</definedName>
    <definedName name="_xlnm.Print_Area" localSheetId="8">LP_intern!$A$1:$O$95</definedName>
    <definedName name="_xlnm.Print_Area" localSheetId="5">Religion!$A$1:$J$41</definedName>
    <definedName name="_xlnm.Print_Titles" localSheetId="2">Konti_MS!$7:$8</definedName>
    <definedName name="_xlnm.Print_Titles" localSheetId="7">Lehrpersonen!$4:$4</definedName>
    <definedName name="_xlnm.Print_Titles" localSheetId="8">LP_intern!$1:$4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9" i="1" l="1"/>
  <c r="H17" i="6" l="1"/>
  <c r="O93" i="17"/>
  <c r="A3" i="12" l="1"/>
  <c r="I85" i="11"/>
  <c r="K28" i="12" l="1"/>
  <c r="K29" i="12"/>
  <c r="K30" i="12"/>
  <c r="K31" i="12"/>
  <c r="K32" i="12"/>
  <c r="K33" i="12"/>
  <c r="K34" i="12"/>
  <c r="K35" i="12"/>
  <c r="K36" i="12"/>
  <c r="K37" i="12"/>
  <c r="K27" i="12"/>
  <c r="Q35" i="11" l="1"/>
  <c r="Q36" i="11"/>
  <c r="Q37" i="11"/>
  <c r="Q38" i="11"/>
  <c r="Q39" i="11"/>
  <c r="Q40" i="11"/>
  <c r="Q41" i="11"/>
  <c r="Q42" i="11"/>
  <c r="Q43" i="11"/>
  <c r="Q44" i="11"/>
  <c r="Q45" i="11"/>
  <c r="Q46" i="11"/>
  <c r="Q47" i="11"/>
  <c r="Q48" i="11"/>
  <c r="Q49" i="11"/>
  <c r="Q50" i="11"/>
  <c r="Q51" i="11"/>
  <c r="Q52" i="11"/>
  <c r="Q53" i="11"/>
  <c r="Q54" i="11"/>
  <c r="Q55" i="11"/>
  <c r="Q56" i="11"/>
  <c r="Q57" i="11"/>
  <c r="Q58" i="11"/>
  <c r="Q59" i="11"/>
  <c r="Q60" i="11"/>
  <c r="Q61" i="11"/>
  <c r="Q62" i="11"/>
  <c r="Q63" i="11"/>
  <c r="Q64" i="11"/>
  <c r="Q65" i="11"/>
  <c r="Q66" i="11"/>
  <c r="Q67" i="11"/>
  <c r="Q68" i="11"/>
  <c r="Q69" i="11"/>
  <c r="Q70" i="11"/>
  <c r="Q71" i="11"/>
  <c r="Q72" i="11"/>
  <c r="Q73" i="11"/>
  <c r="Q74" i="11"/>
  <c r="Q75" i="11"/>
  <c r="Q76" i="11"/>
  <c r="Q77" i="11"/>
  <c r="Q78" i="11"/>
  <c r="Q79" i="11"/>
  <c r="Q80" i="11"/>
  <c r="Q81" i="11"/>
  <c r="Q82" i="11"/>
  <c r="Q83" i="11"/>
  <c r="Q84" i="11"/>
  <c r="E3" i="1" l="1"/>
  <c r="S1" i="1" l="1"/>
  <c r="AF1" i="18" l="1"/>
  <c r="AS45" i="18" l="1"/>
  <c r="AS40" i="18"/>
  <c r="AR40" i="18"/>
  <c r="AQ40" i="18"/>
  <c r="AP40" i="18"/>
  <c r="AO40" i="18"/>
  <c r="AN40" i="18"/>
  <c r="AM40" i="18"/>
  <c r="AL40" i="18"/>
  <c r="AK40" i="18"/>
  <c r="AJ40" i="18"/>
  <c r="AS39" i="18"/>
  <c r="AR39" i="18"/>
  <c r="AQ39" i="18"/>
  <c r="AP39" i="18"/>
  <c r="AO39" i="18"/>
  <c r="AN39" i="18"/>
  <c r="AM39" i="18"/>
  <c r="AL39" i="18"/>
  <c r="AK39" i="18"/>
  <c r="AJ39" i="18"/>
  <c r="AS38" i="18"/>
  <c r="AR38" i="18"/>
  <c r="AQ38" i="18"/>
  <c r="AP38" i="18"/>
  <c r="AO38" i="18"/>
  <c r="AN38" i="18"/>
  <c r="AM38" i="18"/>
  <c r="AL38" i="18"/>
  <c r="AK38" i="18"/>
  <c r="AJ38" i="18"/>
  <c r="AS37" i="18"/>
  <c r="AR37" i="18"/>
  <c r="AQ37" i="18"/>
  <c r="AP37" i="18"/>
  <c r="AO37" i="18"/>
  <c r="AN37" i="18"/>
  <c r="AM37" i="18"/>
  <c r="AL37" i="18"/>
  <c r="AK37" i="18"/>
  <c r="AJ37" i="18"/>
  <c r="AS36" i="18"/>
  <c r="AR36" i="18"/>
  <c r="AQ36" i="18"/>
  <c r="AP36" i="18"/>
  <c r="AO36" i="18"/>
  <c r="AN36" i="18"/>
  <c r="AM36" i="18"/>
  <c r="AL36" i="18"/>
  <c r="AK36" i="18"/>
  <c r="AJ36" i="18"/>
  <c r="AS35" i="18"/>
  <c r="AR35" i="18"/>
  <c r="AQ35" i="18"/>
  <c r="AP35" i="18"/>
  <c r="AO35" i="18"/>
  <c r="AN35" i="18"/>
  <c r="AM35" i="18"/>
  <c r="AL35" i="18"/>
  <c r="AK35" i="18"/>
  <c r="AJ35" i="18"/>
  <c r="AS34" i="18"/>
  <c r="AR34" i="18"/>
  <c r="AQ34" i="18"/>
  <c r="AP34" i="18"/>
  <c r="AO34" i="18"/>
  <c r="AN34" i="18"/>
  <c r="AM34" i="18"/>
  <c r="AL34" i="18"/>
  <c r="AK34" i="18"/>
  <c r="AJ34" i="18"/>
  <c r="AS33" i="18"/>
  <c r="AR33" i="18"/>
  <c r="AQ33" i="18"/>
  <c r="AP33" i="18"/>
  <c r="AO33" i="18"/>
  <c r="AM33" i="18"/>
  <c r="AK33" i="18"/>
  <c r="AJ33" i="18"/>
  <c r="AS32" i="18"/>
  <c r="AR32" i="18"/>
  <c r="AR29" i="18" s="1"/>
  <c r="AQ32" i="18"/>
  <c r="AP32" i="18"/>
  <c r="AO32" i="18"/>
  <c r="AM32" i="18"/>
  <c r="AK32" i="18"/>
  <c r="AS31" i="18"/>
  <c r="AR31" i="18"/>
  <c r="AQ31" i="18"/>
  <c r="AP31" i="18"/>
  <c r="AO31" i="18"/>
  <c r="AM31" i="18"/>
  <c r="AK31" i="18"/>
  <c r="AJ31" i="18"/>
  <c r="AP29" i="18"/>
  <c r="AD28" i="18"/>
  <c r="AD25" i="18"/>
  <c r="AC25" i="18"/>
  <c r="AD26" i="18" s="1"/>
  <c r="X25" i="18"/>
  <c r="AK25" i="18" s="1"/>
  <c r="W25" i="18"/>
  <c r="R25" i="18"/>
  <c r="Q25" i="18"/>
  <c r="R26" i="18" s="1"/>
  <c r="L25" i="18"/>
  <c r="K25" i="18"/>
  <c r="L26" i="18" s="1"/>
  <c r="F25" i="18"/>
  <c r="E25" i="18"/>
  <c r="BC23" i="18"/>
  <c r="BB23" i="18"/>
  <c r="AE23" i="18" s="1"/>
  <c r="BA23" i="18"/>
  <c r="AZ23" i="18"/>
  <c r="AY23" i="18"/>
  <c r="AX23" i="18"/>
  <c r="S23" i="18" s="1"/>
  <c r="AW23" i="18"/>
  <c r="AV23" i="18"/>
  <c r="AU23" i="18"/>
  <c r="AT23" i="18"/>
  <c r="G23" i="18" s="1"/>
  <c r="AF23" i="18"/>
  <c r="BM23" i="18" s="1"/>
  <c r="Z23" i="18"/>
  <c r="BK23" i="18" s="1"/>
  <c r="Y23" i="18"/>
  <c r="BJ23" i="18" s="1"/>
  <c r="T23" i="18"/>
  <c r="BI23" i="18" s="1"/>
  <c r="N23" i="18"/>
  <c r="BG23" i="18" s="1"/>
  <c r="M23" i="18"/>
  <c r="BF23" i="18" s="1"/>
  <c r="H23" i="18"/>
  <c r="BE23" i="18" s="1"/>
  <c r="BM22" i="18"/>
  <c r="BI22" i="18"/>
  <c r="BE22" i="18"/>
  <c r="BC22" i="18"/>
  <c r="AF22" i="18" s="1"/>
  <c r="BB22" i="18"/>
  <c r="BA22" i="18"/>
  <c r="AZ22" i="18"/>
  <c r="AY22" i="18"/>
  <c r="T22" i="18" s="1"/>
  <c r="AX22" i="18"/>
  <c r="AW22" i="18"/>
  <c r="AV22" i="18"/>
  <c r="AU22" i="18"/>
  <c r="H22" i="18" s="1"/>
  <c r="AT22" i="18"/>
  <c r="AE22" i="18"/>
  <c r="BL22" i="18" s="1"/>
  <c r="Z22" i="18"/>
  <c r="BK22" i="18" s="1"/>
  <c r="Y22" i="18"/>
  <c r="BJ22" i="18" s="1"/>
  <c r="S22" i="18"/>
  <c r="BH22" i="18" s="1"/>
  <c r="N22" i="18"/>
  <c r="BG22" i="18" s="1"/>
  <c r="M22" i="18"/>
  <c r="BF22" i="18" s="1"/>
  <c r="G22" i="18"/>
  <c r="BD22" i="18" s="1"/>
  <c r="BM21" i="18"/>
  <c r="BI21" i="18"/>
  <c r="BE21" i="18"/>
  <c r="BC21" i="18"/>
  <c r="AF21" i="18" s="1"/>
  <c r="BB21" i="18"/>
  <c r="BA21" i="18"/>
  <c r="AZ21" i="18"/>
  <c r="AY21" i="18"/>
  <c r="T21" i="18" s="1"/>
  <c r="AX21" i="18"/>
  <c r="AW21" i="18"/>
  <c r="AV21" i="18"/>
  <c r="AU21" i="18"/>
  <c r="H21" i="18" s="1"/>
  <c r="AT21" i="18"/>
  <c r="AE21" i="18"/>
  <c r="BL21" i="18" s="1"/>
  <c r="Z21" i="18"/>
  <c r="BK21" i="18" s="1"/>
  <c r="Y21" i="18"/>
  <c r="BJ21" i="18" s="1"/>
  <c r="S21" i="18"/>
  <c r="BH21" i="18" s="1"/>
  <c r="N21" i="18"/>
  <c r="BG21" i="18" s="1"/>
  <c r="M21" i="18"/>
  <c r="BF21" i="18" s="1"/>
  <c r="G21" i="18"/>
  <c r="BD21" i="18" s="1"/>
  <c r="BM20" i="18"/>
  <c r="BI20" i="18"/>
  <c r="BE20" i="18"/>
  <c r="BC20" i="18"/>
  <c r="AF20" i="18" s="1"/>
  <c r="BB20" i="18"/>
  <c r="BA20" i="18"/>
  <c r="AZ20" i="18"/>
  <c r="AY20" i="18"/>
  <c r="T20" i="18" s="1"/>
  <c r="AX20" i="18"/>
  <c r="AW20" i="18"/>
  <c r="AV20" i="18"/>
  <c r="AU20" i="18"/>
  <c r="H20" i="18" s="1"/>
  <c r="AT20" i="18"/>
  <c r="AE20" i="18"/>
  <c r="BL20" i="18" s="1"/>
  <c r="Z20" i="18"/>
  <c r="BK20" i="18" s="1"/>
  <c r="Y20" i="18"/>
  <c r="BJ20" i="18" s="1"/>
  <c r="S20" i="18"/>
  <c r="BH20" i="18" s="1"/>
  <c r="N20" i="18"/>
  <c r="BG20" i="18" s="1"/>
  <c r="M20" i="18"/>
  <c r="BF20" i="18" s="1"/>
  <c r="G20" i="18"/>
  <c r="BD20" i="18" s="1"/>
  <c r="BM19" i="18"/>
  <c r="BI19" i="18"/>
  <c r="BE19" i="18"/>
  <c r="BC19" i="18"/>
  <c r="AF19" i="18" s="1"/>
  <c r="BB19" i="18"/>
  <c r="BA19" i="18"/>
  <c r="AZ19" i="18"/>
  <c r="AY19" i="18"/>
  <c r="T19" i="18" s="1"/>
  <c r="AX19" i="18"/>
  <c r="AW19" i="18"/>
  <c r="AV19" i="18"/>
  <c r="AU19" i="18"/>
  <c r="H19" i="18" s="1"/>
  <c r="AT19" i="18"/>
  <c r="AE19" i="18"/>
  <c r="BL19" i="18" s="1"/>
  <c r="Z19" i="18"/>
  <c r="BK19" i="18" s="1"/>
  <c r="Y19" i="18"/>
  <c r="BJ19" i="18" s="1"/>
  <c r="S19" i="18"/>
  <c r="BH19" i="18" s="1"/>
  <c r="N19" i="18"/>
  <c r="BG19" i="18" s="1"/>
  <c r="M19" i="18"/>
  <c r="BF19" i="18" s="1"/>
  <c r="G19" i="18"/>
  <c r="BD19" i="18" s="1"/>
  <c r="BM18" i="18"/>
  <c r="BI18" i="18"/>
  <c r="BE18" i="18"/>
  <c r="BC18" i="18"/>
  <c r="AF18" i="18" s="1"/>
  <c r="BB18" i="18"/>
  <c r="BA18" i="18"/>
  <c r="AZ18" i="18"/>
  <c r="AY18" i="18"/>
  <c r="T18" i="18" s="1"/>
  <c r="AX18" i="18"/>
  <c r="AW18" i="18"/>
  <c r="AV18" i="18"/>
  <c r="AU18" i="18"/>
  <c r="H18" i="18" s="1"/>
  <c r="AT18" i="18"/>
  <c r="AE18" i="18"/>
  <c r="BL18" i="18" s="1"/>
  <c r="Z18" i="18"/>
  <c r="BK18" i="18" s="1"/>
  <c r="Y18" i="18"/>
  <c r="BJ18" i="18" s="1"/>
  <c r="S18" i="18"/>
  <c r="BH18" i="18" s="1"/>
  <c r="N18" i="18"/>
  <c r="BG18" i="18" s="1"/>
  <c r="M18" i="18"/>
  <c r="BF18" i="18" s="1"/>
  <c r="G18" i="18"/>
  <c r="BD18" i="18" s="1"/>
  <c r="BM17" i="18"/>
  <c r="BI17" i="18"/>
  <c r="BE17" i="18"/>
  <c r="BC17" i="18"/>
  <c r="AF17" i="18" s="1"/>
  <c r="BB17" i="18"/>
  <c r="BA17" i="18"/>
  <c r="AZ17" i="18"/>
  <c r="AY17" i="18"/>
  <c r="T17" i="18" s="1"/>
  <c r="AX17" i="18"/>
  <c r="AW17" i="18"/>
  <c r="AV17" i="18"/>
  <c r="AU17" i="18"/>
  <c r="H17" i="18" s="1"/>
  <c r="AT17" i="18"/>
  <c r="AE17" i="18"/>
  <c r="BL17" i="18" s="1"/>
  <c r="Z17" i="18"/>
  <c r="BK17" i="18" s="1"/>
  <c r="Y17" i="18"/>
  <c r="BJ17" i="18" s="1"/>
  <c r="S17" i="18"/>
  <c r="BH17" i="18" s="1"/>
  <c r="N17" i="18"/>
  <c r="BG17" i="18" s="1"/>
  <c r="M17" i="18"/>
  <c r="BF17" i="18" s="1"/>
  <c r="G17" i="18"/>
  <c r="BD17" i="18" s="1"/>
  <c r="BM16" i="18"/>
  <c r="BI16" i="18"/>
  <c r="BE16" i="18"/>
  <c r="BC16" i="18"/>
  <c r="AF16" i="18" s="1"/>
  <c r="BB16" i="18"/>
  <c r="BA16" i="18"/>
  <c r="AZ16" i="18"/>
  <c r="AY16" i="18"/>
  <c r="T16" i="18" s="1"/>
  <c r="AX16" i="18"/>
  <c r="AW16" i="18"/>
  <c r="AV16" i="18"/>
  <c r="M16" i="18" s="1"/>
  <c r="AU16" i="18"/>
  <c r="H16" i="18" s="1"/>
  <c r="AT16" i="18"/>
  <c r="AE16" i="18"/>
  <c r="BL16" i="18" s="1"/>
  <c r="Z16" i="18"/>
  <c r="BK16" i="18" s="1"/>
  <c r="Y16" i="18"/>
  <c r="BJ16" i="18" s="1"/>
  <c r="S16" i="18"/>
  <c r="BH16" i="18" s="1"/>
  <c r="N16" i="18"/>
  <c r="BG16" i="18" s="1"/>
  <c r="G16" i="18"/>
  <c r="BD16" i="18" s="1"/>
  <c r="BM15" i="18"/>
  <c r="BI15" i="18"/>
  <c r="BE15" i="18"/>
  <c r="BC15" i="18"/>
  <c r="AF15" i="18" s="1"/>
  <c r="BB15" i="18"/>
  <c r="BA15" i="18"/>
  <c r="AZ15" i="18"/>
  <c r="AY15" i="18"/>
  <c r="T15" i="18" s="1"/>
  <c r="AX15" i="18"/>
  <c r="AW15" i="18"/>
  <c r="AV15" i="18"/>
  <c r="AU15" i="18"/>
  <c r="H15" i="18" s="1"/>
  <c r="AT15" i="18"/>
  <c r="G15" i="18" s="1"/>
  <c r="AE15" i="18"/>
  <c r="BL15" i="18" s="1"/>
  <c r="Z15" i="18"/>
  <c r="BK15" i="18" s="1"/>
  <c r="Y15" i="18"/>
  <c r="BJ15" i="18" s="1"/>
  <c r="S15" i="18"/>
  <c r="BH15" i="18" s="1"/>
  <c r="N15" i="18"/>
  <c r="BG15" i="18" s="1"/>
  <c r="M15" i="18"/>
  <c r="BF15" i="18" s="1"/>
  <c r="BC14" i="18"/>
  <c r="BB14" i="18"/>
  <c r="AE14" i="18" s="1"/>
  <c r="BA14" i="18"/>
  <c r="AZ14" i="18"/>
  <c r="AY14" i="18"/>
  <c r="AX14" i="18"/>
  <c r="S14" i="18" s="1"/>
  <c r="AW14" i="18"/>
  <c r="AV14" i="18"/>
  <c r="AU14" i="18"/>
  <c r="AT26" i="18" s="1"/>
  <c r="AT14" i="18"/>
  <c r="AF14" i="18"/>
  <c r="Z14" i="18"/>
  <c r="Y14" i="18"/>
  <c r="T14" i="18"/>
  <c r="N14" i="18"/>
  <c r="M14" i="18"/>
  <c r="H14" i="18"/>
  <c r="B14" i="18"/>
  <c r="A15" i="18" s="1"/>
  <c r="AO8" i="18"/>
  <c r="AO11" i="18" s="1"/>
  <c r="C6" i="18"/>
  <c r="AP7" i="18" s="1"/>
  <c r="S5" i="18"/>
  <c r="N5" i="18"/>
  <c r="AO3" i="18"/>
  <c r="I51" i="1" l="1"/>
  <c r="BF16" i="18"/>
  <c r="BD15" i="18"/>
  <c r="AT25" i="18"/>
  <c r="B15" i="18"/>
  <c r="S25" i="18"/>
  <c r="S24" i="18"/>
  <c r="BH14" i="18"/>
  <c r="AR43" i="18"/>
  <c r="AE24" i="18"/>
  <c r="BL14" i="18"/>
  <c r="BL25" i="18" s="1"/>
  <c r="AE25" i="18"/>
  <c r="AO10" i="18"/>
  <c r="AO7" i="18" s="1"/>
  <c r="AK44" i="18"/>
  <c r="H25" i="18"/>
  <c r="M25" i="18"/>
  <c r="M24" i="18"/>
  <c r="AO44" i="18"/>
  <c r="T25" i="18"/>
  <c r="AP43" i="18"/>
  <c r="Y25" i="18"/>
  <c r="Y24" i="18"/>
  <c r="AS44" i="18"/>
  <c r="AF25" i="18"/>
  <c r="BF14" i="18"/>
  <c r="BJ14" i="18"/>
  <c r="BJ25" i="18" s="1"/>
  <c r="BM14" i="18"/>
  <c r="BM25" i="18" s="1"/>
  <c r="AO9" i="18"/>
  <c r="C14" i="18"/>
  <c r="AN31" i="18" s="1"/>
  <c r="G14" i="18"/>
  <c r="AM44" i="18"/>
  <c r="AQ44" i="18"/>
  <c r="Z25" i="18"/>
  <c r="BE14" i="18"/>
  <c r="BG14" i="18"/>
  <c r="BG25" i="18" s="1"/>
  <c r="BI14" i="18"/>
  <c r="BI25" i="18" s="1"/>
  <c r="BK14" i="18"/>
  <c r="BK25" i="18" s="1"/>
  <c r="N25" i="18"/>
  <c r="F26" i="18"/>
  <c r="AJ25" i="18"/>
  <c r="AM29" i="18"/>
  <c r="AO29" i="18"/>
  <c r="AQ29" i="18"/>
  <c r="AS29" i="18"/>
  <c r="AE26" i="18" s="1"/>
  <c r="AS42" i="18"/>
  <c r="BD23" i="18"/>
  <c r="BH23" i="18"/>
  <c r="BL23" i="18"/>
  <c r="X26" i="18"/>
  <c r="AK29" i="18"/>
  <c r="AQ42" i="18"/>
  <c r="BF25" i="18" l="1"/>
  <c r="S7" i="18"/>
  <c r="Q7" i="18"/>
  <c r="T6" i="18"/>
  <c r="R6" i="18"/>
  <c r="P6" i="18"/>
  <c r="T7" i="18"/>
  <c r="R7" i="18"/>
  <c r="V6" i="18"/>
  <c r="S6" i="18"/>
  <c r="Q6" i="18"/>
  <c r="AK26" i="18"/>
  <c r="BN14" i="18"/>
  <c r="AS14" i="18"/>
  <c r="AQ14" i="18"/>
  <c r="AO14" i="18"/>
  <c r="AM14" i="18"/>
  <c r="AK14" i="18"/>
  <c r="AR14" i="18"/>
  <c r="AP14" i="18"/>
  <c r="AN14" i="18"/>
  <c r="AL14" i="18"/>
  <c r="AJ14" i="18"/>
  <c r="D14" i="18"/>
  <c r="AL31" i="18"/>
  <c r="AM25" i="18"/>
  <c r="A16" i="18"/>
  <c r="C15" i="18"/>
  <c r="AQ28" i="18"/>
  <c r="Y26" i="18"/>
  <c r="BE25" i="18"/>
  <c r="BD27" i="18"/>
  <c r="AJ43" i="18"/>
  <c r="G24" i="18"/>
  <c r="G25" i="18"/>
  <c r="I14" i="18"/>
  <c r="BD14" i="18"/>
  <c r="AS28" i="18"/>
  <c r="AA14" i="18"/>
  <c r="O14" i="18"/>
  <c r="AM45" i="18"/>
  <c r="AG14" i="18"/>
  <c r="BH25" i="18"/>
  <c r="U14" i="18"/>
  <c r="AN32" i="18" l="1"/>
  <c r="AL32" i="18"/>
  <c r="AJ32" i="18"/>
  <c r="BD26" i="18"/>
  <c r="BD25" i="18"/>
  <c r="BN15" i="18"/>
  <c r="AR15" i="18"/>
  <c r="AP15" i="18"/>
  <c r="AN15" i="18"/>
  <c r="AL15" i="18"/>
  <c r="AJ15" i="18"/>
  <c r="AS15" i="18"/>
  <c r="AO15" i="18"/>
  <c r="AK15" i="18"/>
  <c r="AQ15" i="18"/>
  <c r="AM15" i="18"/>
  <c r="AG15" i="18"/>
  <c r="U15" i="18"/>
  <c r="I15" i="18"/>
  <c r="D15" i="18"/>
  <c r="AA15" i="18"/>
  <c r="O15" i="18"/>
  <c r="D28" i="18"/>
  <c r="B16" i="18"/>
  <c r="J2" i="13"/>
  <c r="AK42" i="18" l="1"/>
  <c r="AJ29" i="18"/>
  <c r="A17" i="18"/>
  <c r="C16" i="18"/>
  <c r="H6" i="17"/>
  <c r="I6" i="17"/>
  <c r="J6" i="17"/>
  <c r="K6" i="17"/>
  <c r="L6" i="17"/>
  <c r="M6" i="17"/>
  <c r="N6" i="17"/>
  <c r="O6" i="17"/>
  <c r="H7" i="17"/>
  <c r="I7" i="17"/>
  <c r="J7" i="17"/>
  <c r="K7" i="17"/>
  <c r="L7" i="17"/>
  <c r="M7" i="17"/>
  <c r="N7" i="17"/>
  <c r="O7" i="17"/>
  <c r="H8" i="17"/>
  <c r="I8" i="17"/>
  <c r="J8" i="17"/>
  <c r="K8" i="17"/>
  <c r="L8" i="17"/>
  <c r="M8" i="17"/>
  <c r="N8" i="17"/>
  <c r="O8" i="17"/>
  <c r="H9" i="17"/>
  <c r="I9" i="17"/>
  <c r="J9" i="17"/>
  <c r="K9" i="17"/>
  <c r="L9" i="17"/>
  <c r="M9" i="17"/>
  <c r="N9" i="17"/>
  <c r="O9" i="17"/>
  <c r="H10" i="17"/>
  <c r="I10" i="17"/>
  <c r="J10" i="17"/>
  <c r="K10" i="17"/>
  <c r="L10" i="17"/>
  <c r="M10" i="17"/>
  <c r="N10" i="17"/>
  <c r="O10" i="17"/>
  <c r="H11" i="17"/>
  <c r="I11" i="17"/>
  <c r="J11" i="17"/>
  <c r="K11" i="17"/>
  <c r="L11" i="17"/>
  <c r="M11" i="17"/>
  <c r="N11" i="17"/>
  <c r="O11" i="17"/>
  <c r="H12" i="17"/>
  <c r="I12" i="17"/>
  <c r="J12" i="17"/>
  <c r="K12" i="17"/>
  <c r="L12" i="17"/>
  <c r="M12" i="17"/>
  <c r="N12" i="17"/>
  <c r="O12" i="17"/>
  <c r="H13" i="17"/>
  <c r="I13" i="17"/>
  <c r="J13" i="17"/>
  <c r="K13" i="17"/>
  <c r="L13" i="17"/>
  <c r="M13" i="17"/>
  <c r="N13" i="17"/>
  <c r="O13" i="17"/>
  <c r="H14" i="17"/>
  <c r="I14" i="17"/>
  <c r="J14" i="17"/>
  <c r="K14" i="17"/>
  <c r="L14" i="17"/>
  <c r="M14" i="17"/>
  <c r="N14" i="17"/>
  <c r="O14" i="17"/>
  <c r="H15" i="17"/>
  <c r="I15" i="17"/>
  <c r="J15" i="17"/>
  <c r="K15" i="17"/>
  <c r="L15" i="17"/>
  <c r="M15" i="17"/>
  <c r="N15" i="17"/>
  <c r="O15" i="17"/>
  <c r="H16" i="17"/>
  <c r="I16" i="17"/>
  <c r="J16" i="17"/>
  <c r="K16" i="17"/>
  <c r="L16" i="17"/>
  <c r="M16" i="17"/>
  <c r="N16" i="17"/>
  <c r="O16" i="17"/>
  <c r="H17" i="17"/>
  <c r="I17" i="17"/>
  <c r="J17" i="17"/>
  <c r="K17" i="17"/>
  <c r="L17" i="17"/>
  <c r="M17" i="17"/>
  <c r="N17" i="17"/>
  <c r="O17" i="17"/>
  <c r="H18" i="17"/>
  <c r="I18" i="17"/>
  <c r="J18" i="17"/>
  <c r="K18" i="17"/>
  <c r="L18" i="17"/>
  <c r="M18" i="17"/>
  <c r="N18" i="17"/>
  <c r="O18" i="17"/>
  <c r="H19" i="17"/>
  <c r="I19" i="17"/>
  <c r="J19" i="17"/>
  <c r="K19" i="17"/>
  <c r="L19" i="17"/>
  <c r="M19" i="17"/>
  <c r="N19" i="17"/>
  <c r="O19" i="17"/>
  <c r="H20" i="17"/>
  <c r="I20" i="17"/>
  <c r="J20" i="17"/>
  <c r="K20" i="17"/>
  <c r="L20" i="17"/>
  <c r="M20" i="17"/>
  <c r="N20" i="17"/>
  <c r="O20" i="17"/>
  <c r="H21" i="17"/>
  <c r="I21" i="17"/>
  <c r="J21" i="17"/>
  <c r="K21" i="17"/>
  <c r="L21" i="17"/>
  <c r="M21" i="17"/>
  <c r="N21" i="17"/>
  <c r="O21" i="17"/>
  <c r="H22" i="17"/>
  <c r="I22" i="17"/>
  <c r="J22" i="17"/>
  <c r="K22" i="17"/>
  <c r="L22" i="17"/>
  <c r="M22" i="17"/>
  <c r="N22" i="17"/>
  <c r="O22" i="17"/>
  <c r="H23" i="17"/>
  <c r="I23" i="17"/>
  <c r="J23" i="17"/>
  <c r="K23" i="17"/>
  <c r="L23" i="17"/>
  <c r="M23" i="17"/>
  <c r="N23" i="17"/>
  <c r="O23" i="17"/>
  <c r="H24" i="17"/>
  <c r="I24" i="17"/>
  <c r="J24" i="17"/>
  <c r="K24" i="17"/>
  <c r="L24" i="17"/>
  <c r="M24" i="17"/>
  <c r="N24" i="17"/>
  <c r="O24" i="17"/>
  <c r="H25" i="17"/>
  <c r="I25" i="17"/>
  <c r="J25" i="17"/>
  <c r="K25" i="17"/>
  <c r="L25" i="17"/>
  <c r="M25" i="17"/>
  <c r="N25" i="17"/>
  <c r="O25" i="17"/>
  <c r="H26" i="17"/>
  <c r="I26" i="17"/>
  <c r="J26" i="17"/>
  <c r="K26" i="17"/>
  <c r="L26" i="17"/>
  <c r="M26" i="17"/>
  <c r="N26" i="17"/>
  <c r="O26" i="17"/>
  <c r="H27" i="17"/>
  <c r="I27" i="17"/>
  <c r="J27" i="17"/>
  <c r="K27" i="17"/>
  <c r="L27" i="17"/>
  <c r="M27" i="17"/>
  <c r="N27" i="17"/>
  <c r="O27" i="17"/>
  <c r="H28" i="17"/>
  <c r="I28" i="17"/>
  <c r="J28" i="17"/>
  <c r="K28" i="17"/>
  <c r="L28" i="17"/>
  <c r="M28" i="17"/>
  <c r="N28" i="17"/>
  <c r="O28" i="17"/>
  <c r="H29" i="17"/>
  <c r="I29" i="17"/>
  <c r="J29" i="17"/>
  <c r="K29" i="17"/>
  <c r="L29" i="17"/>
  <c r="M29" i="17"/>
  <c r="N29" i="17"/>
  <c r="O29" i="17"/>
  <c r="H30" i="17"/>
  <c r="I30" i="17"/>
  <c r="J30" i="17"/>
  <c r="K30" i="17"/>
  <c r="L30" i="17"/>
  <c r="M30" i="17"/>
  <c r="N30" i="17"/>
  <c r="O30" i="17"/>
  <c r="H31" i="17"/>
  <c r="I31" i="17"/>
  <c r="J31" i="17"/>
  <c r="K31" i="17"/>
  <c r="L31" i="17"/>
  <c r="M31" i="17"/>
  <c r="N31" i="17"/>
  <c r="O31" i="17"/>
  <c r="H32" i="17"/>
  <c r="I32" i="17"/>
  <c r="J32" i="17"/>
  <c r="K32" i="17"/>
  <c r="L32" i="17"/>
  <c r="M32" i="17"/>
  <c r="N32" i="17"/>
  <c r="O32" i="17"/>
  <c r="H33" i="17"/>
  <c r="I33" i="17"/>
  <c r="J33" i="17"/>
  <c r="K33" i="17"/>
  <c r="L33" i="17"/>
  <c r="M33" i="17"/>
  <c r="N33" i="17"/>
  <c r="O33" i="17"/>
  <c r="H34" i="17"/>
  <c r="I34" i="17"/>
  <c r="J34" i="17"/>
  <c r="K34" i="17"/>
  <c r="L34" i="17"/>
  <c r="M34" i="17"/>
  <c r="N34" i="17"/>
  <c r="O34" i="17"/>
  <c r="F35" i="17"/>
  <c r="H35" i="17"/>
  <c r="I35" i="17"/>
  <c r="J35" i="17"/>
  <c r="K35" i="17"/>
  <c r="L35" i="17"/>
  <c r="M35" i="17"/>
  <c r="N35" i="17"/>
  <c r="O35" i="17"/>
  <c r="F36" i="17"/>
  <c r="H36" i="17"/>
  <c r="I36" i="17"/>
  <c r="J36" i="17"/>
  <c r="K36" i="17"/>
  <c r="L36" i="17"/>
  <c r="M36" i="17"/>
  <c r="N36" i="17"/>
  <c r="O36" i="17"/>
  <c r="F37" i="17"/>
  <c r="H37" i="17"/>
  <c r="I37" i="17"/>
  <c r="J37" i="17"/>
  <c r="K37" i="17"/>
  <c r="L37" i="17"/>
  <c r="M37" i="17"/>
  <c r="N37" i="17"/>
  <c r="O37" i="17"/>
  <c r="F38" i="17"/>
  <c r="H38" i="17"/>
  <c r="I38" i="17"/>
  <c r="J38" i="17"/>
  <c r="K38" i="17"/>
  <c r="L38" i="17"/>
  <c r="M38" i="17"/>
  <c r="N38" i="17"/>
  <c r="O38" i="17"/>
  <c r="F39" i="17"/>
  <c r="H39" i="17"/>
  <c r="I39" i="17"/>
  <c r="J39" i="17"/>
  <c r="K39" i="17"/>
  <c r="L39" i="17"/>
  <c r="M39" i="17"/>
  <c r="N39" i="17"/>
  <c r="O39" i="17"/>
  <c r="F40" i="17"/>
  <c r="H40" i="17"/>
  <c r="I40" i="17"/>
  <c r="J40" i="17"/>
  <c r="K40" i="17"/>
  <c r="L40" i="17"/>
  <c r="M40" i="17"/>
  <c r="N40" i="17"/>
  <c r="O40" i="17"/>
  <c r="F41" i="17"/>
  <c r="H41" i="17"/>
  <c r="I41" i="17"/>
  <c r="J41" i="17"/>
  <c r="K41" i="17"/>
  <c r="L41" i="17"/>
  <c r="M41" i="17"/>
  <c r="N41" i="17"/>
  <c r="O41" i="17"/>
  <c r="H42" i="17"/>
  <c r="I42" i="17"/>
  <c r="J42" i="17"/>
  <c r="K42" i="17"/>
  <c r="L42" i="17"/>
  <c r="M42" i="17"/>
  <c r="N42" i="17"/>
  <c r="O42" i="17"/>
  <c r="H43" i="17"/>
  <c r="I43" i="17"/>
  <c r="J43" i="17"/>
  <c r="K43" i="17"/>
  <c r="L43" i="17"/>
  <c r="M43" i="17"/>
  <c r="N43" i="17"/>
  <c r="O43" i="17"/>
  <c r="H44" i="17"/>
  <c r="I44" i="17"/>
  <c r="J44" i="17"/>
  <c r="K44" i="17"/>
  <c r="L44" i="17"/>
  <c r="M44" i="17"/>
  <c r="N44" i="17"/>
  <c r="O44" i="17"/>
  <c r="H45" i="17"/>
  <c r="I45" i="17"/>
  <c r="J45" i="17"/>
  <c r="K45" i="17"/>
  <c r="L45" i="17"/>
  <c r="M45" i="17"/>
  <c r="N45" i="17"/>
  <c r="O45" i="17"/>
  <c r="H46" i="17"/>
  <c r="I46" i="17"/>
  <c r="J46" i="17"/>
  <c r="K46" i="17"/>
  <c r="L46" i="17"/>
  <c r="M46" i="17"/>
  <c r="N46" i="17"/>
  <c r="O46" i="17"/>
  <c r="F47" i="17"/>
  <c r="H47" i="17"/>
  <c r="I47" i="17"/>
  <c r="J47" i="17"/>
  <c r="K47" i="17"/>
  <c r="L47" i="17"/>
  <c r="M47" i="17"/>
  <c r="N47" i="17"/>
  <c r="O47" i="17"/>
  <c r="F48" i="17"/>
  <c r="H48" i="17"/>
  <c r="I48" i="17"/>
  <c r="J48" i="17"/>
  <c r="K48" i="17"/>
  <c r="L48" i="17"/>
  <c r="M48" i="17"/>
  <c r="N48" i="17"/>
  <c r="O48" i="17"/>
  <c r="F49" i="17"/>
  <c r="H49" i="17"/>
  <c r="I49" i="17"/>
  <c r="J49" i="17"/>
  <c r="K49" i="17"/>
  <c r="L49" i="17"/>
  <c r="M49" i="17"/>
  <c r="N49" i="17"/>
  <c r="O49" i="17"/>
  <c r="F50" i="17"/>
  <c r="H50" i="17"/>
  <c r="I50" i="17"/>
  <c r="J50" i="17"/>
  <c r="K50" i="17"/>
  <c r="L50" i="17"/>
  <c r="M50" i="17"/>
  <c r="N50" i="17"/>
  <c r="O50" i="17"/>
  <c r="F51" i="17"/>
  <c r="H51" i="17"/>
  <c r="I51" i="17"/>
  <c r="J51" i="17"/>
  <c r="K51" i="17"/>
  <c r="L51" i="17"/>
  <c r="M51" i="17"/>
  <c r="N51" i="17"/>
  <c r="O51" i="17"/>
  <c r="F52" i="17"/>
  <c r="H52" i="17"/>
  <c r="I52" i="17"/>
  <c r="J52" i="17"/>
  <c r="K52" i="17"/>
  <c r="L52" i="17"/>
  <c r="M52" i="17"/>
  <c r="N52" i="17"/>
  <c r="O52" i="17"/>
  <c r="F53" i="17"/>
  <c r="H53" i="17"/>
  <c r="I53" i="17"/>
  <c r="J53" i="17"/>
  <c r="K53" i="17"/>
  <c r="L53" i="17"/>
  <c r="M53" i="17"/>
  <c r="N53" i="17"/>
  <c r="O53" i="17"/>
  <c r="F54" i="17"/>
  <c r="H54" i="17"/>
  <c r="I54" i="17"/>
  <c r="J54" i="17"/>
  <c r="K54" i="17"/>
  <c r="L54" i="17"/>
  <c r="M54" i="17"/>
  <c r="N54" i="17"/>
  <c r="O54" i="17"/>
  <c r="F55" i="17"/>
  <c r="H55" i="17"/>
  <c r="I55" i="17"/>
  <c r="J55" i="17"/>
  <c r="K55" i="17"/>
  <c r="L55" i="17"/>
  <c r="M55" i="17"/>
  <c r="N55" i="17"/>
  <c r="O55" i="17"/>
  <c r="F56" i="17"/>
  <c r="H56" i="17"/>
  <c r="I56" i="17"/>
  <c r="J56" i="17"/>
  <c r="K56" i="17"/>
  <c r="L56" i="17"/>
  <c r="M56" i="17"/>
  <c r="N56" i="17"/>
  <c r="O56" i="17"/>
  <c r="F57" i="17"/>
  <c r="H57" i="17"/>
  <c r="I57" i="17"/>
  <c r="J57" i="17"/>
  <c r="K57" i="17"/>
  <c r="L57" i="17"/>
  <c r="M57" i="17"/>
  <c r="N57" i="17"/>
  <c r="O57" i="17"/>
  <c r="F58" i="17"/>
  <c r="H58" i="17"/>
  <c r="I58" i="17"/>
  <c r="J58" i="17"/>
  <c r="K58" i="17"/>
  <c r="L58" i="17"/>
  <c r="M58" i="17"/>
  <c r="N58" i="17"/>
  <c r="O58" i="17"/>
  <c r="F59" i="17"/>
  <c r="H59" i="17"/>
  <c r="I59" i="17"/>
  <c r="J59" i="17"/>
  <c r="K59" i="17"/>
  <c r="L59" i="17"/>
  <c r="M59" i="17"/>
  <c r="N59" i="17"/>
  <c r="O59" i="17"/>
  <c r="F60" i="17"/>
  <c r="H60" i="17"/>
  <c r="I60" i="17"/>
  <c r="J60" i="17"/>
  <c r="K60" i="17"/>
  <c r="L60" i="17"/>
  <c r="M60" i="17"/>
  <c r="N60" i="17"/>
  <c r="O60" i="17"/>
  <c r="F61" i="17"/>
  <c r="H61" i="17"/>
  <c r="I61" i="17"/>
  <c r="J61" i="17"/>
  <c r="K61" i="17"/>
  <c r="L61" i="17"/>
  <c r="M61" i="17"/>
  <c r="N61" i="17"/>
  <c r="O61" i="17"/>
  <c r="F62" i="17"/>
  <c r="H62" i="17"/>
  <c r="I62" i="17"/>
  <c r="J62" i="17"/>
  <c r="K62" i="17"/>
  <c r="L62" i="17"/>
  <c r="M62" i="17"/>
  <c r="N62" i="17"/>
  <c r="O62" i="17"/>
  <c r="F63" i="17"/>
  <c r="H63" i="17"/>
  <c r="I63" i="17"/>
  <c r="J63" i="17"/>
  <c r="K63" i="17"/>
  <c r="L63" i="17"/>
  <c r="M63" i="17"/>
  <c r="N63" i="17"/>
  <c r="O63" i="17"/>
  <c r="F64" i="17"/>
  <c r="H64" i="17"/>
  <c r="I64" i="17"/>
  <c r="J64" i="17"/>
  <c r="K64" i="17"/>
  <c r="L64" i="17"/>
  <c r="M64" i="17"/>
  <c r="N64" i="17"/>
  <c r="O64" i="17"/>
  <c r="F65" i="17"/>
  <c r="H65" i="17"/>
  <c r="I65" i="17"/>
  <c r="J65" i="17"/>
  <c r="K65" i="17"/>
  <c r="L65" i="17"/>
  <c r="M65" i="17"/>
  <c r="N65" i="17"/>
  <c r="O65" i="17"/>
  <c r="F66" i="17"/>
  <c r="H66" i="17"/>
  <c r="I66" i="17"/>
  <c r="J66" i="17"/>
  <c r="K66" i="17"/>
  <c r="L66" i="17"/>
  <c r="M66" i="17"/>
  <c r="N66" i="17"/>
  <c r="O66" i="17"/>
  <c r="F67" i="17"/>
  <c r="H67" i="17"/>
  <c r="I67" i="17"/>
  <c r="J67" i="17"/>
  <c r="K67" i="17"/>
  <c r="L67" i="17"/>
  <c r="M67" i="17"/>
  <c r="N67" i="17"/>
  <c r="O67" i="17"/>
  <c r="F68" i="17"/>
  <c r="H68" i="17"/>
  <c r="I68" i="17"/>
  <c r="J68" i="17"/>
  <c r="K68" i="17"/>
  <c r="L68" i="17"/>
  <c r="M68" i="17"/>
  <c r="N68" i="17"/>
  <c r="O68" i="17"/>
  <c r="F69" i="17"/>
  <c r="H69" i="17"/>
  <c r="I69" i="17"/>
  <c r="J69" i="17"/>
  <c r="K69" i="17"/>
  <c r="L69" i="17"/>
  <c r="M69" i="17"/>
  <c r="N69" i="17"/>
  <c r="O69" i="17"/>
  <c r="F70" i="17"/>
  <c r="H70" i="17"/>
  <c r="I70" i="17"/>
  <c r="J70" i="17"/>
  <c r="K70" i="17"/>
  <c r="L70" i="17"/>
  <c r="M70" i="17"/>
  <c r="N70" i="17"/>
  <c r="O70" i="17"/>
  <c r="F71" i="17"/>
  <c r="H71" i="17"/>
  <c r="I71" i="17"/>
  <c r="J71" i="17"/>
  <c r="K71" i="17"/>
  <c r="L71" i="17"/>
  <c r="M71" i="17"/>
  <c r="N71" i="17"/>
  <c r="O71" i="17"/>
  <c r="F72" i="17"/>
  <c r="H72" i="17"/>
  <c r="I72" i="17"/>
  <c r="J72" i="17"/>
  <c r="K72" i="17"/>
  <c r="L72" i="17"/>
  <c r="M72" i="17"/>
  <c r="N72" i="17"/>
  <c r="O72" i="17"/>
  <c r="F73" i="17"/>
  <c r="H73" i="17"/>
  <c r="I73" i="17"/>
  <c r="J73" i="17"/>
  <c r="K73" i="17"/>
  <c r="L73" i="17"/>
  <c r="M73" i="17"/>
  <c r="N73" i="17"/>
  <c r="O73" i="17"/>
  <c r="F74" i="17"/>
  <c r="H74" i="17"/>
  <c r="I74" i="17"/>
  <c r="J74" i="17"/>
  <c r="K74" i="17"/>
  <c r="L74" i="17"/>
  <c r="M74" i="17"/>
  <c r="N74" i="17"/>
  <c r="O74" i="17"/>
  <c r="F75" i="17"/>
  <c r="H75" i="17"/>
  <c r="I75" i="17"/>
  <c r="J75" i="17"/>
  <c r="K75" i="17"/>
  <c r="L75" i="17"/>
  <c r="M75" i="17"/>
  <c r="N75" i="17"/>
  <c r="O75" i="17"/>
  <c r="F76" i="17"/>
  <c r="H76" i="17"/>
  <c r="I76" i="17"/>
  <c r="J76" i="17"/>
  <c r="K76" i="17"/>
  <c r="L76" i="17"/>
  <c r="M76" i="17"/>
  <c r="N76" i="17"/>
  <c r="O76" i="17"/>
  <c r="F77" i="17"/>
  <c r="H77" i="17"/>
  <c r="I77" i="17"/>
  <c r="J77" i="17"/>
  <c r="K77" i="17"/>
  <c r="L77" i="17"/>
  <c r="M77" i="17"/>
  <c r="N77" i="17"/>
  <c r="O77" i="17"/>
  <c r="F78" i="17"/>
  <c r="H78" i="17"/>
  <c r="I78" i="17"/>
  <c r="J78" i="17"/>
  <c r="K78" i="17"/>
  <c r="L78" i="17"/>
  <c r="M78" i="17"/>
  <c r="N78" i="17"/>
  <c r="O78" i="17"/>
  <c r="F79" i="17"/>
  <c r="H79" i="17"/>
  <c r="I79" i="17"/>
  <c r="J79" i="17"/>
  <c r="K79" i="17"/>
  <c r="L79" i="17"/>
  <c r="M79" i="17"/>
  <c r="N79" i="17"/>
  <c r="O79" i="17"/>
  <c r="F80" i="17"/>
  <c r="H80" i="17"/>
  <c r="I80" i="17"/>
  <c r="J80" i="17"/>
  <c r="K80" i="17"/>
  <c r="L80" i="17"/>
  <c r="M80" i="17"/>
  <c r="N80" i="17"/>
  <c r="O80" i="17"/>
  <c r="F81" i="17"/>
  <c r="H81" i="17"/>
  <c r="I81" i="17"/>
  <c r="J81" i="17"/>
  <c r="K81" i="17"/>
  <c r="L81" i="17"/>
  <c r="M81" i="17"/>
  <c r="N81" i="17"/>
  <c r="O81" i="17"/>
  <c r="F82" i="17"/>
  <c r="H82" i="17"/>
  <c r="I82" i="17"/>
  <c r="J82" i="17"/>
  <c r="K82" i="17"/>
  <c r="L82" i="17"/>
  <c r="M82" i="17"/>
  <c r="N82" i="17"/>
  <c r="O82" i="17"/>
  <c r="F83" i="17"/>
  <c r="H83" i="17"/>
  <c r="I83" i="17"/>
  <c r="J83" i="17"/>
  <c r="K83" i="17"/>
  <c r="L83" i="17"/>
  <c r="M83" i="17"/>
  <c r="N83" i="17"/>
  <c r="O83" i="17"/>
  <c r="F84" i="17"/>
  <c r="H84" i="17"/>
  <c r="I84" i="17"/>
  <c r="J84" i="17"/>
  <c r="K84" i="17"/>
  <c r="L84" i="17"/>
  <c r="M84" i="17"/>
  <c r="N84" i="17"/>
  <c r="O84" i="17"/>
  <c r="J5" i="17"/>
  <c r="I5" i="17"/>
  <c r="L87" i="11"/>
  <c r="K87" i="17" s="1"/>
  <c r="N85" i="17"/>
  <c r="D84" i="17"/>
  <c r="C84" i="17"/>
  <c r="B84" i="17"/>
  <c r="A84" i="17"/>
  <c r="D83" i="17"/>
  <c r="C83" i="17"/>
  <c r="B83" i="17"/>
  <c r="A83" i="17"/>
  <c r="D82" i="17"/>
  <c r="C82" i="17"/>
  <c r="B82" i="17"/>
  <c r="A82" i="17"/>
  <c r="D81" i="17"/>
  <c r="C81" i="17"/>
  <c r="B81" i="17"/>
  <c r="A81" i="17"/>
  <c r="D80" i="17"/>
  <c r="C80" i="17"/>
  <c r="B80" i="17"/>
  <c r="A80" i="17"/>
  <c r="D79" i="17"/>
  <c r="C79" i="17"/>
  <c r="B79" i="17"/>
  <c r="A79" i="17"/>
  <c r="D78" i="17"/>
  <c r="C78" i="17"/>
  <c r="B78" i="17"/>
  <c r="A78" i="17"/>
  <c r="D77" i="17"/>
  <c r="C77" i="17"/>
  <c r="B77" i="17"/>
  <c r="A77" i="17"/>
  <c r="D76" i="17"/>
  <c r="C76" i="17"/>
  <c r="B76" i="17"/>
  <c r="A76" i="17"/>
  <c r="D75" i="17"/>
  <c r="C75" i="17"/>
  <c r="B75" i="17"/>
  <c r="A75" i="17"/>
  <c r="D74" i="17"/>
  <c r="C74" i="17"/>
  <c r="B74" i="17"/>
  <c r="A74" i="17"/>
  <c r="D73" i="17"/>
  <c r="C73" i="17"/>
  <c r="B73" i="17"/>
  <c r="A73" i="17"/>
  <c r="D72" i="17"/>
  <c r="C72" i="17"/>
  <c r="B72" i="17"/>
  <c r="A72" i="17"/>
  <c r="D71" i="17"/>
  <c r="C71" i="17"/>
  <c r="B71" i="17"/>
  <c r="A71" i="17"/>
  <c r="D70" i="17"/>
  <c r="C70" i="17"/>
  <c r="B70" i="17"/>
  <c r="A70" i="17"/>
  <c r="D69" i="17"/>
  <c r="C69" i="17"/>
  <c r="B69" i="17"/>
  <c r="A69" i="17"/>
  <c r="D68" i="17"/>
  <c r="C68" i="17"/>
  <c r="B68" i="17"/>
  <c r="A68" i="17"/>
  <c r="D67" i="17"/>
  <c r="C67" i="17"/>
  <c r="B67" i="17"/>
  <c r="A67" i="17"/>
  <c r="D66" i="17"/>
  <c r="C66" i="17"/>
  <c r="B66" i="17"/>
  <c r="A66" i="17"/>
  <c r="D65" i="17"/>
  <c r="C65" i="17"/>
  <c r="B65" i="17"/>
  <c r="A65" i="17"/>
  <c r="D64" i="17"/>
  <c r="C64" i="17"/>
  <c r="B64" i="17"/>
  <c r="A64" i="17"/>
  <c r="D63" i="17"/>
  <c r="C63" i="17"/>
  <c r="B63" i="17"/>
  <c r="A63" i="17"/>
  <c r="D62" i="17"/>
  <c r="C62" i="17"/>
  <c r="B62" i="17"/>
  <c r="A62" i="17"/>
  <c r="D61" i="17"/>
  <c r="C61" i="17"/>
  <c r="B61" i="17"/>
  <c r="A61" i="17"/>
  <c r="D60" i="17"/>
  <c r="C60" i="17"/>
  <c r="B60" i="17"/>
  <c r="A60" i="17"/>
  <c r="D59" i="17"/>
  <c r="C59" i="17"/>
  <c r="B59" i="17"/>
  <c r="A59" i="17"/>
  <c r="D58" i="17"/>
  <c r="C58" i="17"/>
  <c r="B58" i="17"/>
  <c r="A58" i="17"/>
  <c r="D57" i="17"/>
  <c r="C57" i="17"/>
  <c r="B57" i="17"/>
  <c r="A57" i="17"/>
  <c r="D56" i="17"/>
  <c r="C56" i="17"/>
  <c r="B56" i="17"/>
  <c r="A56" i="17"/>
  <c r="D55" i="17"/>
  <c r="C55" i="17"/>
  <c r="B55" i="17"/>
  <c r="A55" i="17"/>
  <c r="D54" i="17"/>
  <c r="C54" i="17"/>
  <c r="B54" i="17"/>
  <c r="A54" i="17"/>
  <c r="D53" i="17"/>
  <c r="C53" i="17"/>
  <c r="B53" i="17"/>
  <c r="A53" i="17"/>
  <c r="D52" i="17"/>
  <c r="C52" i="17"/>
  <c r="B52" i="17"/>
  <c r="A52" i="17"/>
  <c r="D51" i="17"/>
  <c r="C51" i="17"/>
  <c r="B51" i="17"/>
  <c r="A51" i="17"/>
  <c r="D50" i="17"/>
  <c r="C50" i="17"/>
  <c r="B50" i="17"/>
  <c r="A50" i="17"/>
  <c r="D49" i="17"/>
  <c r="C49" i="17"/>
  <c r="B49" i="17"/>
  <c r="A49" i="17"/>
  <c r="D48" i="17"/>
  <c r="C48" i="17"/>
  <c r="B48" i="17"/>
  <c r="A48" i="17"/>
  <c r="D47" i="17"/>
  <c r="C47" i="17"/>
  <c r="B47" i="17"/>
  <c r="A47" i="17"/>
  <c r="D46" i="17"/>
  <c r="C46" i="17"/>
  <c r="B46" i="17"/>
  <c r="A46" i="17"/>
  <c r="D45" i="17"/>
  <c r="C45" i="17"/>
  <c r="B45" i="17"/>
  <c r="A45" i="17"/>
  <c r="D44" i="17"/>
  <c r="C44" i="17"/>
  <c r="B44" i="17"/>
  <c r="A44" i="17"/>
  <c r="D43" i="17"/>
  <c r="C43" i="17"/>
  <c r="B43" i="17"/>
  <c r="A43" i="17"/>
  <c r="D42" i="17"/>
  <c r="C42" i="17"/>
  <c r="B42" i="17"/>
  <c r="A42" i="17"/>
  <c r="D41" i="17"/>
  <c r="C41" i="17"/>
  <c r="B41" i="17"/>
  <c r="A41" i="17"/>
  <c r="D40" i="17"/>
  <c r="C40" i="17"/>
  <c r="B40" i="17"/>
  <c r="A40" i="17"/>
  <c r="D39" i="17"/>
  <c r="C39" i="17"/>
  <c r="B39" i="17"/>
  <c r="A39" i="17"/>
  <c r="D38" i="17"/>
  <c r="C38" i="17"/>
  <c r="B38" i="17"/>
  <c r="A38" i="17"/>
  <c r="D37" i="17"/>
  <c r="C37" i="17"/>
  <c r="B37" i="17"/>
  <c r="A37" i="17"/>
  <c r="D36" i="17"/>
  <c r="C36" i="17"/>
  <c r="B36" i="17"/>
  <c r="A36" i="17"/>
  <c r="D35" i="17"/>
  <c r="C35" i="17"/>
  <c r="B35" i="17"/>
  <c r="A35" i="17"/>
  <c r="D34" i="17"/>
  <c r="C34" i="17"/>
  <c r="B34" i="17"/>
  <c r="A34" i="17"/>
  <c r="D33" i="17"/>
  <c r="C33" i="17"/>
  <c r="B33" i="17"/>
  <c r="A33" i="17"/>
  <c r="D32" i="17"/>
  <c r="C32" i="17"/>
  <c r="B32" i="17"/>
  <c r="A32" i="17"/>
  <c r="D31" i="17"/>
  <c r="C31" i="17"/>
  <c r="B31" i="17"/>
  <c r="A31" i="17"/>
  <c r="D30" i="17"/>
  <c r="C30" i="17"/>
  <c r="B30" i="17"/>
  <c r="A30" i="17"/>
  <c r="D29" i="17"/>
  <c r="C29" i="17"/>
  <c r="B29" i="17"/>
  <c r="A29" i="17"/>
  <c r="D28" i="17"/>
  <c r="C28" i="17"/>
  <c r="B28" i="17"/>
  <c r="A28" i="17"/>
  <c r="D27" i="17"/>
  <c r="C27" i="17"/>
  <c r="B27" i="17"/>
  <c r="A27" i="17"/>
  <c r="D26" i="17"/>
  <c r="C26" i="17"/>
  <c r="B26" i="17"/>
  <c r="A26" i="17"/>
  <c r="D25" i="17"/>
  <c r="C25" i="17"/>
  <c r="B25" i="17"/>
  <c r="A25" i="17"/>
  <c r="D24" i="17"/>
  <c r="C24" i="17"/>
  <c r="B24" i="17"/>
  <c r="A24" i="17"/>
  <c r="D23" i="17"/>
  <c r="C23" i="17"/>
  <c r="B23" i="17"/>
  <c r="A23" i="17"/>
  <c r="D22" i="17"/>
  <c r="C22" i="17"/>
  <c r="B22" i="17"/>
  <c r="A22" i="17"/>
  <c r="D21" i="17"/>
  <c r="C21" i="17"/>
  <c r="B21" i="17"/>
  <c r="A21" i="17"/>
  <c r="D20" i="17"/>
  <c r="C20" i="17"/>
  <c r="B20" i="17"/>
  <c r="A20" i="17"/>
  <c r="D19" i="17"/>
  <c r="C19" i="17"/>
  <c r="B19" i="17"/>
  <c r="A19" i="17"/>
  <c r="D18" i="17"/>
  <c r="C18" i="17"/>
  <c r="B18" i="17"/>
  <c r="A18" i="17"/>
  <c r="D17" i="17"/>
  <c r="C17" i="17"/>
  <c r="B17" i="17"/>
  <c r="A17" i="17"/>
  <c r="D16" i="17"/>
  <c r="C16" i="17"/>
  <c r="B16" i="17"/>
  <c r="A16" i="17"/>
  <c r="D15" i="17"/>
  <c r="C15" i="17"/>
  <c r="B15" i="17"/>
  <c r="A15" i="17"/>
  <c r="D14" i="17"/>
  <c r="C14" i="17"/>
  <c r="B14" i="17"/>
  <c r="A14" i="17"/>
  <c r="D13" i="17"/>
  <c r="C13" i="17"/>
  <c r="B13" i="17"/>
  <c r="A13" i="17"/>
  <c r="D12" i="17"/>
  <c r="C12" i="17"/>
  <c r="B12" i="17"/>
  <c r="A12" i="17"/>
  <c r="D11" i="17"/>
  <c r="C11" i="17"/>
  <c r="B11" i="17"/>
  <c r="A11" i="17"/>
  <c r="D10" i="17"/>
  <c r="C10" i="17"/>
  <c r="B10" i="17"/>
  <c r="A10" i="17"/>
  <c r="D9" i="17"/>
  <c r="C9" i="17"/>
  <c r="B9" i="17"/>
  <c r="A9" i="17"/>
  <c r="D8" i="17"/>
  <c r="C8" i="17"/>
  <c r="B8" i="17"/>
  <c r="A8" i="17"/>
  <c r="D7" i="17"/>
  <c r="C7" i="17"/>
  <c r="B7" i="17"/>
  <c r="A7" i="17"/>
  <c r="D6" i="17"/>
  <c r="C6" i="17"/>
  <c r="B6" i="17"/>
  <c r="A6" i="17"/>
  <c r="O5" i="17"/>
  <c r="N5" i="17"/>
  <c r="M5" i="17"/>
  <c r="L5" i="17"/>
  <c r="K5" i="17"/>
  <c r="H5" i="17"/>
  <c r="E5" i="17"/>
  <c r="D5" i="17"/>
  <c r="C5" i="17"/>
  <c r="B5" i="17"/>
  <c r="A5" i="17"/>
  <c r="O2" i="17"/>
  <c r="R2" i="17" s="1"/>
  <c r="A1" i="17"/>
  <c r="R5" i="17" s="1"/>
  <c r="AD1" i="17"/>
  <c r="AN33" i="18" l="1"/>
  <c r="AL33" i="18"/>
  <c r="AL43" i="18"/>
  <c r="AN43" i="18"/>
  <c r="AK28" i="18"/>
  <c r="G26" i="18"/>
  <c r="R6" i="17"/>
  <c r="R1" i="17"/>
  <c r="R4" i="17"/>
  <c r="BN16" i="18"/>
  <c r="AR16" i="18"/>
  <c r="AP16" i="18"/>
  <c r="AN16" i="18"/>
  <c r="AL16" i="18"/>
  <c r="AJ16" i="18"/>
  <c r="AS16" i="18"/>
  <c r="AO16" i="18"/>
  <c r="AK16" i="18"/>
  <c r="AQ16" i="18"/>
  <c r="AG16" i="18"/>
  <c r="U16" i="18"/>
  <c r="I16" i="18"/>
  <c r="AM16" i="18"/>
  <c r="AA16" i="18"/>
  <c r="O16" i="18"/>
  <c r="D16" i="18"/>
  <c r="D17" i="18"/>
  <c r="B17" i="18"/>
  <c r="R3" i="17"/>
  <c r="G85" i="11"/>
  <c r="O85" i="17" s="1"/>
  <c r="AO42" i="18" l="1"/>
  <c r="AN29" i="18"/>
  <c r="AM42" i="18"/>
  <c r="AJ42" i="18" s="1"/>
  <c r="AI42" i="18" s="1"/>
  <c r="AI27" i="18"/>
  <c r="AL29" i="18"/>
  <c r="AK45" i="18"/>
  <c r="AO45" i="18" s="1"/>
  <c r="AQ45" i="18" s="1"/>
  <c r="AR45" i="18" s="1"/>
  <c r="A18" i="18"/>
  <c r="C17" i="18"/>
  <c r="Q5" i="11"/>
  <c r="F5" i="17" s="1"/>
  <c r="Q2" i="11"/>
  <c r="S26" i="18" l="1"/>
  <c r="AO28" i="18"/>
  <c r="M26" i="18"/>
  <c r="AL26" i="18" s="1"/>
  <c r="AM28" i="18"/>
  <c r="AL27" i="18" s="1"/>
  <c r="AN7" i="18" s="1"/>
  <c r="D18" i="18"/>
  <c r="B18" i="18"/>
  <c r="BN17" i="18"/>
  <c r="AR17" i="18"/>
  <c r="AP17" i="18"/>
  <c r="AN17" i="18"/>
  <c r="AL17" i="18"/>
  <c r="AJ17" i="18"/>
  <c r="AS17" i="18"/>
  <c r="AO17" i="18"/>
  <c r="AK17" i="18"/>
  <c r="AQ17" i="18"/>
  <c r="AG17" i="18"/>
  <c r="U17" i="18"/>
  <c r="I17" i="18"/>
  <c r="AM17" i="18"/>
  <c r="AA17" i="18"/>
  <c r="O17" i="18"/>
  <c r="AK27" i="18" l="1"/>
  <c r="K27" i="18"/>
  <c r="A19" i="18"/>
  <c r="C18" i="18"/>
  <c r="C5" i="13"/>
  <c r="C19" i="13"/>
  <c r="C20" i="13"/>
  <c r="C26" i="13"/>
  <c r="BN18" i="18" l="1"/>
  <c r="AR18" i="18"/>
  <c r="AP18" i="18"/>
  <c r="AN18" i="18"/>
  <c r="AL18" i="18"/>
  <c r="AJ18" i="18"/>
  <c r="AS18" i="18"/>
  <c r="AO18" i="18"/>
  <c r="AK18" i="18"/>
  <c r="AQ18" i="18"/>
  <c r="AG18" i="18"/>
  <c r="U18" i="18"/>
  <c r="I18" i="18"/>
  <c r="AM18" i="18"/>
  <c r="AA18" i="18"/>
  <c r="O18" i="18"/>
  <c r="D19" i="18"/>
  <c r="B19" i="18"/>
  <c r="A20" i="18" l="1"/>
  <c r="C19" i="18"/>
  <c r="M85" i="11"/>
  <c r="L85" i="17" s="1"/>
  <c r="J1" i="12"/>
  <c r="J2" i="6"/>
  <c r="D20" i="18" l="1"/>
  <c r="B20" i="18"/>
  <c r="BN19" i="18"/>
  <c r="AR19" i="18"/>
  <c r="AP19" i="18"/>
  <c r="AN19" i="18"/>
  <c r="AL19" i="18"/>
  <c r="AJ19" i="18"/>
  <c r="AS19" i="18"/>
  <c r="AO19" i="18"/>
  <c r="AK19" i="18"/>
  <c r="AQ19" i="18"/>
  <c r="AG19" i="18"/>
  <c r="U19" i="18"/>
  <c r="I19" i="18"/>
  <c r="AM19" i="18"/>
  <c r="AA19" i="18"/>
  <c r="O19" i="18"/>
  <c r="Q7" i="11"/>
  <c r="F7" i="17" s="1"/>
  <c r="Q8" i="11"/>
  <c r="F8" i="17" s="1"/>
  <c r="Q9" i="11"/>
  <c r="F9" i="17" s="1"/>
  <c r="Q10" i="11"/>
  <c r="F10" i="17" s="1"/>
  <c r="Q11" i="11"/>
  <c r="F11" i="17" s="1"/>
  <c r="Q12" i="11"/>
  <c r="F12" i="17" s="1"/>
  <c r="Q13" i="11"/>
  <c r="F13" i="17" s="1"/>
  <c r="Q14" i="11"/>
  <c r="F14" i="17" s="1"/>
  <c r="Q15" i="11"/>
  <c r="F15" i="17" s="1"/>
  <c r="Q16" i="11"/>
  <c r="F16" i="17" s="1"/>
  <c r="Q17" i="11"/>
  <c r="F17" i="17" s="1"/>
  <c r="Q18" i="11"/>
  <c r="F18" i="17" s="1"/>
  <c r="Q19" i="11"/>
  <c r="F19" i="17" s="1"/>
  <c r="Q20" i="11"/>
  <c r="F20" i="17" s="1"/>
  <c r="Q21" i="11"/>
  <c r="F21" i="17" s="1"/>
  <c r="Q22" i="11"/>
  <c r="F22" i="17" s="1"/>
  <c r="Q23" i="11"/>
  <c r="F23" i="17" s="1"/>
  <c r="Q24" i="11"/>
  <c r="F24" i="17" s="1"/>
  <c r="Q25" i="11"/>
  <c r="F25" i="17" s="1"/>
  <c r="Q26" i="11"/>
  <c r="F26" i="17" s="1"/>
  <c r="Q27" i="11"/>
  <c r="F27" i="17" s="1"/>
  <c r="Q28" i="11"/>
  <c r="F28" i="17" s="1"/>
  <c r="Q29" i="11"/>
  <c r="F29" i="17" s="1"/>
  <c r="Q30" i="11"/>
  <c r="F30" i="17" s="1"/>
  <c r="Q31" i="11"/>
  <c r="F31" i="17" s="1"/>
  <c r="Q32" i="11"/>
  <c r="F32" i="17" s="1"/>
  <c r="Q33" i="11"/>
  <c r="F33" i="17" s="1"/>
  <c r="Q34" i="11"/>
  <c r="F34" i="17" s="1"/>
  <c r="F42" i="17"/>
  <c r="F43" i="17"/>
  <c r="F44" i="17"/>
  <c r="F45" i="17"/>
  <c r="F46" i="17"/>
  <c r="Q6" i="11"/>
  <c r="F6" i="17" s="1"/>
  <c r="A21" i="18" l="1"/>
  <c r="C20" i="18"/>
  <c r="O85" i="11"/>
  <c r="M85" i="17" s="1"/>
  <c r="K85" i="11"/>
  <c r="I85" i="17" s="1"/>
  <c r="J85" i="11"/>
  <c r="J85" i="17" s="1"/>
  <c r="H85" i="11"/>
  <c r="L85" i="11"/>
  <c r="Q85" i="11"/>
  <c r="F85" i="17" s="1"/>
  <c r="L89" i="11" l="1"/>
  <c r="K89" i="17" s="1"/>
  <c r="K85" i="17"/>
  <c r="D21" i="18"/>
  <c r="B21" i="18"/>
  <c r="BN20" i="18"/>
  <c r="AR20" i="18"/>
  <c r="AP20" i="18"/>
  <c r="AN20" i="18"/>
  <c r="AL20" i="18"/>
  <c r="AJ20" i="18"/>
  <c r="AS20" i="18"/>
  <c r="AO20" i="18"/>
  <c r="AK20" i="18"/>
  <c r="AQ20" i="18"/>
  <c r="AG20" i="18"/>
  <c r="U20" i="18"/>
  <c r="I20" i="18"/>
  <c r="AM20" i="18"/>
  <c r="AA20" i="18"/>
  <c r="O20" i="18"/>
  <c r="H85" i="17"/>
  <c r="F36" i="1"/>
  <c r="A22" i="18" l="1"/>
  <c r="C21" i="18"/>
  <c r="D22" i="18" l="1"/>
  <c r="B22" i="18"/>
  <c r="BN21" i="18"/>
  <c r="AR21" i="18"/>
  <c r="AP21" i="18"/>
  <c r="AN21" i="18"/>
  <c r="AL21" i="18"/>
  <c r="AJ21" i="18"/>
  <c r="AS21" i="18"/>
  <c r="AO21" i="18"/>
  <c r="AK21" i="18"/>
  <c r="AQ21" i="18"/>
  <c r="AG21" i="18"/>
  <c r="U21" i="18"/>
  <c r="I21" i="18"/>
  <c r="AM21" i="18"/>
  <c r="AA21" i="18"/>
  <c r="O21" i="18"/>
  <c r="J85" i="1"/>
  <c r="A23" i="18" l="1"/>
  <c r="C22" i="18"/>
  <c r="H59" i="5"/>
  <c r="B23" i="18" l="1"/>
  <c r="C23" i="18" s="1"/>
  <c r="D23" i="18"/>
  <c r="BN22" i="18"/>
  <c r="AR22" i="18"/>
  <c r="AP22" i="18"/>
  <c r="AN22" i="18"/>
  <c r="AL22" i="18"/>
  <c r="AJ22" i="18"/>
  <c r="AS22" i="18"/>
  <c r="AO22" i="18"/>
  <c r="AK22" i="18"/>
  <c r="AQ22" i="18"/>
  <c r="AG22" i="18"/>
  <c r="U22" i="18"/>
  <c r="I22" i="18"/>
  <c r="AM22" i="18"/>
  <c r="AA22" i="18"/>
  <c r="O22" i="18"/>
  <c r="AS23" i="18" l="1"/>
  <c r="AQ23" i="18"/>
  <c r="AO23" i="18"/>
  <c r="AM23" i="18"/>
  <c r="AK23" i="18"/>
  <c r="AP23" i="18"/>
  <c r="AL23" i="18"/>
  <c r="BN23" i="18"/>
  <c r="BN25" i="18" s="1"/>
  <c r="N27" i="18" s="1"/>
  <c r="AN23" i="18"/>
  <c r="AJ23" i="18"/>
  <c r="AR23" i="18"/>
  <c r="O23" i="18"/>
  <c r="O25" i="18" s="1"/>
  <c r="U23" i="18"/>
  <c r="U25" i="18" s="1"/>
  <c r="AA23" i="18"/>
  <c r="AA25" i="18" s="1"/>
  <c r="I23" i="18"/>
  <c r="I25" i="18" s="1"/>
  <c r="AG23" i="18"/>
  <c r="AG25" i="18" s="1"/>
  <c r="AL25" i="18" l="1"/>
  <c r="AN25" i="18" s="1"/>
  <c r="S28" i="18" l="1"/>
  <c r="L27" i="18"/>
  <c r="AO25" i="18"/>
  <c r="A28" i="18" l="1"/>
  <c r="AP25" i="18"/>
  <c r="AQ25" i="18" s="1"/>
  <c r="A27" i="18"/>
  <c r="E95" i="1"/>
  <c r="E94" i="1"/>
  <c r="D95" i="1"/>
  <c r="D94" i="1"/>
  <c r="M1" i="5"/>
  <c r="A29" i="18" l="1"/>
  <c r="AF27" i="18"/>
  <c r="A30" i="18" l="1"/>
  <c r="D29" i="18"/>
  <c r="D30" i="18"/>
  <c r="A17" i="3"/>
  <c r="A18" i="3"/>
  <c r="A19" i="3"/>
  <c r="A20" i="3"/>
  <c r="D19" i="3"/>
  <c r="D20" i="3"/>
  <c r="D18" i="3"/>
  <c r="E51" i="1" l="1"/>
  <c r="D4" i="5"/>
  <c r="A40" i="6" l="1"/>
  <c r="G100" i="1" s="1"/>
  <c r="E41" i="6"/>
  <c r="L10" i="6"/>
  <c r="F10" i="6" s="1"/>
  <c r="M10" i="6" s="1"/>
  <c r="H10" i="6" s="1"/>
  <c r="L11" i="6"/>
  <c r="F11" i="6" s="1"/>
  <c r="M11" i="6" s="1"/>
  <c r="H11" i="6" s="1"/>
  <c r="L12" i="6"/>
  <c r="F12" i="6" s="1"/>
  <c r="M12" i="6" s="1"/>
  <c r="H12" i="6" s="1"/>
  <c r="L13" i="6"/>
  <c r="F13" i="6" s="1"/>
  <c r="M13" i="6" s="1"/>
  <c r="H13" i="6" s="1"/>
  <c r="L14" i="6"/>
  <c r="F14" i="6" s="1"/>
  <c r="M14" i="6" s="1"/>
  <c r="H14" i="6" s="1"/>
  <c r="L15" i="6"/>
  <c r="F15" i="6" s="1"/>
  <c r="M15" i="6" s="1"/>
  <c r="H15" i="6" s="1"/>
  <c r="L16" i="6"/>
  <c r="F16" i="6" s="1"/>
  <c r="M16" i="6" s="1"/>
  <c r="H16" i="6" s="1"/>
  <c r="L17" i="6"/>
  <c r="F17" i="6" s="1"/>
  <c r="M17" i="6" s="1"/>
  <c r="L18" i="6"/>
  <c r="F18" i="6" s="1"/>
  <c r="M18" i="6" s="1"/>
  <c r="H18" i="6" s="1"/>
  <c r="L19" i="6"/>
  <c r="F19" i="6" s="1"/>
  <c r="M19" i="6" s="1"/>
  <c r="H19" i="6" s="1"/>
  <c r="L20" i="6"/>
  <c r="F20" i="6" s="1"/>
  <c r="M20" i="6" s="1"/>
  <c r="H20" i="6" s="1"/>
  <c r="L21" i="6"/>
  <c r="F21" i="6" s="1"/>
  <c r="M21" i="6" s="1"/>
  <c r="H21" i="6" s="1"/>
  <c r="L22" i="6"/>
  <c r="F22" i="6" s="1"/>
  <c r="M22" i="6" s="1"/>
  <c r="H22" i="6" s="1"/>
  <c r="L23" i="6"/>
  <c r="F23" i="6" s="1"/>
  <c r="M23" i="6" s="1"/>
  <c r="H23" i="6" s="1"/>
  <c r="L24" i="6"/>
  <c r="F24" i="6" s="1"/>
  <c r="M24" i="6" s="1"/>
  <c r="H24" i="6" s="1"/>
  <c r="L25" i="6"/>
  <c r="F25" i="6" s="1"/>
  <c r="M25" i="6" s="1"/>
  <c r="H25" i="6" s="1"/>
  <c r="L26" i="6"/>
  <c r="F26" i="6" s="1"/>
  <c r="M26" i="6" s="1"/>
  <c r="H26" i="6" s="1"/>
  <c r="L27" i="6"/>
  <c r="F27" i="6" s="1"/>
  <c r="M27" i="6" s="1"/>
  <c r="H27" i="6" s="1"/>
  <c r="L28" i="6"/>
  <c r="F28" i="6" s="1"/>
  <c r="M28" i="6" s="1"/>
  <c r="H28" i="6" s="1"/>
  <c r="L29" i="6"/>
  <c r="F29" i="6" s="1"/>
  <c r="M29" i="6" s="1"/>
  <c r="H29" i="6" s="1"/>
  <c r="L30" i="6"/>
  <c r="F30" i="6" s="1"/>
  <c r="M30" i="6" s="1"/>
  <c r="H30" i="6" s="1"/>
  <c r="L31" i="6"/>
  <c r="F31" i="6" s="1"/>
  <c r="M31" i="6" s="1"/>
  <c r="H31" i="6" s="1"/>
  <c r="L32" i="6"/>
  <c r="F32" i="6" s="1"/>
  <c r="M32" i="6" s="1"/>
  <c r="H32" i="6" s="1"/>
  <c r="L33" i="6"/>
  <c r="F33" i="6" s="1"/>
  <c r="M33" i="6" s="1"/>
  <c r="H33" i="6" s="1"/>
  <c r="L34" i="6"/>
  <c r="F34" i="6" s="1"/>
  <c r="M34" i="6" s="1"/>
  <c r="H34" i="6" s="1"/>
  <c r="L35" i="6"/>
  <c r="F35" i="6" s="1"/>
  <c r="M35" i="6" s="1"/>
  <c r="H35" i="6" s="1"/>
  <c r="L36" i="6"/>
  <c r="F36" i="6" s="1"/>
  <c r="M36" i="6" s="1"/>
  <c r="H36" i="6" s="1"/>
  <c r="L37" i="6"/>
  <c r="F37" i="6" s="1"/>
  <c r="M37" i="6" s="1"/>
  <c r="H37" i="6" s="1"/>
  <c r="B38" i="6"/>
  <c r="C38" i="6"/>
  <c r="D38" i="6"/>
  <c r="E38" i="6"/>
  <c r="H38" i="6" l="1"/>
  <c r="F38" i="6"/>
  <c r="L38" i="1"/>
  <c r="D100" i="1" l="1"/>
  <c r="H87" i="11"/>
  <c r="L63" i="1"/>
  <c r="E238" i="2"/>
  <c r="H87" i="17" l="1"/>
  <c r="H89" i="11"/>
  <c r="H89" i="17" s="1"/>
  <c r="I60" i="5"/>
  <c r="K60" i="5" s="1"/>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C6" i="5"/>
  <c r="F5" i="5"/>
  <c r="L61" i="5" l="1"/>
  <c r="M58" i="5"/>
  <c r="F61" i="5" l="1"/>
  <c r="K63" i="5"/>
  <c r="D93" i="1"/>
  <c r="D96" i="1" s="1"/>
  <c r="K62" i="5"/>
  <c r="G61" i="5"/>
  <c r="M63" i="1"/>
  <c r="I70" i="1"/>
  <c r="M71" i="1"/>
  <c r="F73" i="1" s="1"/>
  <c r="G68" i="1"/>
  <c r="C68" i="1"/>
  <c r="E93" i="1" l="1"/>
  <c r="O73" i="1"/>
  <c r="E74" i="1" s="1"/>
  <c r="O71" i="1" l="1"/>
  <c r="N71" i="1" s="1"/>
  <c r="F74" i="1" l="1"/>
  <c r="L73" i="1"/>
  <c r="F76" i="1"/>
  <c r="D74" i="1"/>
  <c r="F77" i="1"/>
  <c r="G77" i="1" l="1"/>
  <c r="B93" i="17"/>
  <c r="E60" i="1"/>
  <c r="M15" i="3" l="1"/>
  <c r="M16" i="3"/>
  <c r="M17" i="3"/>
  <c r="M18" i="3"/>
  <c r="L59" i="1" s="1"/>
  <c r="H61" i="1" s="1"/>
  <c r="M19" i="3"/>
  <c r="M20" i="3"/>
  <c r="M21" i="3"/>
  <c r="M22" i="3"/>
  <c r="M23" i="3"/>
  <c r="M24" i="3"/>
  <c r="M25" i="3"/>
  <c r="M26" i="3"/>
  <c r="M27" i="3"/>
  <c r="M28" i="3"/>
  <c r="M29" i="3"/>
  <c r="M30" i="3"/>
  <c r="M31" i="3"/>
  <c r="M32" i="3"/>
  <c r="M33" i="3"/>
  <c r="M34" i="3"/>
  <c r="M35" i="3"/>
  <c r="M36" i="3"/>
  <c r="M37" i="3"/>
  <c r="M38" i="3"/>
  <c r="M39" i="3"/>
  <c r="M40" i="3"/>
  <c r="M41" i="3"/>
  <c r="M42" i="3"/>
  <c r="M14" i="3"/>
  <c r="L60" i="1" l="1"/>
  <c r="M61" i="1" s="1"/>
  <c r="F60" i="1"/>
  <c r="G61" i="1"/>
  <c r="C33" i="3"/>
  <c r="L61" i="1" l="1"/>
  <c r="I32" i="1" s="1"/>
  <c r="I61" i="1"/>
  <c r="J31" i="1" l="1"/>
  <c r="B27" i="3" l="1"/>
  <c r="L37" i="1" l="1"/>
  <c r="E37" i="1"/>
  <c r="F37" i="1" s="1"/>
  <c r="E18" i="1"/>
  <c r="C18" i="1"/>
  <c r="D37" i="1" l="1"/>
  <c r="I35" i="1" l="1"/>
  <c r="J27" i="1"/>
  <c r="G26" i="1"/>
  <c r="L24" i="1" l="1"/>
  <c r="A3" i="3" l="1"/>
  <c r="A4" i="3"/>
  <c r="A5" i="3"/>
  <c r="A6" i="3"/>
  <c r="A7" i="3"/>
  <c r="A8" i="3"/>
  <c r="A9" i="3"/>
  <c r="A10" i="3"/>
  <c r="A11" i="3"/>
  <c r="A12" i="3"/>
  <c r="A13" i="3"/>
  <c r="A14" i="3"/>
  <c r="A15" i="3"/>
  <c r="A16" i="3"/>
  <c r="L55" i="1" l="1"/>
  <c r="F26" i="1"/>
  <c r="E26" i="1"/>
  <c r="F22" i="1" l="1"/>
  <c r="H24" i="1" l="1"/>
  <c r="G21" i="1" l="1"/>
  <c r="G23" i="1"/>
  <c r="G22" i="1"/>
  <c r="G24" i="1"/>
  <c r="H21" i="1"/>
  <c r="H22" i="1"/>
  <c r="H23" i="1"/>
  <c r="M13" i="1"/>
  <c r="M14" i="1"/>
  <c r="M15" i="1"/>
  <c r="M12" i="1"/>
  <c r="L12" i="1"/>
  <c r="C21" i="1" s="1"/>
  <c r="H31" i="1" l="1"/>
  <c r="G31" i="1"/>
  <c r="L15" i="1"/>
  <c r="C24" i="1" s="1"/>
  <c r="L66" i="1" s="1"/>
  <c r="H66" i="1" s="1"/>
  <c r="O66" i="1" s="1"/>
  <c r="L14" i="1"/>
  <c r="C23" i="1" s="1"/>
  <c r="L13" i="1"/>
  <c r="C22" i="1" s="1"/>
  <c r="G66" i="1" l="1"/>
  <c r="I66" i="1"/>
  <c r="C26" i="1"/>
  <c r="J92" i="17" s="1"/>
  <c r="L5" i="1"/>
  <c r="C7" i="1" s="1"/>
  <c r="R1" i="18" s="1"/>
  <c r="A2" i="11" l="1"/>
  <c r="A2" i="17" s="1"/>
  <c r="C2" i="13"/>
  <c r="H68" i="1"/>
  <c r="I68" i="1" s="1"/>
  <c r="A1" i="12"/>
  <c r="A3" i="6"/>
  <c r="G3" i="6" s="1"/>
  <c r="L1" i="5"/>
  <c r="I5" i="1"/>
  <c r="H7" i="1"/>
  <c r="L51" i="1" l="1"/>
  <c r="G7" i="1"/>
  <c r="D16" i="1" l="1"/>
  <c r="D31" i="1" s="1"/>
  <c r="E16" i="1"/>
  <c r="E31" i="1" s="1"/>
  <c r="E32" i="1" s="1"/>
  <c r="F16" i="1"/>
  <c r="G16" i="1"/>
  <c r="H16" i="1"/>
  <c r="J16" i="1"/>
  <c r="H31" i="18" s="1"/>
  <c r="C16" i="1"/>
  <c r="D17" i="3"/>
  <c r="D16" i="3"/>
  <c r="D15" i="3"/>
  <c r="D14" i="3"/>
  <c r="D13" i="3"/>
  <c r="D12" i="3"/>
  <c r="D11" i="3"/>
  <c r="D10" i="3"/>
  <c r="D9" i="3"/>
  <c r="D8" i="3"/>
  <c r="D7" i="3"/>
  <c r="D6" i="3"/>
  <c r="D5" i="3"/>
  <c r="D4" i="3"/>
  <c r="J3" i="3"/>
  <c r="J4" i="3" s="1"/>
  <c r="J5" i="3" s="1"/>
  <c r="D3" i="3"/>
  <c r="F2" i="3"/>
  <c r="F3" i="3" s="1"/>
  <c r="F4" i="3" s="1"/>
  <c r="F5" i="3" s="1"/>
  <c r="F6" i="3" s="1"/>
  <c r="F7" i="3" s="1"/>
  <c r="F8" i="3" s="1"/>
  <c r="F9" i="3" s="1"/>
  <c r="F10" i="3" s="1"/>
  <c r="F11" i="3" s="1"/>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F61" i="3" s="1"/>
  <c r="F62" i="3" s="1"/>
  <c r="F63" i="3" s="1"/>
  <c r="F64" i="3" s="1"/>
  <c r="F65" i="3" s="1"/>
  <c r="F66" i="3" s="1"/>
  <c r="F67" i="3" s="1"/>
  <c r="F68" i="3" s="1"/>
  <c r="F69" i="3" s="1"/>
  <c r="F70" i="3" s="1"/>
  <c r="F71" i="3" s="1"/>
  <c r="F72" i="3" s="1"/>
  <c r="F73" i="3" s="1"/>
  <c r="F74" i="3" s="1"/>
  <c r="F75" i="3" s="1"/>
  <c r="F76" i="3" s="1"/>
  <c r="F77" i="3" s="1"/>
  <c r="F78" i="3" s="1"/>
  <c r="F79" i="3" s="1"/>
  <c r="F80" i="3" s="1"/>
  <c r="F81" i="3" s="1"/>
  <c r="F82" i="3" s="1"/>
  <c r="F83" i="3" s="1"/>
  <c r="F84" i="3" s="1"/>
  <c r="F85" i="3" s="1"/>
  <c r="F86" i="3" s="1"/>
  <c r="F87" i="3" s="1"/>
  <c r="F88" i="3" s="1"/>
  <c r="F89" i="3" s="1"/>
  <c r="F90" i="3" s="1"/>
  <c r="F91" i="3" s="1"/>
  <c r="F92" i="3" s="1"/>
  <c r="F93" i="3" s="1"/>
  <c r="F94" i="3" s="1"/>
  <c r="F95" i="3" s="1"/>
  <c r="F96" i="3" s="1"/>
  <c r="F97" i="3" s="1"/>
  <c r="F98" i="3" s="1"/>
  <c r="F99" i="3" s="1"/>
  <c r="F100" i="3" s="1"/>
  <c r="F101" i="3" s="1"/>
  <c r="F102" i="3" s="1"/>
  <c r="F103" i="3" s="1"/>
  <c r="F104" i="3" s="1"/>
  <c r="F105" i="3" s="1"/>
  <c r="F106" i="3" s="1"/>
  <c r="F107" i="3" s="1"/>
  <c r="F108" i="3" s="1"/>
  <c r="F109" i="3" s="1"/>
  <c r="F110" i="3" s="1"/>
  <c r="F111" i="3" s="1"/>
  <c r="F112" i="3" s="1"/>
  <c r="F113" i="3" s="1"/>
  <c r="F114" i="3" s="1"/>
  <c r="F115" i="3" s="1"/>
  <c r="F116" i="3" s="1"/>
  <c r="F117" i="3" s="1"/>
  <c r="F118" i="3" s="1"/>
  <c r="F119" i="3" s="1"/>
  <c r="F120" i="3" s="1"/>
  <c r="F121" i="3" s="1"/>
  <c r="F122" i="3" s="1"/>
  <c r="F123" i="3" s="1"/>
  <c r="F124" i="3" s="1"/>
  <c r="F125" i="3" s="1"/>
  <c r="F126" i="3" s="1"/>
  <c r="F127" i="3" s="1"/>
  <c r="F128" i="3" s="1"/>
  <c r="F129" i="3" s="1"/>
  <c r="F130" i="3" s="1"/>
  <c r="F131" i="3" s="1"/>
  <c r="F132" i="3" s="1"/>
  <c r="F133" i="3" s="1"/>
  <c r="F134" i="3" s="1"/>
  <c r="F135" i="3" s="1"/>
  <c r="F136" i="3" s="1"/>
  <c r="F137" i="3" s="1"/>
  <c r="F138" i="3" s="1"/>
  <c r="F139" i="3" s="1"/>
  <c r="F140" i="3" s="1"/>
  <c r="F141" i="3" s="1"/>
  <c r="F142" i="3" s="1"/>
  <c r="F143" i="3" s="1"/>
  <c r="F144" i="3" s="1"/>
  <c r="F145" i="3" s="1"/>
  <c r="F146" i="3" s="1"/>
  <c r="F147" i="3" s="1"/>
  <c r="F148" i="3" s="1"/>
  <c r="F149" i="3" s="1"/>
  <c r="F150" i="3" s="1"/>
  <c r="F151" i="3" s="1"/>
  <c r="F1" i="2"/>
  <c r="D1" i="2"/>
  <c r="I31" i="18" l="1"/>
  <c r="G31" i="18"/>
  <c r="BD28" i="18"/>
  <c r="BD29" i="18" s="1"/>
  <c r="D40" i="18"/>
  <c r="S27" i="18"/>
  <c r="H63" i="1"/>
  <c r="I63" i="1" s="1"/>
  <c r="E36" i="1"/>
  <c r="D77" i="1"/>
  <c r="E50" i="1"/>
  <c r="F152" i="3"/>
  <c r="F153" i="3" s="1"/>
  <c r="F154" i="3" s="1"/>
  <c r="F155" i="3" s="1"/>
  <c r="F156" i="3" s="1"/>
  <c r="F157" i="3" s="1"/>
  <c r="F158" i="3" s="1"/>
  <c r="F159" i="3" s="1"/>
  <c r="F160" i="3" s="1"/>
  <c r="F161" i="3" s="1"/>
  <c r="F162" i="3" s="1"/>
  <c r="F163" i="3" s="1"/>
  <c r="F164" i="3" s="1"/>
  <c r="F165" i="3" s="1"/>
  <c r="F166" i="3" s="1"/>
  <c r="F167" i="3" s="1"/>
  <c r="F168" i="3" s="1"/>
  <c r="F169" i="3" s="1"/>
  <c r="F170" i="3" s="1"/>
  <c r="F171" i="3" s="1"/>
  <c r="F172" i="3" s="1"/>
  <c r="F173" i="3" s="1"/>
  <c r="F174" i="3" s="1"/>
  <c r="F175" i="3" s="1"/>
  <c r="F176" i="3" s="1"/>
  <c r="F177" i="3" s="1"/>
  <c r="F178" i="3" s="1"/>
  <c r="F179" i="3" s="1"/>
  <c r="F180" i="3" s="1"/>
  <c r="F181" i="3" s="1"/>
  <c r="F182" i="3" s="1"/>
  <c r="F183" i="3" s="1"/>
  <c r="F184" i="3" s="1"/>
  <c r="F185" i="3" s="1"/>
  <c r="F186" i="3" s="1"/>
  <c r="F187" i="3" s="1"/>
  <c r="F188" i="3" s="1"/>
  <c r="F189" i="3" s="1"/>
  <c r="F190" i="3" s="1"/>
  <c r="F191" i="3" s="1"/>
  <c r="F192" i="3" s="1"/>
  <c r="F193" i="3" s="1"/>
  <c r="F194" i="3" s="1"/>
  <c r="F195" i="3" s="1"/>
  <c r="F196" i="3" s="1"/>
  <c r="F197" i="3" s="1"/>
  <c r="F198" i="3" s="1"/>
  <c r="F199" i="3" s="1"/>
  <c r="F200" i="3" s="1"/>
  <c r="F201" i="3" s="1"/>
  <c r="F202" i="3" s="1"/>
  <c r="F203" i="3" s="1"/>
  <c r="F204" i="3" s="1"/>
  <c r="F205" i="3" s="1"/>
  <c r="F206" i="3" s="1"/>
  <c r="F207" i="3" s="1"/>
  <c r="F208" i="3" s="1"/>
  <c r="F209" i="3" s="1"/>
  <c r="F210" i="3" s="1"/>
  <c r="F211" i="3" s="1"/>
  <c r="F212" i="3" s="1"/>
  <c r="F213" i="3" s="1"/>
  <c r="F214" i="3" s="1"/>
  <c r="F215" i="3" s="1"/>
  <c r="F216" i="3" s="1"/>
  <c r="F217" i="3" s="1"/>
  <c r="F218" i="3" s="1"/>
  <c r="F219" i="3" s="1"/>
  <c r="F220" i="3" s="1"/>
  <c r="F221" i="3" s="1"/>
  <c r="F222" i="3" s="1"/>
  <c r="F223" i="3" s="1"/>
  <c r="F224" i="3" s="1"/>
  <c r="F225" i="3" s="1"/>
  <c r="F226" i="3" s="1"/>
  <c r="F227" i="3" s="1"/>
  <c r="F228" i="3" s="1"/>
  <c r="F229" i="3" s="1"/>
  <c r="F230" i="3" s="1"/>
  <c r="F231" i="3" s="1"/>
  <c r="F232" i="3" s="1"/>
  <c r="F233" i="3" s="1"/>
  <c r="F234" i="3" s="1"/>
  <c r="F235" i="3" s="1"/>
  <c r="F236" i="3" s="1"/>
  <c r="F237" i="3" s="1"/>
  <c r="F238" i="3" s="1"/>
  <c r="F239" i="3" s="1"/>
  <c r="F240" i="3" s="1"/>
  <c r="F241" i="3" s="1"/>
  <c r="F242" i="3" s="1"/>
  <c r="F243" i="3" s="1"/>
  <c r="F244" i="3" s="1"/>
  <c r="F245" i="3" s="1"/>
  <c r="F246" i="3" s="1"/>
  <c r="F247" i="3" s="1"/>
  <c r="F248" i="3" s="1"/>
  <c r="F249" i="3" s="1"/>
  <c r="F250" i="3" s="1"/>
  <c r="F251" i="3" s="1"/>
  <c r="F252" i="3" s="1"/>
  <c r="F253" i="3" s="1"/>
  <c r="F254" i="3" s="1"/>
  <c r="F255" i="3" s="1"/>
  <c r="F256" i="3" s="1"/>
  <c r="F257" i="3" s="1"/>
  <c r="F258" i="3" s="1"/>
  <c r="F259" i="3" s="1"/>
  <c r="F260" i="3" s="1"/>
  <c r="F261" i="3" s="1"/>
  <c r="F262" i="3" s="1"/>
  <c r="F263" i="3" s="1"/>
  <c r="F264" i="3" s="1"/>
  <c r="F265" i="3" s="1"/>
  <c r="F266" i="3" s="1"/>
  <c r="F267" i="3" s="1"/>
  <c r="F268" i="3" s="1"/>
  <c r="F269" i="3" s="1"/>
  <c r="F270" i="3" s="1"/>
  <c r="F271" i="3" s="1"/>
  <c r="F272" i="3" s="1"/>
  <c r="F273" i="3" s="1"/>
  <c r="F274" i="3" s="1"/>
  <c r="F275" i="3" s="1"/>
  <c r="F276" i="3" s="1"/>
  <c r="F277" i="3" s="1"/>
  <c r="F278" i="3" s="1"/>
  <c r="F279" i="3" s="1"/>
  <c r="F280" i="3" s="1"/>
  <c r="F281" i="3" s="1"/>
  <c r="F282" i="3" s="1"/>
  <c r="F283" i="3" s="1"/>
  <c r="F284" i="3" s="1"/>
  <c r="F285" i="3" s="1"/>
  <c r="F286" i="3" s="1"/>
  <c r="F287" i="3" s="1"/>
  <c r="F288" i="3" s="1"/>
  <c r="F289" i="3" s="1"/>
  <c r="F290" i="3" s="1"/>
  <c r="F291" i="3" s="1"/>
  <c r="F292" i="3" s="1"/>
  <c r="F293" i="3" s="1"/>
  <c r="F294" i="3" s="1"/>
  <c r="F295" i="3" s="1"/>
  <c r="F296" i="3" s="1"/>
  <c r="F297" i="3" s="1"/>
  <c r="F298" i="3" s="1"/>
  <c r="F299" i="3" s="1"/>
  <c r="F300" i="3" s="1"/>
  <c r="F301" i="3" s="1"/>
  <c r="F302" i="3" s="1"/>
  <c r="F303" i="3" s="1"/>
  <c r="F304" i="3" s="1"/>
  <c r="F305" i="3" s="1"/>
  <c r="F306" i="3" s="1"/>
  <c r="F307" i="3" s="1"/>
  <c r="F308" i="3" s="1"/>
  <c r="F309" i="3" s="1"/>
  <c r="F310" i="3" s="1"/>
  <c r="F311" i="3" s="1"/>
  <c r="F312" i="3" s="1"/>
  <c r="F313" i="3" s="1"/>
  <c r="F314" i="3" s="1"/>
  <c r="F315" i="3" s="1"/>
  <c r="F316" i="3" s="1"/>
  <c r="F317" i="3" s="1"/>
  <c r="F318" i="3" s="1"/>
  <c r="F319" i="3" s="1"/>
  <c r="F320" i="3" s="1"/>
  <c r="F321" i="3" s="1"/>
  <c r="F322" i="3" s="1"/>
  <c r="F323" i="3" s="1"/>
  <c r="F324" i="3" s="1"/>
  <c r="F325" i="3" s="1"/>
  <c r="F326" i="3" s="1"/>
  <c r="F327" i="3" s="1"/>
  <c r="F328" i="3" s="1"/>
  <c r="F329" i="3" s="1"/>
  <c r="F330" i="3" s="1"/>
  <c r="F331" i="3" s="1"/>
  <c r="F332" i="3" s="1"/>
  <c r="F333" i="3" s="1"/>
  <c r="F334" i="3" s="1"/>
  <c r="F335" i="3" s="1"/>
  <c r="F336" i="3" s="1"/>
  <c r="F337" i="3" s="1"/>
  <c r="F338" i="3" s="1"/>
  <c r="F339" i="3" s="1"/>
  <c r="F340" i="3" s="1"/>
  <c r="F341" i="3" s="1"/>
  <c r="F342" i="3" s="1"/>
  <c r="F343" i="3" s="1"/>
  <c r="F344" i="3" s="1"/>
  <c r="F345" i="3" s="1"/>
  <c r="F346" i="3" s="1"/>
  <c r="F347" i="3" s="1"/>
  <c r="F348" i="3" s="1"/>
  <c r="F349" i="3" s="1"/>
  <c r="F350" i="3" s="1"/>
  <c r="F351" i="3" s="1"/>
  <c r="F352" i="3" s="1"/>
  <c r="F353" i="3" s="1"/>
  <c r="F354" i="3" s="1"/>
  <c r="F355" i="3" s="1"/>
  <c r="F356" i="3" s="1"/>
  <c r="F357" i="3" s="1"/>
  <c r="F358" i="3" s="1"/>
  <c r="F359" i="3" s="1"/>
  <c r="F360" i="3" s="1"/>
  <c r="F361" i="3" s="1"/>
  <c r="F362" i="3" s="1"/>
  <c r="F363" i="3" s="1"/>
  <c r="F364" i="3" s="1"/>
  <c r="F365" i="3" s="1"/>
  <c r="F366" i="3" s="1"/>
  <c r="F367" i="3" s="1"/>
  <c r="F368" i="3" s="1"/>
  <c r="F369" i="3" s="1"/>
  <c r="F370" i="3" s="1"/>
  <c r="F371" i="3" s="1"/>
  <c r="F372" i="3" s="1"/>
  <c r="F373" i="3" s="1"/>
  <c r="F374" i="3" s="1"/>
  <c r="F375" i="3" s="1"/>
  <c r="F376" i="3" s="1"/>
  <c r="F377" i="3" s="1"/>
  <c r="F378" i="3" s="1"/>
  <c r="F379" i="3" s="1"/>
  <c r="F380" i="3" s="1"/>
  <c r="F381" i="3" s="1"/>
  <c r="F382" i="3" s="1"/>
  <c r="F383" i="3" s="1"/>
  <c r="F384" i="3" s="1"/>
  <c r="F385" i="3" s="1"/>
  <c r="F386" i="3" s="1"/>
  <c r="F387" i="3" s="1"/>
  <c r="F388" i="3" s="1"/>
  <c r="F389" i="3" s="1"/>
  <c r="F390" i="3" s="1"/>
  <c r="F391" i="3" s="1"/>
  <c r="F392" i="3" s="1"/>
  <c r="F393" i="3" s="1"/>
  <c r="F394" i="3" s="1"/>
  <c r="F395" i="3" s="1"/>
  <c r="F396" i="3" s="1"/>
  <c r="F397" i="3" s="1"/>
  <c r="F398" i="3" s="1"/>
  <c r="F399" i="3" s="1"/>
  <c r="F400" i="3" s="1"/>
  <c r="F401" i="3" s="1"/>
  <c r="F402" i="3" s="1"/>
  <c r="F403" i="3" s="1"/>
  <c r="F404" i="3" s="1"/>
  <c r="F405" i="3" s="1"/>
  <c r="F406" i="3" s="1"/>
  <c r="F407" i="3" s="1"/>
  <c r="F408" i="3" s="1"/>
  <c r="F409" i="3" s="1"/>
  <c r="F410" i="3" s="1"/>
  <c r="F411" i="3" s="1"/>
  <c r="F412" i="3" s="1"/>
  <c r="F413" i="3" s="1"/>
  <c r="F414" i="3" s="1"/>
  <c r="F415" i="3" s="1"/>
  <c r="F416" i="3" s="1"/>
  <c r="F417" i="3" s="1"/>
  <c r="F418" i="3" s="1"/>
  <c r="F419" i="3" s="1"/>
  <c r="F420" i="3" s="1"/>
  <c r="F421" i="3" s="1"/>
  <c r="F422" i="3" s="1"/>
  <c r="F423" i="3" s="1"/>
  <c r="F424" i="3" s="1"/>
  <c r="F425" i="3" s="1"/>
  <c r="F426" i="3" s="1"/>
  <c r="F427" i="3" s="1"/>
  <c r="F428" i="3" s="1"/>
  <c r="F429" i="3" s="1"/>
  <c r="F430" i="3" s="1"/>
  <c r="F431" i="3" s="1"/>
  <c r="F432" i="3" s="1"/>
  <c r="F433" i="3" s="1"/>
  <c r="F434" i="3" s="1"/>
  <c r="F435" i="3" s="1"/>
  <c r="F436" i="3" s="1"/>
  <c r="F437" i="3" s="1"/>
  <c r="F438" i="3" s="1"/>
  <c r="F439" i="3" s="1"/>
  <c r="F440" i="3" s="1"/>
  <c r="F441" i="3" s="1"/>
  <c r="F442" i="3" s="1"/>
  <c r="F443" i="3" s="1"/>
  <c r="F444" i="3" s="1"/>
  <c r="F445" i="3" s="1"/>
  <c r="F446" i="3" s="1"/>
  <c r="F447" i="3" s="1"/>
  <c r="F448" i="3" s="1"/>
  <c r="F449" i="3" s="1"/>
  <c r="F450" i="3" s="1"/>
  <c r="F451" i="3" s="1"/>
  <c r="F452" i="3" s="1"/>
  <c r="F453" i="3" s="1"/>
  <c r="F454" i="3" s="1"/>
  <c r="F455" i="3" s="1"/>
  <c r="F456" i="3" s="1"/>
  <c r="F457" i="3" s="1"/>
  <c r="F458" i="3" s="1"/>
  <c r="F459" i="3" s="1"/>
  <c r="F460" i="3" s="1"/>
  <c r="F461" i="3" s="1"/>
  <c r="F462" i="3" s="1"/>
  <c r="F463" i="3" s="1"/>
  <c r="F464" i="3" s="1"/>
  <c r="F465" i="3" s="1"/>
  <c r="F466" i="3" s="1"/>
  <c r="F467" i="3" s="1"/>
  <c r="F468" i="3" s="1"/>
  <c r="F469" i="3" s="1"/>
  <c r="F470" i="3" s="1"/>
  <c r="L33" i="1"/>
  <c r="D5" i="5"/>
  <c r="D6" i="5" s="1"/>
  <c r="C8" i="1"/>
  <c r="C31" i="1"/>
  <c r="F28" i="1"/>
  <c r="E38" i="1"/>
  <c r="D32" i="1"/>
  <c r="J6" i="3"/>
  <c r="J7" i="3" s="1"/>
  <c r="J8" i="3" s="1"/>
  <c r="F21" i="1"/>
  <c r="J48" i="1" l="1"/>
  <c r="K31" i="18"/>
  <c r="BD30" i="18"/>
  <c r="BD31" i="18"/>
  <c r="AC40" i="18" s="1"/>
  <c r="F50" i="1"/>
  <c r="G63" i="1"/>
  <c r="E34" i="1"/>
  <c r="B32" i="1"/>
  <c r="J9" i="3"/>
  <c r="J10" i="3" s="1"/>
  <c r="F23" i="1"/>
  <c r="L31" i="18" l="1"/>
  <c r="A40" i="18"/>
  <c r="AF43" i="18"/>
  <c r="AF41" i="18"/>
  <c r="AB40" i="18"/>
  <c r="J11" i="3"/>
  <c r="J12" i="3" s="1"/>
  <c r="J13" i="3" s="1"/>
  <c r="J14" i="3" s="1"/>
  <c r="J15" i="3" s="1"/>
  <c r="J16" i="3" s="1"/>
  <c r="J17" i="3" s="1"/>
  <c r="J18" i="3" s="1"/>
  <c r="J19" i="3" s="1"/>
  <c r="J20" i="3" s="1"/>
  <c r="J21" i="3" s="1"/>
  <c r="J22" i="3" s="1"/>
  <c r="J23" i="3" s="1"/>
  <c r="J24" i="3" s="1"/>
  <c r="J25" i="3" s="1"/>
  <c r="J26" i="3" s="1"/>
  <c r="J27" i="3" s="1"/>
  <c r="J28" i="3" s="1"/>
  <c r="J29" i="3" s="1"/>
  <c r="J30" i="3" s="1"/>
  <c r="J31" i="3" s="1"/>
  <c r="F24" i="1"/>
  <c r="E40" i="1" s="1"/>
  <c r="F40" i="1" s="1"/>
  <c r="E41" i="18" l="1"/>
  <c r="H40" i="18"/>
  <c r="C41" i="18"/>
  <c r="D41" i="18" s="1"/>
  <c r="L27" i="1"/>
  <c r="D27" i="1" s="1"/>
  <c r="J94" i="17" l="1"/>
  <c r="J93" i="17"/>
  <c r="AO27" i="18"/>
  <c r="AP27" i="18" s="1"/>
  <c r="S40" i="18"/>
  <c r="H64" i="1"/>
  <c r="BD39" i="18"/>
  <c r="Z42" i="18" s="1"/>
  <c r="E35" i="1"/>
  <c r="E39" i="1" s="1"/>
  <c r="E43" i="1" s="1"/>
  <c r="AR27" i="18" l="1"/>
  <c r="AQ27" i="18"/>
  <c r="I64" i="1"/>
  <c r="L64" i="1"/>
  <c r="G64" i="1"/>
  <c r="L71" i="1"/>
  <c r="M87" i="11" s="1"/>
  <c r="E28" i="1"/>
  <c r="E77" i="1"/>
  <c r="I77" i="1" s="1"/>
  <c r="L74" i="1"/>
  <c r="C78" i="1" s="1"/>
  <c r="B92" i="17" s="1"/>
  <c r="C27" i="1"/>
  <c r="L47" i="1"/>
  <c r="G46" i="1" s="1"/>
  <c r="G78" i="1"/>
  <c r="C92" i="17" l="1"/>
  <c r="M89" i="11"/>
  <c r="L89" i="17" s="1"/>
  <c r="L87" i="17"/>
  <c r="I71" i="1"/>
  <c r="H78" i="1"/>
  <c r="F46" i="1"/>
  <c r="O92" i="17" s="1"/>
  <c r="E46" i="1" l="1"/>
  <c r="E52" i="1" s="1"/>
  <c r="G87" i="11"/>
  <c r="F47" i="1"/>
  <c r="G89" i="11" l="1"/>
  <c r="O89" i="17" s="1"/>
  <c r="O87" i="17"/>
</calcChain>
</file>

<file path=xl/comments1.xml><?xml version="1.0" encoding="utf-8"?>
<comments xmlns="http://schemas.openxmlformats.org/spreadsheetml/2006/main">
  <authors>
    <author>Flatz Johannes</author>
    <author>Flatz</author>
  </authors>
  <commentList>
    <comment ref="T6" authorId="0" shapeId="0">
      <text>
        <r>
          <rPr>
            <sz val="9"/>
            <color indexed="81"/>
            <rFont val="Tahoma"/>
            <family val="2"/>
          </rPr>
          <t>Diese Abstufungen stehen im Zusammenhang mit den 
schulautonomen Gestaltungsmöglichkeiten der Schülerbetreuung</t>
        </r>
      </text>
    </comment>
    <comment ref="A40" authorId="1" shapeId="0">
      <text>
        <r>
          <rPr>
            <sz val="9"/>
            <color indexed="81"/>
            <rFont val="Segoe UI"/>
            <family val="2"/>
          </rPr>
          <t>Hier werden Stunden angezeigt, nachdem 
zuvor im Blatt "Konti VS" in den Zellen j12 
bis j16 die Klassen eingetragen wurden.
Zu beachten:  Genehmigung bei BilDi 
muss eingeholt sein/werden!</t>
        </r>
      </text>
    </comment>
  </commentList>
</comments>
</file>

<file path=xl/sharedStrings.xml><?xml version="1.0" encoding="utf-8"?>
<sst xmlns="http://schemas.openxmlformats.org/spreadsheetml/2006/main" count="2765" uniqueCount="875">
  <si>
    <t>SKZ</t>
  </si>
  <si>
    <t>Schulname</t>
  </si>
  <si>
    <t>CI</t>
  </si>
  <si>
    <t>CI-Klasse</t>
  </si>
  <si>
    <t>Schulstufe</t>
  </si>
  <si>
    <t xml:space="preserve">in Stufe 5. </t>
  </si>
  <si>
    <t xml:space="preserve">in Stufe 6. </t>
  </si>
  <si>
    <t>zusammen</t>
  </si>
  <si>
    <t>Köpfe</t>
  </si>
  <si>
    <t>ao-u</t>
  </si>
  <si>
    <t>ao-m</t>
  </si>
  <si>
    <t>SPF</t>
  </si>
  <si>
    <t>Sport</t>
  </si>
  <si>
    <t>Musik</t>
  </si>
  <si>
    <t>CI  für VS u. MS</t>
  </si>
  <si>
    <t>Schuljahr</t>
  </si>
  <si>
    <t>SKZ_BEZEICHNUNG</t>
  </si>
  <si>
    <t>schueler
_anzahl</t>
  </si>
  <si>
    <t>CIklasse</t>
  </si>
  <si>
    <t>schulart
_modus</t>
  </si>
  <si>
    <t>erhalter</t>
  </si>
  <si>
    <t>2018/19</t>
  </si>
  <si>
    <t>öffentlich</t>
  </si>
  <si>
    <t>Bartholomäberg</t>
  </si>
  <si>
    <t>Volksschule</t>
  </si>
  <si>
    <t>niedrig</t>
  </si>
  <si>
    <t>Volksschule Bartholomäberg-Gantschier</t>
  </si>
  <si>
    <t>mittel</t>
  </si>
  <si>
    <t>Bludenz</t>
  </si>
  <si>
    <t>Neue Mittelschule Bludenz-Ost (Wichner-Schule)</t>
  </si>
  <si>
    <t>sehr hoch</t>
  </si>
  <si>
    <t>NMS</t>
  </si>
  <si>
    <t>Nenzing</t>
  </si>
  <si>
    <t>Neue Mittelschule</t>
  </si>
  <si>
    <t>Schruns</t>
  </si>
  <si>
    <t>Neue Mittelschule Schruns-Dorf</t>
  </si>
  <si>
    <t>Blons</t>
  </si>
  <si>
    <t>Thüringen</t>
  </si>
  <si>
    <t>Nüziders</t>
  </si>
  <si>
    <t>Volksschule - Mitte</t>
  </si>
  <si>
    <t>Sankt Gallenkirch-Gortipohl</t>
  </si>
  <si>
    <t>Neue Mittelschule Innermontafon</t>
  </si>
  <si>
    <t>Volksschule - Obdorf</t>
  </si>
  <si>
    <t>Lech</t>
  </si>
  <si>
    <t>Volksschule - St.Peter</t>
  </si>
  <si>
    <t>Braz</t>
  </si>
  <si>
    <t>Neue Mittelschule Klostertal</t>
  </si>
  <si>
    <t>Neue Mittelschule Grüt</t>
  </si>
  <si>
    <t>Volksschule - Bings</t>
  </si>
  <si>
    <t>Bürs</t>
  </si>
  <si>
    <t>Bludesch</t>
  </si>
  <si>
    <t>hoch</t>
  </si>
  <si>
    <t>Neue Mittelschule Großes Walsertal</t>
  </si>
  <si>
    <t>Brand bei Bludenz</t>
  </si>
  <si>
    <t>Volksschule Brand</t>
  </si>
  <si>
    <t>Ludesch</t>
  </si>
  <si>
    <t>NMS Ludesch-Oberland</t>
  </si>
  <si>
    <t>privat</t>
  </si>
  <si>
    <t>Bürserberg</t>
  </si>
  <si>
    <t>Dalaas</t>
  </si>
  <si>
    <t>Volksschule Wald</t>
  </si>
  <si>
    <t>Fontanella, Vorarlberg</t>
  </si>
  <si>
    <t>Gaschurn</t>
  </si>
  <si>
    <t>Partenen</t>
  </si>
  <si>
    <t>Klösterle</t>
  </si>
  <si>
    <t>Volksschule Lorüns</t>
  </si>
  <si>
    <t>Gurtis</t>
  </si>
  <si>
    <t>Nenzing-Halden</t>
  </si>
  <si>
    <t>Raggal</t>
  </si>
  <si>
    <t>Sankt Anton im Montafon</t>
  </si>
  <si>
    <t>Sankt Gallenkirch</t>
  </si>
  <si>
    <t>Volksschule Gortipohl</t>
  </si>
  <si>
    <t>St. Gerold</t>
  </si>
  <si>
    <t>Silbertal</t>
  </si>
  <si>
    <t>Sonntag</t>
  </si>
  <si>
    <t>Thüringerberg</t>
  </si>
  <si>
    <t>Tschagguns</t>
  </si>
  <si>
    <t>Vandans</t>
  </si>
  <si>
    <t>Volksschule Galgenul</t>
  </si>
  <si>
    <t>Private katholische Volksschule Oberland des Schulträgervereins Marienberg in Bregenz</t>
  </si>
  <si>
    <t>Katholische Privatschule "Sonnengarten-Schule der Vielfalt" des Schulträgervereins Marienberg in Bregenz</t>
  </si>
  <si>
    <t>Statutschule</t>
  </si>
  <si>
    <t>Bregenz</t>
  </si>
  <si>
    <t>Volksschule - Schillerstr.</t>
  </si>
  <si>
    <t>Neue Mittelschule Bregenz-Stadt</t>
  </si>
  <si>
    <t>Volksschule Augasse</t>
  </si>
  <si>
    <t>NMS Marienberg</t>
  </si>
  <si>
    <t>Neue Mittelschule "Bregenz-Schendlingen"</t>
  </si>
  <si>
    <t>Volksschule Rieden</t>
  </si>
  <si>
    <t>Neue Mittelschule Bregenz-Rieden</t>
  </si>
  <si>
    <t>Volksschule Schendlingen</t>
  </si>
  <si>
    <t>Alberschwende</t>
  </si>
  <si>
    <t>Volksschule Fluh</t>
  </si>
  <si>
    <t>Au, Bregenzerwald</t>
  </si>
  <si>
    <t>Private Volksschule Bregenz-Riedenburg des Schulvereins Sacre Coeur Riedenburg</t>
  </si>
  <si>
    <t>Bezau</t>
  </si>
  <si>
    <t>Egg, Vorarlberg</t>
  </si>
  <si>
    <t>Volksschule Dresseln</t>
  </si>
  <si>
    <t>Hard</t>
  </si>
  <si>
    <t>Neue Mittelschule SaS</t>
  </si>
  <si>
    <t>Volksschule Fischbach</t>
  </si>
  <si>
    <t>Höchst, Vorarlberg</t>
  </si>
  <si>
    <t>Volksschule Müselbach</t>
  </si>
  <si>
    <t>Hörbranz</t>
  </si>
  <si>
    <t>Andelsbuch</t>
  </si>
  <si>
    <t>Riezlern, Kleinwalsertal</t>
  </si>
  <si>
    <t>Neue Mittelschule und Sonderschule</t>
  </si>
  <si>
    <t>Volksschule Bersbuch</t>
  </si>
  <si>
    <t>Lauterach</t>
  </si>
  <si>
    <t>Lingenau, Vorarlberg</t>
  </si>
  <si>
    <t>Lochau, Vorarlberg</t>
  </si>
  <si>
    <t>Schwarzach, Vorarlberg</t>
  </si>
  <si>
    <t>Wolfurt</t>
  </si>
  <si>
    <t>Doren</t>
  </si>
  <si>
    <t>Hard, Vorarlberg</t>
  </si>
  <si>
    <t>Neue Mittelschule Mittelweiherburg</t>
  </si>
  <si>
    <t>Bizau</t>
  </si>
  <si>
    <t>Buch</t>
  </si>
  <si>
    <t>Schwarzach</t>
  </si>
  <si>
    <t>Damüls</t>
  </si>
  <si>
    <t>Hittisau</t>
  </si>
  <si>
    <t>Volksschule Doren</t>
  </si>
  <si>
    <t>Volksschule Großdorf</t>
  </si>
  <si>
    <t>Eichenberg</t>
  </si>
  <si>
    <t>Fußach</t>
  </si>
  <si>
    <t>Gaissau</t>
  </si>
  <si>
    <t>Volksschule Hard-Markt</t>
  </si>
  <si>
    <t>Volksschule Mittelweiherburg</t>
  </si>
  <si>
    <t>Volksschule Unterdorf</t>
  </si>
  <si>
    <t>Hohenweiler</t>
  </si>
  <si>
    <t>Kennelbach</t>
  </si>
  <si>
    <t>Krumbach, Bregenzerwald</t>
  </si>
  <si>
    <t>Langen bei Bregenz</t>
  </si>
  <si>
    <t>Langenegg</t>
  </si>
  <si>
    <t>Volksschule Dorf</t>
  </si>
  <si>
    <t>Volksschule Unterfeld</t>
  </si>
  <si>
    <t>Mellau</t>
  </si>
  <si>
    <t>Mittelberg, Kleinwalsertal</t>
  </si>
  <si>
    <t>Hirschegg, Kleinwalsertal</t>
  </si>
  <si>
    <t>Bregenz/Möggers</t>
  </si>
  <si>
    <t>Reuthe</t>
  </si>
  <si>
    <t>Riefensberg</t>
  </si>
  <si>
    <t>Schnepfau</t>
  </si>
  <si>
    <t>Schoppernau</t>
  </si>
  <si>
    <t>Schröcken</t>
  </si>
  <si>
    <t>Schwarzenberg, Bregenzerwald</t>
  </si>
  <si>
    <t>Sibratsgfäll</t>
  </si>
  <si>
    <t>Sulzberg, Vorarlberg</t>
  </si>
  <si>
    <t>Volksschule Thal</t>
  </si>
  <si>
    <t>Volksschule "Mähdle"</t>
  </si>
  <si>
    <t>Volksschule Weidach</t>
  </si>
  <si>
    <t>Höchst</t>
  </si>
  <si>
    <t>Privatschule "Schulstube" des Schulträgervereins Marienberg in Bregenz</t>
  </si>
  <si>
    <t>Private katholische Volksschule Marienberg des Schulträgervereins Marienberg in Bregenz</t>
  </si>
  <si>
    <t>Private Volksschule der Zisterzienser des röm. kath. Zisterzienserklosters Wettingen-Mehrerau</t>
  </si>
  <si>
    <t>Dornbirn</t>
  </si>
  <si>
    <t>Volksschule Edlach</t>
  </si>
  <si>
    <t>Dornbirn-Markt</t>
  </si>
  <si>
    <t>Neue Mittelschule Markt</t>
  </si>
  <si>
    <t>Volksschule Markt, Schulgasse</t>
  </si>
  <si>
    <t>Neue Musikmittelschule Bergmanngasse</t>
  </si>
  <si>
    <t>Volksschule Rohrbach</t>
  </si>
  <si>
    <t>Hohenems</t>
  </si>
  <si>
    <t>Dornbirn-Hatlerdorf</t>
  </si>
  <si>
    <t>Volksschule - Leopold</t>
  </si>
  <si>
    <t>Lustenau</t>
  </si>
  <si>
    <t>Neue Mittelschule, Kirchdorf</t>
  </si>
  <si>
    <t>Volksschule Mittelfeld</t>
  </si>
  <si>
    <t>Lustenau-Rheindorf</t>
  </si>
  <si>
    <t>Neue Mittelschule Rheindorf</t>
  </si>
  <si>
    <t>Volksschule Schoren</t>
  </si>
  <si>
    <t>Neue Mittelschule Baumgarten</t>
  </si>
  <si>
    <t>Volksschule Oberdorf</t>
  </si>
  <si>
    <t>Neue Mittelschule Lustenauerstr</t>
  </si>
  <si>
    <t>Volksschule Haselstauden</t>
  </si>
  <si>
    <t>Neue Mittelschule Herrenried</t>
  </si>
  <si>
    <t>Neue Mittelschule Haselstauden</t>
  </si>
  <si>
    <t>Volksschule Gütle</t>
  </si>
  <si>
    <t>Neue Mittelschule Hasenfeld</t>
  </si>
  <si>
    <t>Volksschule Heiligereute</t>
  </si>
  <si>
    <t>Volksschule Kehlegg</t>
  </si>
  <si>
    <t>VS Watzenegg</t>
  </si>
  <si>
    <t>Volksschule Winsau</t>
  </si>
  <si>
    <t>Volksschule Markt</t>
  </si>
  <si>
    <t>Volksschule Herrenried</t>
  </si>
  <si>
    <t>Volksschule Reute</t>
  </si>
  <si>
    <t>Volksschule Hasenfeld</t>
  </si>
  <si>
    <t>Volksschule Krirchdorf</t>
  </si>
  <si>
    <t>Volksschule Rheindorf</t>
  </si>
  <si>
    <t>Volksschule Rotkreuz</t>
  </si>
  <si>
    <t>Volksschule Wallenmahd</t>
  </si>
  <si>
    <t>VS Schwefel</t>
  </si>
  <si>
    <t>VS Dornbirn-Fischbach/Forach</t>
  </si>
  <si>
    <t>Altach</t>
  </si>
  <si>
    <t>Satteins</t>
  </si>
  <si>
    <t>Feldkirch-Gisingen</t>
  </si>
  <si>
    <t>Feldkirch</t>
  </si>
  <si>
    <t>Neue Mittelschule Levis</t>
  </si>
  <si>
    <t>Volksschule Fidelis</t>
  </si>
  <si>
    <t>Götzis</t>
  </si>
  <si>
    <t>Feldkirch-Altenstadt</t>
  </si>
  <si>
    <t>Rankweil</t>
  </si>
  <si>
    <t>Neue Mittelschule Rankweil-West</t>
  </si>
  <si>
    <t>Volksschule Oberau</t>
  </si>
  <si>
    <t>Zwischenwasser</t>
  </si>
  <si>
    <t>Volksschule Nofels</t>
  </si>
  <si>
    <t>Private "Neue Mittelschule" des Schulträgervereins der Kreuzschwestern - Institut St. Josef</t>
  </si>
  <si>
    <t>Feldkirch-Tisis</t>
  </si>
  <si>
    <t>Volksschule Tosters</t>
  </si>
  <si>
    <t>Frastanz</t>
  </si>
  <si>
    <t>Weiler-Klaus</t>
  </si>
  <si>
    <t>Sulz</t>
  </si>
  <si>
    <t>Neue Mittelschule Sulz-Röthis</t>
  </si>
  <si>
    <t>Volksschule Fellengatter</t>
  </si>
  <si>
    <t>Fraxern</t>
  </si>
  <si>
    <t>Neue Mittelschule Rankweil-Ost</t>
  </si>
  <si>
    <t>Göfis</t>
  </si>
  <si>
    <t>Volksschule "Göfis-Kirchdorf"</t>
  </si>
  <si>
    <t>Koblach</t>
  </si>
  <si>
    <t>Mäder</t>
  </si>
  <si>
    <t>Volksschule Berg</t>
  </si>
  <si>
    <t>Klaus</t>
  </si>
  <si>
    <t>Laterns</t>
  </si>
  <si>
    <t>Meiningen, Vorarlberg</t>
  </si>
  <si>
    <t>Volksschule Brederis</t>
  </si>
  <si>
    <t>Röns</t>
  </si>
  <si>
    <t>Sulz-Röthis</t>
  </si>
  <si>
    <t>Schlins</t>
  </si>
  <si>
    <t>Schnifis</t>
  </si>
  <si>
    <t>Übersaxen</t>
  </si>
  <si>
    <t>Viktorsberg</t>
  </si>
  <si>
    <t>Weiler</t>
  </si>
  <si>
    <t>Zwischenwasser-Batschuns</t>
  </si>
  <si>
    <t>Volksschule Batschuns</t>
  </si>
  <si>
    <t>Volksschule Muntlix</t>
  </si>
  <si>
    <t>Volksschule Blattur</t>
  </si>
  <si>
    <t>Entdeckerschule - Priv. konf. Volksschule m. VS-Oberst. "d. FKÖ d. Schulvereins Wertvoll - Verein z. Förd. christl. Erzieh. u. Bildung"</t>
  </si>
  <si>
    <t>Volksschule Montfort</t>
  </si>
  <si>
    <t>Private Volksschule und Neue Mittelschule des Trägervereins Freie Montessori Schule Altach</t>
  </si>
  <si>
    <t>Zwischenwasser-Dafins</t>
  </si>
  <si>
    <t>Private Volks- und Neue Mittelschule ELIA des Kinderförderungsvereins der S.T. Adventisten</t>
  </si>
  <si>
    <t>Private Volksschule "LernArt - Lernen leicht gemacht" - der Frau Sonja Walser</t>
  </si>
  <si>
    <t>Private Familienschule Rheintal des Vereins "Familienschule Rheintal"</t>
  </si>
  <si>
    <t>Private Volksschule mit Oberstufe des Werkes der Frohbotschaft Batschuns "Schule für Hör- und Sprachbildung"</t>
  </si>
  <si>
    <t>Sonderschule</t>
  </si>
  <si>
    <t>Allgemeine Sonderschule</t>
  </si>
  <si>
    <t>Private Volksschule, Neue Mittelschule und Sonderschule des Werks der Frohbotschaft Batschuns</t>
  </si>
  <si>
    <t>Landessonderschule "Heilpädagogische Landesschule Jupident"</t>
  </si>
  <si>
    <t>spf</t>
  </si>
  <si>
    <t xml:space="preserve"> 0 - 10</t>
  </si>
  <si>
    <t xml:space="preserve"> 11 - 19</t>
  </si>
  <si>
    <t xml:space="preserve"> 20 - 29</t>
  </si>
  <si>
    <t xml:space="preserve"> 30 - 39</t>
  </si>
  <si>
    <t xml:space="preserve"> 40 - 49</t>
  </si>
  <si>
    <t xml:space="preserve"> 50 - 59</t>
  </si>
  <si>
    <t xml:space="preserve"> 60 - 69</t>
  </si>
  <si>
    <t xml:space="preserve"> 70 - 79</t>
  </si>
  <si>
    <t xml:space="preserve"> 80 - 89</t>
  </si>
  <si>
    <t xml:space="preserve"> 90 - 99</t>
  </si>
  <si>
    <t xml:space="preserve"> 100 - 109</t>
  </si>
  <si>
    <t xml:space="preserve"> 110 - 119</t>
  </si>
  <si>
    <t xml:space="preserve"> 120 - 129</t>
  </si>
  <si>
    <t xml:space="preserve"> 130 - 139</t>
  </si>
  <si>
    <t xml:space="preserve"> 140 - 149</t>
  </si>
  <si>
    <t xml:space="preserve"> 150 - 159</t>
  </si>
  <si>
    <t xml:space="preserve"> 160 - 169</t>
  </si>
  <si>
    <t xml:space="preserve">Stundenkontingente </t>
  </si>
  <si>
    <t>SuS</t>
  </si>
  <si>
    <t>= Schülerinnen und Schüler</t>
  </si>
  <si>
    <t>Zuschlag für BEOR:</t>
  </si>
  <si>
    <t>aus Kopfquote</t>
  </si>
  <si>
    <t xml:space="preserve">Faktor MS </t>
  </si>
  <si>
    <t xml:space="preserve">Untergrenze MS </t>
  </si>
  <si>
    <t>Bezeichnung aus Präs/3</t>
  </si>
  <si>
    <t>Schulkennzahl</t>
  </si>
  <si>
    <t>Langbez</t>
  </si>
  <si>
    <t>MS Bludenz</t>
  </si>
  <si>
    <t>MS Nenzing</t>
  </si>
  <si>
    <t>MS Schruns-Dorf</t>
  </si>
  <si>
    <t>MS Thüringen</t>
  </si>
  <si>
    <t>MS Nüziders</t>
  </si>
  <si>
    <t>MS Innermontafon</t>
  </si>
  <si>
    <t>MS Lech</t>
  </si>
  <si>
    <t>MS Innerbraz</t>
  </si>
  <si>
    <t>MS Schruns-Grüt</t>
  </si>
  <si>
    <t>MS Bürs</t>
  </si>
  <si>
    <t>MS Blons</t>
  </si>
  <si>
    <t>MS Ludesch-Oberland</t>
  </si>
  <si>
    <t>MS Bregenz-Stadt</t>
  </si>
  <si>
    <t>MS Bregenz-Marienberg</t>
  </si>
  <si>
    <t>MS Bregenz-Schendlingen</t>
  </si>
  <si>
    <t>MS Bregenz-Rieden</t>
  </si>
  <si>
    <t>MS Alberschwende</t>
  </si>
  <si>
    <t>MS Au</t>
  </si>
  <si>
    <t>MS Bezau</t>
  </si>
  <si>
    <t>MS Egg</t>
  </si>
  <si>
    <t>MS Hard-Markt</t>
  </si>
  <si>
    <t>MS Höchst</t>
  </si>
  <si>
    <t>MS Hörbranz</t>
  </si>
  <si>
    <t>MS Kleinwalsertal</t>
  </si>
  <si>
    <t>MS Lauterach</t>
  </si>
  <si>
    <t>MS Lingenau</t>
  </si>
  <si>
    <t>MS Lochau</t>
  </si>
  <si>
    <t>MS Wolfurt</t>
  </si>
  <si>
    <t>MS Doren</t>
  </si>
  <si>
    <t>MS Hard-Mittelweiherburg</t>
  </si>
  <si>
    <t>MS Schwarzach</t>
  </si>
  <si>
    <t>MS Hittisau</t>
  </si>
  <si>
    <t>MS Dornbirn-Markt</t>
  </si>
  <si>
    <t>MS Dornbirn-Bergmannstrasse</t>
  </si>
  <si>
    <t>MS Hohenems-Markt</t>
  </si>
  <si>
    <t>MS Lustenau-Kirchdorf</t>
  </si>
  <si>
    <t>MS Lustenau-Rheindorf</t>
  </si>
  <si>
    <t>MS Dornbirn-Baumgarten</t>
  </si>
  <si>
    <t>MS Dornbirn-Lustenauerstrasse</t>
  </si>
  <si>
    <t>MS Hohenems-Herrenried</t>
  </si>
  <si>
    <t>MS Dornbirn-Haselstauden</t>
  </si>
  <si>
    <t>MS Lustenau-Hasenfeld</t>
  </si>
  <si>
    <t>MS Altach</t>
  </si>
  <si>
    <t>MS Feldkirch-Gisingen</t>
  </si>
  <si>
    <t>MS Feldkirch-Levis</t>
  </si>
  <si>
    <t>MS Götzis</t>
  </si>
  <si>
    <t>MS Rankweil-West</t>
  </si>
  <si>
    <t>MS Satteins</t>
  </si>
  <si>
    <t>MS Zwischenwasser-Muntlix</t>
  </si>
  <si>
    <t>MS Feldkirch-Institut-St. Josef</t>
  </si>
  <si>
    <t>MS Klaus</t>
  </si>
  <si>
    <t>MS Sulz-Röthis</t>
  </si>
  <si>
    <t>MS Frastanz</t>
  </si>
  <si>
    <t>MS Rankweil-Ost</t>
  </si>
  <si>
    <t>MS Koblach</t>
  </si>
  <si>
    <t>MS  . . .</t>
  </si>
  <si>
    <t>Sozial-Zuschlag</t>
  </si>
  <si>
    <t>aus Chancen-Index / für Sozioökonomie</t>
  </si>
  <si>
    <t>Zwischensumme:</t>
  </si>
  <si>
    <t>? ?</t>
  </si>
  <si>
    <t>..an einer Mittelschule in Vbg</t>
  </si>
  <si>
    <t>Stundenkontingent:</t>
  </si>
  <si>
    <t>Schwerpunkt-MS</t>
  </si>
  <si>
    <t>Anmerkungen der Schule:</t>
  </si>
  <si>
    <t>Zusatz-Kontingent MS-KL*6</t>
  </si>
  <si>
    <t xml:space="preserve">in Stufe 7. </t>
  </si>
  <si>
    <t xml:space="preserve">in Stufe 8. </t>
  </si>
  <si>
    <r>
      <t xml:space="preserve">Chancen-Index </t>
    </r>
    <r>
      <rPr>
        <sz val="11"/>
        <color rgb="FFC00000"/>
        <rFont val="Calibri"/>
        <family val="2"/>
      </rPr>
      <t xml:space="preserve"> CI</t>
    </r>
  </si>
  <si>
    <t>Summe aus vorstehender Zeile:</t>
  </si>
  <si>
    <t xml:space="preserve">Klassenzahl: </t>
  </si>
  <si>
    <t>mind 16 SuS in Schwerpunkt-KL</t>
  </si>
  <si>
    <t xml:space="preserve">  berechnet</t>
  </si>
  <si>
    <r>
      <rPr>
        <sz val="12"/>
        <color theme="1"/>
        <rFont val="Calibri"/>
        <family val="2"/>
      </rPr>
      <t>Betrachtung und</t>
    </r>
    <r>
      <rPr>
        <b/>
        <sz val="12"/>
        <color theme="1"/>
        <rFont val="Calibri"/>
        <family val="2"/>
      </rPr>
      <t xml:space="preserve"> Berechnung nach Schulstufen:</t>
    </r>
  </si>
  <si>
    <t xml:space="preserve">KHZ = </t>
  </si>
  <si>
    <t xml:space="preserve">?? </t>
  </si>
  <si>
    <r>
      <t>Anzahl der KL 
mit GTS</t>
    </r>
    <r>
      <rPr>
        <b/>
        <sz val="11"/>
        <color rgb="FF7030A0"/>
        <rFont val="Calibri"/>
        <family val="2"/>
      </rPr>
      <t xml:space="preserve"> 
verschränkt</t>
    </r>
  </si>
  <si>
    <t>Stden-Annahme für GTS getrennt:</t>
  </si>
  <si>
    <t xml:space="preserve"> SuS geschätzt</t>
  </si>
  <si>
    <t xml:space="preserve">für LZ umgerechnet bei </t>
  </si>
  <si>
    <t xml:space="preserve"> Klassen eingerichtet</t>
  </si>
  <si>
    <t>Wochenstunden ganzjährig</t>
  </si>
  <si>
    <t>WoStden für die Unterrichtserteilung</t>
  </si>
  <si>
    <t>Für GTS in verschränkter Abfolge</t>
  </si>
  <si>
    <t>Schwerpunkt-MS für Sport oder Musik erhalten Mehrstunden</t>
  </si>
  <si>
    <t>MS-Abschluss-KL für SuS mit SPF wird gesondert berechnet</t>
  </si>
  <si>
    <t>B&amp;S-Stunden werden reduziert bei eingeschlechtlichen MS</t>
  </si>
  <si>
    <t>Zuschlag:  SPF-SuS</t>
  </si>
  <si>
    <t>Fe-Levis, Götzis, Schwarzach | Kleinwalsertal | Institut St.Josef</t>
  </si>
  <si>
    <t>Walser Realschule wird gesondert berechnet</t>
  </si>
  <si>
    <t>Besonderheiten an einzelnen Standorten:</t>
  </si>
  <si>
    <t>Für R.. vorbehalten:</t>
  </si>
  <si>
    <t>Sozialpädagogische Kleinklasse wird gesondert berechnet</t>
  </si>
  <si>
    <t>Digitale Grundbildung:</t>
  </si>
  <si>
    <t>16,0 - 22,0</t>
  </si>
  <si>
    <t>IT-Arbeitsplätze:</t>
  </si>
  <si>
    <t>MS Mäder</t>
  </si>
  <si>
    <t>pri</t>
  </si>
  <si>
    <t>privat?</t>
  </si>
  <si>
    <t>Ganztägige Schulform</t>
  </si>
  <si>
    <t xml:space="preserve">… laut SchOG   an der  </t>
  </si>
  <si>
    <t xml:space="preserve">GLZ </t>
  </si>
  <si>
    <t>ILZ &gt;&gt;*2</t>
  </si>
  <si>
    <t>bis mindestens 16:00 Uhr  an betreuten Nachmittagen.</t>
  </si>
  <si>
    <t>Maßgeblicher Stichtag ist der 2. Montag des Unterrichtsjahres</t>
  </si>
  <si>
    <t>siehe dazu:</t>
  </si>
  <si>
    <t>http://www2.vobs.at/ftp-pub/allgemein/formulare/GTS.PDF</t>
  </si>
  <si>
    <t xml:space="preserve">..und </t>
  </si>
  <si>
    <t xml:space="preserve">Wochentag:  </t>
  </si>
  <si>
    <t>Montag</t>
  </si>
  <si>
    <t>Dienstag</t>
  </si>
  <si>
    <t>Mittwoch</t>
  </si>
  <si>
    <t>Donnerstag</t>
  </si>
  <si>
    <t>Freitag</t>
  </si>
  <si>
    <t>Uhrzeit:</t>
  </si>
  <si>
    <t>Schülerzahl</t>
  </si>
  <si>
    <t>in</t>
  </si>
  <si>
    <t>von</t>
  </si>
  <si>
    <t>bis</t>
  </si>
  <si>
    <t>GL</t>
  </si>
  <si>
    <t>IL</t>
  </si>
  <si>
    <t>Datum</t>
  </si>
  <si>
    <t>GTS in verschränkten Klassen:</t>
  </si>
  <si>
    <t>Anmerkung:</t>
  </si>
  <si>
    <t xml:space="preserve">Gru.GL </t>
  </si>
  <si>
    <t xml:space="preserve">Gru.IL </t>
  </si>
  <si>
    <t xml:space="preserve">zus. </t>
  </si>
  <si>
    <t xml:space="preserve">1/3 </t>
  </si>
  <si>
    <r>
      <t xml:space="preserve">In Getrennter Abfolge </t>
    </r>
    <r>
      <rPr>
        <u/>
        <sz val="12"/>
        <rFont val="Calibri"/>
        <family val="2"/>
        <scheme val="minor"/>
      </rPr>
      <t>teilnehmende Schüler</t>
    </r>
    <r>
      <rPr>
        <sz val="12"/>
        <rFont val="Calibri"/>
        <family val="2"/>
        <scheme val="minor"/>
      </rPr>
      <t xml:space="preserve">: </t>
    </r>
    <r>
      <rPr>
        <sz val="2"/>
        <rFont val="Calibri"/>
        <family val="2"/>
        <scheme val="minor"/>
      </rPr>
      <t>'</t>
    </r>
  </si>
  <si>
    <r>
      <rPr>
        <sz val="12"/>
        <rFont val="Calibri"/>
        <family val="2"/>
        <scheme val="minor"/>
      </rPr>
      <t xml:space="preserve">Einteilung der </t>
    </r>
    <r>
      <rPr>
        <b/>
        <sz val="12"/>
        <rFont val="Calibri"/>
        <family val="2"/>
        <scheme val="minor"/>
      </rPr>
      <t>'</t>
    </r>
    <r>
      <rPr>
        <b/>
        <u/>
        <sz val="12"/>
        <rFont val="Calibri"/>
        <family val="2"/>
        <scheme val="minor"/>
      </rPr>
      <t>Lernzeiten' in getrennter Form</t>
    </r>
    <r>
      <rPr>
        <b/>
        <sz val="12"/>
        <rFont val="Calibri"/>
        <family val="2"/>
        <scheme val="minor"/>
      </rPr>
      <t>:</t>
    </r>
  </si>
  <si>
    <t>MS Klostertal</t>
  </si>
  <si>
    <t>MSp Ludesch-Oberland</t>
  </si>
  <si>
    <t>MSp Bregenz-Marienberg</t>
  </si>
  <si>
    <t>MS Hard am See</t>
  </si>
  <si>
    <t>MS Feldkirch-Oberau</t>
  </si>
  <si>
    <t>MSp Feldkirch-Institut St. Josef</t>
  </si>
  <si>
    <t>..für die Unterrichtserteilung</t>
  </si>
  <si>
    <t xml:space="preserve">GTS - </t>
  </si>
  <si>
    <t>..für die Lernzeiten GLZ, ILZ</t>
  </si>
  <si>
    <t>Einrechnungen</t>
  </si>
  <si>
    <t>=  schulbezogene Verminderungen der Unterrichtsverpflichtung</t>
  </si>
  <si>
    <r>
      <t>Zahl der</t>
    </r>
    <r>
      <rPr>
        <b/>
        <sz val="12"/>
        <rFont val="Calibri"/>
        <family val="2"/>
        <scheme val="minor"/>
      </rPr>
      <t xml:space="preserve"> </t>
    </r>
    <r>
      <rPr>
        <b/>
        <u/>
        <sz val="12"/>
        <rFont val="Calibri"/>
        <family val="2"/>
        <scheme val="minor"/>
      </rPr>
      <t>IT-Arbeitsplätze</t>
    </r>
  </si>
  <si>
    <t xml:space="preserve"> …für die Verwendung im Unterricht</t>
  </si>
  <si>
    <t>Ltg</t>
  </si>
  <si>
    <t>Altr.</t>
  </si>
  <si>
    <t>Schulleitung:</t>
  </si>
  <si>
    <t xml:space="preserve">Die Direktorin /der Direktor ..  </t>
  </si>
  <si>
    <t>a</t>
  </si>
  <si>
    <t>b</t>
  </si>
  <si>
    <t xml:space="preserve">Berechnung mit </t>
  </si>
  <si>
    <t>Leitung</t>
  </si>
  <si>
    <t>GTS</t>
  </si>
  <si>
    <t>leitet diese Klassen als angeschlossene</t>
  </si>
  <si>
    <t>c</t>
  </si>
  <si>
    <t xml:space="preserve">der Jahresnorm von 20: </t>
  </si>
  <si>
    <t xml:space="preserve">Berechnung für PD: </t>
  </si>
  <si>
    <t xml:space="preserve"> Erfolgt nach den Vollbeschäftigungsäquivalenten [VBÄ]</t>
  </si>
  <si>
    <t>freig. ab 10,0 VBÄ,  12 WoStd ab 5,0 VBÄ,  darunter 6 WoStd</t>
  </si>
  <si>
    <t>zum 30. September des vorangegangenen Schuljahres.</t>
  </si>
  <si>
    <t>Assistenz</t>
  </si>
  <si>
    <t>=  schulische Assistenz       ..laut gesondertem Tabellenblatt &lt;Assistenz&gt;</t>
  </si>
  <si>
    <t xml:space="preserve">Beantragt sind:  </t>
  </si>
  <si>
    <t>gemeins.Ltg/Mitbetrau</t>
  </si>
  <si>
    <t>gL  PTS u. ASO</t>
  </si>
  <si>
    <t>gL  PTS</t>
  </si>
  <si>
    <t>gL  VS</t>
  </si>
  <si>
    <t xml:space="preserve"> KL *1,5</t>
  </si>
  <si>
    <t>Mb  Blons</t>
  </si>
  <si>
    <t>d</t>
  </si>
  <si>
    <t xml:space="preserve">  ist im Altrecht angestellt (meist L2a2)</t>
  </si>
  <si>
    <t xml:space="preserve">  ist im PD-Schema eingestuft</t>
  </si>
  <si>
    <t xml:space="preserve"> hat anderswo ihre/seine Stammschule</t>
  </si>
  <si>
    <t>Mb  Alberschw</t>
  </si>
  <si>
    <t>x</t>
  </si>
  <si>
    <t xml:space="preserve">  ..in 8. Stufe </t>
  </si>
  <si>
    <t xml:space="preserve">Weitere Einrechnung für </t>
  </si>
  <si>
    <t xml:space="preserve"> . . .</t>
  </si>
  <si>
    <t>zur "Bedarfsplanung"</t>
  </si>
  <si>
    <t>Schulische Assistenz</t>
  </si>
  <si>
    <t xml:space="preserve">Anzahl WoStunden 
für die Assistenz im 
GTS-Freizeitbereich </t>
  </si>
  <si>
    <t xml:space="preserve">pflegerische, therapeut. 
-funktionale, u. lernun- 
terstützende Assistenz </t>
  </si>
  <si>
    <t xml:space="preserve">für erzieherische und 
lernunterstützende 
Assistenz </t>
  </si>
  <si>
    <t>Anzahl</t>
  </si>
  <si>
    <t>Klasse</t>
  </si>
  <si>
    <t>der SuS
 in d. KL</t>
  </si>
  <si>
    <t>Name d. SchülerIn</t>
  </si>
  <si>
    <t>Schul-stufe</t>
  </si>
  <si>
    <t>lfd.</t>
  </si>
  <si>
    <t>2.b</t>
  </si>
  <si>
    <t>Apfel Arnold</t>
  </si>
  <si>
    <t xml:space="preserve">  SPF</t>
  </si>
  <si>
    <t>X</t>
  </si>
  <si>
    <t>4.a</t>
  </si>
  <si>
    <t>Beere Berta</t>
  </si>
  <si>
    <t xml:space="preserve">  nein</t>
  </si>
  <si>
    <t>beantragt</t>
  </si>
  <si>
    <t>5.</t>
  </si>
  <si>
    <t>6.</t>
  </si>
  <si>
    <t>7.</t>
  </si>
  <si>
    <t>8.</t>
  </si>
  <si>
    <t xml:space="preserve"> Folglich ergibt sich als Antrag der Schule ..</t>
  </si>
  <si>
    <r>
      <t xml:space="preserve">für Assistenzleistung im </t>
    </r>
    <r>
      <rPr>
        <b/>
        <sz val="11"/>
        <rFont val="Calibri"/>
        <family val="2"/>
        <scheme val="minor"/>
      </rPr>
      <t>Unterricht</t>
    </r>
  </si>
  <si>
    <t>Wochenstunden</t>
  </si>
  <si>
    <r>
      <t xml:space="preserve">für Assistenzleistung im </t>
    </r>
    <r>
      <rPr>
        <b/>
        <sz val="11"/>
        <rFont val="Calibri"/>
        <family val="2"/>
        <scheme val="minor"/>
      </rPr>
      <t>Freizeitbereich (GTS)</t>
    </r>
  </si>
  <si>
    <t>Anmerkungen:</t>
  </si>
  <si>
    <t xml:space="preserve">
..hier kann zB ergänzend begründet werden, 
was bislang bei DM /SQM noch nicht bekannt ist oder nicht bereits vorbesprochen wurde ..</t>
  </si>
  <si>
    <t xml:space="preserve"> zum Beispiel: </t>
  </si>
  <si>
    <t>Dattel Dieter</t>
  </si>
  <si>
    <t>MDM_ab</t>
  </si>
  <si>
    <t>j21</t>
  </si>
  <si>
    <t>j22</t>
  </si>
  <si>
    <t>ab</t>
  </si>
  <si>
    <t>Religionsunterricht röm.-kath.</t>
  </si>
  <si>
    <t>Meldung für die Bedarfsplanung</t>
  </si>
  <si>
    <t xml:space="preserve">Der röm.kath. Religionsunterricht wird voraussichtlich abgehalten .. </t>
  </si>
  <si>
    <t xml:space="preserve"> mit gesamt</t>
  </si>
  <si>
    <t>Klassen bzw Gruppen</t>
  </si>
  <si>
    <t xml:space="preserve"> .. im Rahmen der Vorgaben des Religionsunterrichtsgesetzes.</t>
  </si>
  <si>
    <t>Wochenstden  in</t>
  </si>
  <si>
    <t>MDM - Technisch:</t>
  </si>
  <si>
    <t xml:space="preserve"> Autonome KL ausgleichen Einre:Unterr</t>
  </si>
  <si>
    <t xml:space="preserve"> Hier wird nach der autonom festgelegten Klassenzahl berechnet</t>
  </si>
  <si>
    <t xml:space="preserve"> Um 2% wird hier nirgends mehr gekürzt!</t>
  </si>
  <si>
    <t xml:space="preserve"> Die 2 Religionsstunden laut Stundentafel sind aus dem MS-Kontingent herausgerechnet </t>
  </si>
  <si>
    <t xml:space="preserve"> &gt;&gt; links draußen die Zeilen 17 bis 19 mit gedrückter Maustaste gemeinsam markieren, Mausklick rechts, "einblenden" auswählen</t>
  </si>
  <si>
    <t xml:space="preserve"> Im Tabellenblatt &lt;Religion&gt; sind Einträge </t>
  </si>
  <si>
    <t xml:space="preserve"> vorzunehmen, damit hier Werte aufscheinen </t>
  </si>
  <si>
    <t>Tel.Nr.</t>
  </si>
  <si>
    <t>Summen</t>
  </si>
  <si>
    <t>bzw. 
Anmerkung</t>
  </si>
  <si>
    <t xml:space="preserve">ReligionslehrerIn
</t>
  </si>
  <si>
    <t>gehaltene
WoStden</t>
  </si>
  <si>
    <t>am k.RU</t>
  </si>
  <si>
    <t>Teilnehmende</t>
  </si>
  <si>
    <r>
      <t>Kinder o.B.</t>
    </r>
    <r>
      <rPr>
        <sz val="8"/>
        <rFont val="Calibri"/>
        <family val="2"/>
      </rPr>
      <t>,</t>
    </r>
    <r>
      <rPr>
        <sz val="7"/>
        <rFont val="Calibri"/>
        <family val="2"/>
      </rPr>
      <t xml:space="preserve"> 
die in der Gruppe mit-unterrichtet werden 
(= als Freifach) </t>
    </r>
  </si>
  <si>
    <t>Abmeldungen
vom k.RU</t>
  </si>
  <si>
    <t>röm.-kath.
SchülerInnen</t>
  </si>
  <si>
    <t>Klassen-
schülerzahl</t>
  </si>
  <si>
    <t>k.RU  =  röm.-kath. Religionsunterricht</t>
  </si>
  <si>
    <t>Röm.-kath. Religionsunterricht</t>
  </si>
  <si>
    <t xml:space="preserve"> B E D A R F S M E L D U N G</t>
  </si>
  <si>
    <t xml:space="preserve">für Rückfragen aus dem Schulamt: </t>
  </si>
  <si>
    <t>SchülerInnen /  Klassenbild</t>
  </si>
  <si>
    <t>1a</t>
  </si>
  <si>
    <t xml:space="preserve"> 280 - 409</t>
  </si>
  <si>
    <t xml:space="preserve"> 410 - ..</t>
  </si>
  <si>
    <t xml:space="preserve"> in DFöKL 20 Stden  ..bzw DFöKurse mit 6 Stden</t>
  </si>
  <si>
    <t>. . .</t>
  </si>
  <si>
    <t>Alt+F11, unter Eigenschaften&gt;Visible bei verstecktem Tabellenblatt die Einstellung ändern zum Einblenden</t>
  </si>
  <si>
    <t>Religion</t>
  </si>
  <si>
    <t>Tabellenblatt</t>
  </si>
  <si>
    <t>evtl WV setzen für Nachfrage nach neuen CI-Werten aus Wien über Kappaurer/Juranek ??</t>
  </si>
  <si>
    <t>vor vobs-Scharfstellen der EÖ-Meldung, und wieder nach den EÖ-Meldungen, vor/mit vobs-Bedarf ..</t>
  </si>
  <si>
    <t xml:space="preserve">vor Bedarfserhebung, danach aus eingereichter BedErh, dann nach den Leiterbestellungen und nochmals </t>
  </si>
  <si>
    <t xml:space="preserve">Hier soll mehrfach jährlich der aktuelle Datenstand abgeglichen werden. </t>
  </si>
  <si>
    <t xml:space="preserve">Die Schulbezeichnungen wurden von Tobi mit Sokrates und SAP abgestimmt, </t>
  </si>
  <si>
    <t>Siehe Zellen K1:L2</t>
  </si>
  <si>
    <t>zB VS in Lustenau, MS in Hard, ..</t>
  </si>
  <si>
    <t>Auch bei gemeinsamem Schulsprengel in einer Gemeinde bleibt jede Schule gesondert berechnet</t>
  </si>
  <si>
    <t>Die Tabelle enthält die Werte für die Schultypen VS und MS, bei PTS und ASO wird damit nicht gerechnet</t>
  </si>
  <si>
    <t>Es gebe noch keine aktuelleren Werte, wobei nie wesentliche jährliche Schwankungen feststellbar waren.</t>
  </si>
  <si>
    <t>Diese Tabelle wurde von Andreas Kappaurer übernommen, enthalten sind die Werte für 2018/19</t>
  </si>
  <si>
    <t>Für SPF ist der Stunden-Zuschlag in den Spalten H:J zu finden</t>
  </si>
  <si>
    <t>Die Pro-Kopf-Berechnung ist in den Spalten A:F festgelegt</t>
  </si>
  <si>
    <t>Die Assistenzleistung im GTS-Freizeitbereich kann NIEMALS über ein Präs/3-Dienstverhältnis finanziert werden.</t>
  </si>
  <si>
    <t>bei neuen/zusätzlichen Wünschen wird die Schule unten Anmerkungen zu ergänzen haben.</t>
  </si>
  <si>
    <t xml:space="preserve">Die beantragten Stunden sind meist bereits abgesprochen, </t>
  </si>
  <si>
    <t>..unabhängig davon, welches Personal diese Stunden abdecken wird.</t>
  </si>
  <si>
    <t xml:space="preserve">Hier sollen die notwendigen Stunden zur Gänze eingetragen werden, </t>
  </si>
  <si>
    <t>das hier ermittelte Ergebnis ist lediglich ein Schätz-/Annäherungswert!</t>
  </si>
  <si>
    <t xml:space="preserve"> ..für die Leiter-Verminderung im Altrecht ist das Sokrates-Ergebnis maßgeblich,</t>
  </si>
  <si>
    <t xml:space="preserve">Die berechneten Wochenstunden für die LZ sind verbindlich, </t>
  </si>
  <si>
    <t>die in SOK (mit allen Details) ermittelten Gruppen!</t>
  </si>
  <si>
    <t>Sehr wohl verbindlich ist die hier berechnete Zahl an Wochenstunden!</t>
  </si>
  <si>
    <t xml:space="preserve">Die hier errechnete Anzahl an Gruppen kann von der Gruppenzahl in Sokrates abweichen,  ..maßgeblich sind jedenfalls </t>
  </si>
  <si>
    <t>Die möglichen Höchststunden für g.GTS sollen in unveränderter Großzügigkeit weitergeführt werden.</t>
  </si>
  <si>
    <t>..und hier angezeigt für ein komplettes GTS-Bild der Schule</t>
  </si>
  <si>
    <t>Für die verschränkte Form werden die Stunden hingegen aus dem Konti-Blatt übernommen</t>
  </si>
  <si>
    <t>In diesem Tabellenblatt werden die Stunden für die getrennte Form festgestellt - wie bisher in Aufbau und Ausmaß</t>
  </si>
  <si>
    <t>Hier kann noch beliebiger Text/Antrag/Hinweis ergänzt werden ..</t>
  </si>
  <si>
    <t xml:space="preserve"> - " -</t>
  </si>
  <si>
    <t>Hellgraue Schriftfarbe, wenn nicht in PD eingestuft</t>
  </si>
  <si>
    <t>So weit gerechnet werden kann, ist hier die Unterri.Verpflichtung angezeigt</t>
  </si>
  <si>
    <t>Es kann mit den wenigen Daten nicht immer zu-Ende-gerechnet werden, daher manchmal Fragezeigen</t>
  </si>
  <si>
    <t>Wenn Leitung in PD, dann andere Schriftfarbe und nur wenige Einträge</t>
  </si>
  <si>
    <t>Hier erscheint der passende Textvorschlag, sofern die Spalte F in Tabelle &lt;CI&gt; aktuell gewartet ist</t>
  </si>
  <si>
    <t>Hier sollen nicht Einzel-Einrechnungen der eigenen Lehrer an anderen Schulen eingetragen werden, sondern zB IT-Regionalbetreuung, ARGE</t>
  </si>
  <si>
    <t>..wobei derartige Fälle kaum mehr vorkommen werden!?</t>
  </si>
  <si>
    <t xml:space="preserve">Die Stundenberechnung für g.GTS ist aus den bisherigen Regelungen übernommen. </t>
  </si>
  <si>
    <t>Eine autonome KL-Änderung wirkt nicht (mehr) bei gänzlicher Freistellung und nie bei PD-Leitung!</t>
  </si>
  <si>
    <t>Wo und wie zu begründen wäre, wird hier offen gelassen</t>
  </si>
  <si>
    <t>Hier wird die Zwischensumme auf 1 Kommastelle aufgerundet</t>
  </si>
  <si>
    <t>Es wird "(0,0)" angezeigt, wenn wegen zu geringem CI keine Mehrstunden zustehen</t>
  </si>
  <si>
    <t>DFörderung wird so ausgewiesen, wie über Trias gewünscht u. angeordnet</t>
  </si>
  <si>
    <t>Es wird die durchschnittliche Anzahl der SuS pro KL angezeigt, in Gesamtbetrachtung über alle Schulstufen</t>
  </si>
  <si>
    <t>Die KL-Anzahl lässt sich hier überschreiben, wenn schulautonom anders beschlossen wurde.</t>
  </si>
  <si>
    <t>Jedenfalls aber mit der Anpassung, dass die DFöKL nicht mehr gesondert herausgerechnet wird!</t>
  </si>
  <si>
    <t>..aber keineswegs mit der Absicht, etwas einsparen zu wollen.</t>
  </si>
  <si>
    <t>..so ähnlich bzw möglichst gleichlautend wie zuletzt bis 2021/22</t>
  </si>
  <si>
    <t>zu H21:  Bei/ab 25,1 gibt es die Teilung,  ..Zehntelzahlen sind möglich durch die SPF-Höherwertung um 0,3</t>
  </si>
  <si>
    <t>Die Berechnung der Klassen wird ausschließlich benötigt für die Leitungsverminderung im Altrecht!</t>
  </si>
  <si>
    <t xml:space="preserve">In diesen Zeilen sind auch die SuS der DFöKL mitzurechen, </t>
  </si>
  <si>
    <t xml:space="preserve">Das Tabellenblatt &lt;CI&gt; soll nicht-holbar-ausgeblendet sein, zumal dort auch andere Daten eingetragen sind. </t>
  </si>
  <si>
    <t>Bei Eintrag einer nicht-existenten SKZ erscheint möglicherweise der Schulname der nächstniedrigeren SKZ</t>
  </si>
  <si>
    <t>in Zelle i5 erscheint ein Text, wenn der Schulname anders lautet als der Eintrag aus der Tabelle &lt;CI&gt;</t>
  </si>
  <si>
    <t>Diese Zelle soll ausgewählt sein, dann gibt's den Hilfetext zum Befüllen</t>
  </si>
  <si>
    <t>gesonderte Mappen mit geringen Abweichungen  "zur Bedarfsplanung" im Frühjahr und "zum Schulstart" im Herbst</t>
  </si>
  <si>
    <t>pro Schultyp gesondert = in vier Varianten</t>
  </si>
  <si>
    <t>Excel-Mappe für die Berechnung der Stundenressourcen pro Einzelschule, in dieser Form begonnen im Frühjahr 2022 (ab dem Schuljahr 2022/23)</t>
  </si>
  <si>
    <t>Schulen mit MS-Abschluss-KL, Klein-KL oder besonderen Regelungen erhalten hier eine Meldung - bei künftigen Änderungen bitte anpassen!</t>
  </si>
  <si>
    <t>In den Zellen L9 sind die SKZ der besonderen Schulen gelistet</t>
  </si>
  <si>
    <t>..hingegen sind die SuS in den "Spezial-Klassen" (laut L9) extra anzugeben in Zeile 18!</t>
  </si>
  <si>
    <t>Höherwertung von 0,3 für SuS mit SPF laut Zelle f17 bei KL-Berechnung durch die Behörde in c21:24</t>
  </si>
  <si>
    <t>&lt;&lt;&lt;Diese Zeile soll (nur) von Standorten mit einer "Spezial-Klassen" (laut L9) eingeblendet werden!</t>
  </si>
  <si>
    <t>In f21:f24 wird der SPF-Zuschlag berechnet, beginnend immer mit dem 1. Kind auf jeder Schulstufe (bzw Zeile)</t>
  </si>
  <si>
    <t>Zusatzstunden (in G21:H24) aus, wenn die Schule in der Zelle L26 gelistet ist</t>
  </si>
  <si>
    <t xml:space="preserve">Die in G12:H14 eingetragenen SuS an Schwerpunkt-MS lösen nur dann </t>
  </si>
  <si>
    <t>In c21:c24 werden behördenseits die möglichen/vorgesehenen KL berechnet</t>
  </si>
  <si>
    <t>Eine behördlich genehmigte Änderung der KL-Zahl ..aus der Zelle K55 wird hier einbezogen</t>
  </si>
  <si>
    <t xml:space="preserve">Die größten Teile der Unterrichts-Kontingente sind in dieser Zeile berechnet; </t>
  </si>
  <si>
    <t>.. auch die -0,5 für IT-Erhöhung scheint hier in Spalte J auf</t>
  </si>
  <si>
    <t>berechnet wird nach den autonom eingerichteten Klassen</t>
  </si>
  <si>
    <t xml:space="preserve">ab dem SJ 2023/24 dann im Vollausbau, daher im Apr.2023 hier drei Zellen anpassen.  </t>
  </si>
  <si>
    <t>Das Berechnungsergebnis leitet sich aus der Anzahl der SuS ab</t>
  </si>
  <si>
    <t>&lt;&lt;&lt;Diese Zeile ist zur Reserve, derzeit ohne Funktion ..</t>
  </si>
  <si>
    <t>rechts in j48 wird die GTS-Stundensumme angezeigt  ..nach Einträgen im Tabellenblatt &lt;GTS&gt;</t>
  </si>
  <si>
    <t>In der Zelle K55 darf die Schule dann eine Ganzzahl eintragen, wenn von Präs/3 genehmigt wurde</t>
  </si>
  <si>
    <t>Ab mittleren Schulgrößen = ab 2,5 kann hier um 0,1 erhöht werden. Das geht dann zulasten des Unterrichts, siehe Zelle j31</t>
  </si>
  <si>
    <t>Regelungen für MDM technisch laut Blatt &lt;BasisM&gt;</t>
  </si>
  <si>
    <t>Der errechnete Wert ist bei den MS als nicht-änderbar eingestellt</t>
  </si>
  <si>
    <t>BasisM</t>
  </si>
  <si>
    <t>Die Einrechnung ist in L13:M42 hinterlegt,  orange-textgefärbt in N sind die nicht um 2% gekürzten Werte</t>
  </si>
  <si>
    <t>Die Einrechnungsstunden sind in p14:r18 platziert</t>
  </si>
  <si>
    <t xml:space="preserve">die Digitale Grundbildung soll ebenfalls (nicht nach KL, sondern) aus der SuS-Anzahl abgeleitet werden, </t>
  </si>
  <si>
    <t>..wobei die tendenziell kleineren KL an kleineren Standorten durch die Spannweite von beginnend 16 bis 22 SuS pro KL berücksichtigt werden</t>
  </si>
  <si>
    <t>Für Später-Einsteigende sind die Spalte R (und in Folgejahren weitere Spalten) zu befüllen</t>
  </si>
  <si>
    <t>Bedeutung:  j21 = Beginn im Jahr 2021, siehe Einträge in Tabelle &lt;CI&gt; in E240:E296</t>
  </si>
  <si>
    <t>für BEOR (= Einrechnung f. Berufsorientierung)  ..ist der pro-Kopf-Wert in Zelle B25 festgelegt</t>
  </si>
  <si>
    <t>Eine Schule wurde geschätzt, siehe Zeile 25</t>
  </si>
  <si>
    <t>Bei den MS gibt es unter dem Wert von 108,0 nix, der Faktor beträgt 0,006333</t>
  </si>
  <si>
    <t>Bis Zeile 223 ist ein Filter gesetzt für die MS, aus diesen Zeilen kommen die Werte für den Index..</t>
  </si>
  <si>
    <t>die genauen Daten dafür und Relevantes für den Leiter sind festgehalten in den Zeilen 240:296</t>
  </si>
  <si>
    <t xml:space="preserve">Frage: </t>
  </si>
  <si>
    <t>Soll das orange Textfeld für Religion (mit Pfeil zu Zelle C31) auch im Herbst 2022 noch stehen bleiben?</t>
  </si>
  <si>
    <t xml:space="preserve"> lila </t>
  </si>
  <si>
    <t>..gefärbte Tabellenblätter sollen 'versteckt'-augeblendet sein</t>
  </si>
  <si>
    <t>Berechnung der Stundenressourcen</t>
  </si>
  <si>
    <t xml:space="preserve"> ..für zB Regionales/ Landesweite Tätigkeiten</t>
  </si>
  <si>
    <t xml:space="preserve">BedS  = Bedarfsplanung der Stundenressourcen </t>
  </si>
  <si>
    <t>in J7 kann die Versions-Nr angepasst werden, falls Änderungen notwendig wurden</t>
  </si>
  <si>
    <t xml:space="preserve">Die Blattbezeichnung in A1 ist anders bei Bedarfsmeldung und als 'Jahresmeldung' zum Schulstart (= bisher "EöB") </t>
  </si>
  <si>
    <t>..und heraus-/hineinzunehmen ist die Datenmeldung in D10&amp;D11</t>
  </si>
  <si>
    <t xml:space="preserve">… mit einer verpflichtend durchgehenden Anwesenheit der angemeldeten Schüler </t>
  </si>
  <si>
    <t>Konti23</t>
  </si>
  <si>
    <t>Korrektur durch Präs/3</t>
  </si>
  <si>
    <t>bzw. durch Lehrpersonal mit der Verwendung "Stütz- und BegleitlehrerInnen"</t>
  </si>
  <si>
    <t>Schulische Assistenz durch SAF Personal</t>
  </si>
  <si>
    <t xml:space="preserve"> Im Tabellenblatt &lt;Assistenz&gt; sind Einträge </t>
  </si>
  <si>
    <t xml:space="preserve">für ..  </t>
  </si>
  <si>
    <t xml:space="preserve">tatsächlich eingerichtete Gruppen </t>
  </si>
  <si>
    <t>für tatsächlich eingerichtete Gruppen</t>
  </si>
  <si>
    <t>für Gruppenberechnung</t>
  </si>
  <si>
    <t>GL_MO</t>
  </si>
  <si>
    <t>IL_MO</t>
  </si>
  <si>
    <t>GL_DI</t>
  </si>
  <si>
    <t>IL_DI</t>
  </si>
  <si>
    <t>GL_MI</t>
  </si>
  <si>
    <t>IL_MI</t>
  </si>
  <si>
    <t>GL_DO</t>
  </si>
  <si>
    <t>IL_DO</t>
  </si>
  <si>
    <t>GL_FR</t>
  </si>
  <si>
    <t>IL_FR</t>
  </si>
  <si>
    <t>GLZ Einheiten</t>
  </si>
  <si>
    <t>Konti!S85</t>
  </si>
  <si>
    <t>ILZ Einheiten</t>
  </si>
  <si>
    <t>GLZ</t>
  </si>
  <si>
    <t>ILZ</t>
  </si>
  <si>
    <t>Gruppen</t>
  </si>
  <si>
    <t>Gerundet</t>
  </si>
  <si>
    <t>Klassen</t>
  </si>
  <si>
    <t>(außer bei Mail-Einreichung:)</t>
  </si>
  <si>
    <t xml:space="preserve">   Unterschrift  [Dir.]</t>
  </si>
  <si>
    <t>verschränkt</t>
  </si>
  <si>
    <t>LehrerInnen-
stunden</t>
  </si>
  <si>
    <t>ja</t>
  </si>
  <si>
    <t>nein</t>
  </si>
  <si>
    <t>Anzahl WoStunden 
für die Assistenz 
im Unterricht, ILZ/GLZ</t>
  </si>
  <si>
    <t>Extra Antrag für Unterrichtsstunden</t>
  </si>
  <si>
    <t>zb.: Zusatzkontingent DM: Unterrichtstunden für besondere Förderung; Begabungs- u. Begabtenförderung,
100 Schulen 1000 Chancen,
Schulen mit besonderen Herausforderungen (Bregenz Rieden und Bludenz)</t>
  </si>
  <si>
    <t>Einheit &lt; 25 min</t>
  </si>
  <si>
    <t>Digitale Grundbildung in 4 Stufen:</t>
  </si>
  <si>
    <t>Französisch</t>
  </si>
  <si>
    <t>Türkisch</t>
  </si>
  <si>
    <r>
      <t xml:space="preserve"> Beschäftigungsausmaß 
 </t>
    </r>
    <r>
      <rPr>
        <sz val="11"/>
        <rFont val="Calibri"/>
        <family val="2"/>
      </rPr>
      <t>in Stunden</t>
    </r>
  </si>
  <si>
    <r>
      <t xml:space="preserve"> NICHT</t>
    </r>
    <r>
      <rPr>
        <sz val="11"/>
        <rFont val="Calibri"/>
        <family val="2"/>
      </rPr>
      <t xml:space="preserve"> im Dienst</t>
    </r>
  </si>
  <si>
    <r>
      <t xml:space="preserve"> Versetzung beantragt
</t>
    </r>
    <r>
      <rPr>
        <sz val="11"/>
        <rFont val="Calibri"/>
        <family val="2"/>
      </rPr>
      <t xml:space="preserve"> (mit xx Stunden)</t>
    </r>
  </si>
  <si>
    <r>
      <rPr>
        <sz val="11"/>
        <rFont val="Calibri"/>
        <family val="2"/>
      </rPr>
      <t xml:space="preserve"> für</t>
    </r>
    <r>
      <rPr>
        <b/>
        <sz val="11"/>
        <rFont val="Calibri"/>
        <family val="2"/>
      </rPr>
      <t xml:space="preserve"> Assistenz
 (mit Anstellung über BilDi)</t>
    </r>
  </si>
  <si>
    <r>
      <t xml:space="preserve"> Religion
 </t>
    </r>
    <r>
      <rPr>
        <sz val="11"/>
        <rFont val="Calibri"/>
        <family val="2"/>
      </rPr>
      <t>(röm.kath.)</t>
    </r>
  </si>
  <si>
    <t xml:space="preserve"> Muttersprache &amp;
 andere Religionen</t>
  </si>
  <si>
    <t xml:space="preserve"> Werken,
 Ernährung/Haushalt</t>
  </si>
  <si>
    <t xml:space="preserve"> Instrumental</t>
  </si>
  <si>
    <r>
      <t xml:space="preserve"> Einrechnungen
</t>
    </r>
    <r>
      <rPr>
        <sz val="11"/>
        <rFont val="Calibri"/>
        <family val="2"/>
      </rPr>
      <t xml:space="preserve"> (IT, Bib &amp; sonstige
 Einrechnungen) </t>
    </r>
  </si>
  <si>
    <r>
      <t xml:space="preserve"> Stunden an
 </t>
    </r>
    <r>
      <rPr>
        <b/>
        <sz val="11"/>
        <rFont val="Calibri"/>
        <family val="2"/>
      </rPr>
      <t>anderen Schulen</t>
    </r>
  </si>
  <si>
    <r>
      <t xml:space="preserve">Name, </t>
    </r>
    <r>
      <rPr>
        <b/>
        <sz val="12"/>
        <rFont val="Calibri"/>
        <family val="2"/>
      </rPr>
      <t>Stammschule</t>
    </r>
    <r>
      <rPr>
        <sz val="12"/>
        <rFont val="Calibri"/>
        <family val="2"/>
      </rPr>
      <t xml:space="preserve">
</t>
    </r>
  </si>
  <si>
    <r>
      <t xml:space="preserve">Assistenz
</t>
    </r>
    <r>
      <rPr>
        <sz val="10"/>
        <rFont val="Calibri"/>
        <family val="2"/>
      </rPr>
      <t>(mit Anstellung über BilDi)</t>
    </r>
  </si>
  <si>
    <r>
      <t xml:space="preserve">
</t>
    </r>
    <r>
      <rPr>
        <b/>
        <sz val="11"/>
        <rFont val="Calibri"/>
        <family val="2"/>
      </rPr>
      <t>Fach</t>
    </r>
  </si>
  <si>
    <t xml:space="preserve">
Stunden</t>
  </si>
  <si>
    <t xml:space="preserve">Einschätzung der Schule: </t>
  </si>
  <si>
    <t xml:space="preserve">     keine personelle Änderung notwendig</t>
  </si>
  <si>
    <r>
      <t xml:space="preserve">     </t>
    </r>
    <r>
      <rPr>
        <b/>
        <u/>
        <sz val="14"/>
        <rFont val="Calibri"/>
        <family val="2"/>
      </rPr>
      <t>Überbesetzung:</t>
    </r>
  </si>
  <si>
    <t xml:space="preserve">      Lehrverpflichtung eingesetzt werden.  </t>
  </si>
  <si>
    <t xml:space="preserve">      Lösungsvorschlag:</t>
  </si>
  <si>
    <t xml:space="preserve">     zusätzlicher Bedarf
      an Lehrpersonen:</t>
  </si>
  <si>
    <t>1. Unterrichtsfach</t>
  </si>
  <si>
    <t>2. Unterrichtsfach</t>
  </si>
  <si>
    <t>3. Unterrichtsfach</t>
  </si>
  <si>
    <t>Anzahl Stunden für
Teamteaching, Integration</t>
  </si>
  <si>
    <t>Anzahl Stunden
in Fach 3</t>
  </si>
  <si>
    <t>Anzahl Stunden
in Fach 2</t>
  </si>
  <si>
    <t>Anzahl Stunden
in Fach 1</t>
  </si>
  <si>
    <r>
      <t xml:space="preserve">Einrechnungen
</t>
    </r>
    <r>
      <rPr>
        <sz val="11"/>
        <rFont val="Calibri"/>
        <family val="2"/>
        <scheme val="minor"/>
      </rPr>
      <t>IT-Betreuung,  MDM, Bibliothek,…</t>
    </r>
  </si>
  <si>
    <t>Summe</t>
  </si>
  <si>
    <t>mustafa.can@bildung-vbg.gv.at</t>
  </si>
  <si>
    <t>Albanisch</t>
  </si>
  <si>
    <t>Arabisch</t>
  </si>
  <si>
    <t>Armenisch</t>
  </si>
  <si>
    <t>Chinesisch</t>
  </si>
  <si>
    <t>Englisch</t>
  </si>
  <si>
    <t>Italienisch</t>
  </si>
  <si>
    <t>Polnisch</t>
  </si>
  <si>
    <t>Rumänisch</t>
  </si>
  <si>
    <t>Russisch</t>
  </si>
  <si>
    <t>Spanisch</t>
  </si>
  <si>
    <t>Tschetschenisch</t>
  </si>
  <si>
    <t>Ungarisch</t>
  </si>
  <si>
    <t>Ukrainisch</t>
  </si>
  <si>
    <t>MS für 2024/25</t>
  </si>
  <si>
    <t>Anmeldungen für den Erstsprachenunterricht</t>
  </si>
  <si>
    <t>Anmeldeformulare und weiterführende Informationen</t>
  </si>
  <si>
    <t>Klasse, Telnr. der Eltern bekanntgegeben werden.</t>
  </si>
  <si>
    <t>Übermitteln Sie bitte die Schülerdaten per Mail an:</t>
  </si>
  <si>
    <t>j23</t>
  </si>
  <si>
    <t>Mb PTS Lauterach</t>
  </si>
  <si>
    <t>B/K/S</t>
  </si>
  <si>
    <t>Sonstige Sprachen</t>
  </si>
  <si>
    <t xml:space="preserve">ein Unterricht in dieser Erstsprache zustande kommt. </t>
  </si>
  <si>
    <r>
      <t xml:space="preserve">LehrerInnen mit </t>
    </r>
    <r>
      <rPr>
        <b/>
        <u/>
        <sz val="22"/>
        <color theme="1"/>
        <rFont val="Calibri"/>
        <family val="2"/>
      </rPr>
      <t>anderer Stammschule</t>
    </r>
    <r>
      <rPr>
        <b/>
        <sz val="22"/>
        <color theme="1"/>
        <rFont val="Calibri"/>
        <family val="2"/>
      </rPr>
      <t xml:space="preserve">, </t>
    </r>
  </si>
  <si>
    <t>Name</t>
  </si>
  <si>
    <t>Vorname</t>
  </si>
  <si>
    <t>Std.</t>
  </si>
  <si>
    <t>Rel</t>
  </si>
  <si>
    <t>Assi</t>
  </si>
  <si>
    <t>Einr.</t>
  </si>
  <si>
    <t>and.
Schule</t>
  </si>
  <si>
    <t>lit</t>
  </si>
  <si>
    <t xml:space="preserve">Summe: </t>
  </si>
  <si>
    <t xml:space="preserve">zur Verfügung stehendes Kontingent: </t>
  </si>
  <si>
    <t xml:space="preserve">Restkontingent: </t>
  </si>
  <si>
    <t>WE/EH</t>
  </si>
  <si>
    <t>Inst</t>
  </si>
  <si>
    <t>SART
für Konti</t>
  </si>
  <si>
    <t>Schulname
für Konti</t>
  </si>
  <si>
    <t>Bezirk</t>
  </si>
  <si>
    <t>Abzug
IT</t>
  </si>
  <si>
    <t>SB</t>
  </si>
  <si>
    <t>VS</t>
  </si>
  <si>
    <t>Bartholomäberg-Gantschier</t>
  </si>
  <si>
    <t>MS</t>
  </si>
  <si>
    <t>Schruns-Dorf</t>
  </si>
  <si>
    <t>Bludenz-Mitte</t>
  </si>
  <si>
    <t>Innermontafon</t>
  </si>
  <si>
    <t>Bludenz-Obdorf</t>
  </si>
  <si>
    <t>Bludenz-St Peter</t>
  </si>
  <si>
    <t>Klostertal</t>
  </si>
  <si>
    <t>Bludenz-Außerbraz</t>
  </si>
  <si>
    <t>Schruns-Grüt</t>
  </si>
  <si>
    <t>Bludenz-Bings</t>
  </si>
  <si>
    <t>Großes Walsertal</t>
  </si>
  <si>
    <t>Brand</t>
  </si>
  <si>
    <t>MSp</t>
  </si>
  <si>
    <t>Ludesch-Oberland</t>
  </si>
  <si>
    <t>Wald am Arlberg</t>
  </si>
  <si>
    <t>Fontanella</t>
  </si>
  <si>
    <t>Innerbraz</t>
  </si>
  <si>
    <t>Lorüns</t>
  </si>
  <si>
    <t>Nenzing-Beschling</t>
  </si>
  <si>
    <t>St Anton im Montafon</t>
  </si>
  <si>
    <t>St Gallenkirch</t>
  </si>
  <si>
    <t>St Gallenkirch-Gortipohl</t>
  </si>
  <si>
    <t>St Gerold</t>
  </si>
  <si>
    <t xml:space="preserve"> (mit ASO)</t>
  </si>
  <si>
    <t>St Gallenkirch-Galgenul</t>
  </si>
  <si>
    <t>VSp</t>
  </si>
  <si>
    <t>Lernwerkstatt-Mittelpunkt</t>
  </si>
  <si>
    <t>Lernwerkstatt-Brunnenfeld</t>
  </si>
  <si>
    <t>Bregenz-Stadt</t>
  </si>
  <si>
    <t>Bregenz-Augasse</t>
  </si>
  <si>
    <t>Bregenz-Marienberg</t>
  </si>
  <si>
    <t>Bregenz-Schendlingen</t>
  </si>
  <si>
    <t>Bregenz-Rieden</t>
  </si>
  <si>
    <t>Bregenz-Fluh</t>
  </si>
  <si>
    <t>Au</t>
  </si>
  <si>
    <t>PBregenz-Riedenburg</t>
  </si>
  <si>
    <t>Alberschwende-Hof</t>
  </si>
  <si>
    <t>Egg</t>
  </si>
  <si>
    <t>Alberschwende-Dreßlen</t>
  </si>
  <si>
    <t>Hard-See</t>
  </si>
  <si>
    <t>Alberschwende-Fischbach</t>
  </si>
  <si>
    <t>Alberschwende-Müselbach</t>
  </si>
  <si>
    <t>Kleinwalsertal</t>
  </si>
  <si>
    <t>(mit ASO, PTS und RS)</t>
  </si>
  <si>
    <t>Andelsbuch-Bersbuch</t>
  </si>
  <si>
    <t>Lingenau</t>
  </si>
  <si>
    <t>Lochau</t>
  </si>
  <si>
    <t>Bildstein</t>
  </si>
  <si>
    <t>Hard-Mittelweiherburg</t>
  </si>
  <si>
    <t>Egg-Großdorf</t>
  </si>
  <si>
    <t>Gaißau</t>
  </si>
  <si>
    <t>Höchst-Kirchdorf</t>
  </si>
  <si>
    <t>Höchst-Unterdorf</t>
  </si>
  <si>
    <t>Krumbach</t>
  </si>
  <si>
    <t>Langen</t>
  </si>
  <si>
    <t>Lauterach-Dorf</t>
  </si>
  <si>
    <t>Lauterach-Unterfeld</t>
  </si>
  <si>
    <t>Le</t>
  </si>
  <si>
    <t>Mittelberg</t>
  </si>
  <si>
    <t>Hirschegg</t>
  </si>
  <si>
    <t>Riezlern</t>
  </si>
  <si>
    <t>Möggers</t>
  </si>
  <si>
    <t>Schwarzenberg</t>
  </si>
  <si>
    <t>Sulzberg</t>
  </si>
  <si>
    <t>Sulzberg-Thal</t>
  </si>
  <si>
    <t>Wolfurt-Bütze</t>
  </si>
  <si>
    <t>Wolfurt-Mähdle</t>
  </si>
  <si>
    <t>Bregenz-Weidach</t>
  </si>
  <si>
    <t>Höchst-Schulstube</t>
  </si>
  <si>
    <t>Bregenz-Mehrerau</t>
  </si>
  <si>
    <t>Dornbirn-Edlach</t>
  </si>
  <si>
    <t>Dornbirn-Bergmannstraße</t>
  </si>
  <si>
    <t>Dornbirn-Rohrbach</t>
  </si>
  <si>
    <t>Hohenems-Markt</t>
  </si>
  <si>
    <t>Dornbirn-Leopoldstraße</t>
  </si>
  <si>
    <t>Lustenau-Kirchdorf</t>
  </si>
  <si>
    <t>Dornbirn-Mittelfeld</t>
  </si>
  <si>
    <t>Dornbirn-Schoren</t>
  </si>
  <si>
    <t>Dornbirn-Baumgarten</t>
  </si>
  <si>
    <t>Dornbirn-Oberdorf</t>
  </si>
  <si>
    <t>Dornbirn-Lustenauerstraße</t>
  </si>
  <si>
    <t>Dornbirn-Haselstauden</t>
  </si>
  <si>
    <t>Hohenems-Herrenried</t>
  </si>
  <si>
    <t>Dornbirn-Gütle</t>
  </si>
  <si>
    <t>Lustenau-Hasenfeld</t>
  </si>
  <si>
    <t>Dornbirn-Heilgereuthe</t>
  </si>
  <si>
    <t>Dornbirn-Kehlegg</t>
  </si>
  <si>
    <t>Dornbirn-Watzenegg</t>
  </si>
  <si>
    <t>Dornbirn-Winsau</t>
  </si>
  <si>
    <t>Hohenems-Reute</t>
  </si>
  <si>
    <t>Lustenau-Rotkreuz</t>
  </si>
  <si>
    <t>Dornbirn-Wallenmahd</t>
  </si>
  <si>
    <t>Hohenems-Schwefel</t>
  </si>
  <si>
    <t xml:space="preserve">  &lt;&lt;abgeleitet/kopiert v. Ho-Markt</t>
  </si>
  <si>
    <t>Dornbirn-Fischbach</t>
  </si>
  <si>
    <t xml:space="preserve">  &lt;&lt;abgeleitet/kopiert v. Haselstauden</t>
  </si>
  <si>
    <t>Düns</t>
  </si>
  <si>
    <t>Feldkirch-Oberau</t>
  </si>
  <si>
    <t>Feldkirch-Levis</t>
  </si>
  <si>
    <t>Rankweil-West</t>
  </si>
  <si>
    <t>Feldkirch-Gisingen-Sebastianplatz</t>
  </si>
  <si>
    <t>Feldkirch-Gisingen-Oberau</t>
  </si>
  <si>
    <t>Zwischenwasser-Muntlix</t>
  </si>
  <si>
    <t>Feldkirch-Nofels</t>
  </si>
  <si>
    <t>Feldkirch-Institut St Josef</t>
  </si>
  <si>
    <t>Feldkirch-Tosters</t>
  </si>
  <si>
    <t>Frastanz Hofen</t>
  </si>
  <si>
    <t>Frastanz-Fellengatter</t>
  </si>
  <si>
    <t>Rankweil-Ost</t>
  </si>
  <si>
    <t>Göfis-Kirchdorf</t>
  </si>
  <si>
    <t>Göfis-Agasella</t>
  </si>
  <si>
    <t>Götzis-Markt</t>
  </si>
  <si>
    <t>Götzis-Berg</t>
  </si>
  <si>
    <t>Meiningen</t>
  </si>
  <si>
    <t>Rankweil-Markt</t>
  </si>
  <si>
    <t>Rankweil-Brederis</t>
  </si>
  <si>
    <t>Röthis</t>
  </si>
  <si>
    <t>Götzis-Blattur</t>
  </si>
  <si>
    <t>Rankweil-Entdeckerschule</t>
  </si>
  <si>
    <t>Rankweil-Montfort</t>
  </si>
  <si>
    <t>Freie Montessori Schule</t>
  </si>
  <si>
    <t>normale Klassen</t>
  </si>
  <si>
    <t>Einrechnung</t>
  </si>
  <si>
    <t>Konti24</t>
  </si>
  <si>
    <r>
      <t xml:space="preserve">LeiterIn und LehrerInnen </t>
    </r>
    <r>
      <rPr>
        <b/>
        <sz val="18"/>
        <rFont val="Calibri"/>
        <family val="2"/>
      </rPr>
      <t xml:space="preserve">
</t>
    </r>
    <r>
      <rPr>
        <b/>
        <sz val="18"/>
        <color indexed="16"/>
        <rFont val="Calibri"/>
        <family val="2"/>
      </rPr>
      <t xml:space="preserve">der eigenen Schule 
</t>
    </r>
    <r>
      <rPr>
        <b/>
        <sz val="10"/>
        <color indexed="16"/>
        <rFont val="Calibri"/>
        <family val="2"/>
      </rPr>
      <t>[= Stammschule]</t>
    </r>
    <r>
      <rPr>
        <b/>
        <sz val="10"/>
        <rFont val="Calibri"/>
        <family val="2"/>
      </rPr>
      <t xml:space="preserve">
… in alphabetischer Reihenfolge
</t>
    </r>
    <r>
      <rPr>
        <b/>
        <u/>
        <sz val="10"/>
        <rFont val="Calibri"/>
        <family val="2"/>
      </rPr>
      <t>beginnend mit der Leitung</t>
    </r>
  </si>
  <si>
    <t xml:space="preserve"> Erstsprache &amp;
 andere Religionen</t>
  </si>
  <si>
    <t xml:space="preserve">      nicht alle im Blatt &lt;Lehrpersonen&gt; eingetragenen Lehrpersonen können im Rahmen ihrer </t>
  </si>
  <si>
    <t xml:space="preserve">verpflichtend angemeldet haben, unabhängig davon, ob an der Stammschule </t>
  </si>
  <si>
    <r>
      <t xml:space="preserve"> Gehaltene Stunden
</t>
    </r>
    <r>
      <rPr>
        <sz val="11"/>
        <rFont val="Calibri"/>
        <family val="2"/>
        <scheme val="minor"/>
      </rPr>
      <t xml:space="preserve"> außer jene der Spalten H bis O</t>
    </r>
  </si>
  <si>
    <r>
      <t xml:space="preserve"> Gehaltene Stunden
</t>
    </r>
    <r>
      <rPr>
        <sz val="11"/>
        <rFont val="Calibri"/>
        <family val="2"/>
        <scheme val="minor"/>
      </rPr>
      <t xml:space="preserve"> außer jene der Spalten F bis N</t>
    </r>
  </si>
  <si>
    <t xml:space="preserve"> Erstsprache &amp;
alle Religionen</t>
  </si>
  <si>
    <t xml:space="preserve">Lit. Stunden + GTS: </t>
  </si>
  <si>
    <t xml:space="preserve">Extra Antrag: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</si>
</sst>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quot; +BEOR  &quot;General"/>
    <numFmt numFmtId="166" formatCode="General\ \K\L"/>
    <numFmt numFmtId="167" formatCode="\+\ 0.0;\-\ 0.0"/>
    <numFmt numFmtId="168" formatCode="General\ \ &quot;SuS&quot;"/>
    <numFmt numFmtId="169" formatCode="\á\ \ 0.00"/>
    <numFmt numFmtId="170" formatCode="0.000"/>
    <numFmt numFmtId="171" formatCode="\+General;\-General"/>
    <numFmt numFmtId="172" formatCode="\+\ General"/>
    <numFmt numFmtId="173" formatCode="0.0%"/>
  </numFmts>
  <fonts count="204"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2"/>
      <color theme="1"/>
      <name val="Calibri"/>
      <family val="2"/>
    </font>
    <font>
      <sz val="14"/>
      <color theme="1"/>
      <name val="Calibri"/>
      <family val="2"/>
    </font>
    <font>
      <sz val="11"/>
      <color theme="1"/>
      <name val="Calibri"/>
      <family val="2"/>
      <scheme val="minor"/>
    </font>
    <font>
      <b/>
      <u/>
      <sz val="14"/>
      <color rgb="FFC00000"/>
      <name val="Calibri"/>
      <family val="2"/>
      <scheme val="minor"/>
    </font>
    <font>
      <sz val="14"/>
      <color theme="1"/>
      <name val="Calibri"/>
      <family val="2"/>
      <scheme val="minor"/>
    </font>
    <font>
      <sz val="11"/>
      <color rgb="FF000000"/>
      <name val="Calibri"/>
      <family val="2"/>
    </font>
    <font>
      <b/>
      <sz val="11"/>
      <color rgb="FF000000"/>
      <name val="Calibri"/>
      <family val="2"/>
    </font>
    <font>
      <sz val="10"/>
      <name val="Arial"/>
      <family val="2"/>
    </font>
    <font>
      <sz val="11"/>
      <color rgb="FF0070C0"/>
      <name val="Calibri"/>
      <family val="2"/>
    </font>
    <font>
      <sz val="13"/>
      <color theme="1"/>
      <name val="Calibri"/>
      <family val="2"/>
    </font>
    <font>
      <sz val="16"/>
      <color theme="1"/>
      <name val="Calibri"/>
      <family val="2"/>
    </font>
    <font>
      <b/>
      <sz val="12"/>
      <color theme="1"/>
      <name val="Calibri"/>
      <family val="2"/>
    </font>
    <font>
      <sz val="10"/>
      <color rgb="FF0070C0"/>
      <name val="Calibri"/>
      <family val="2"/>
      <scheme val="minor"/>
    </font>
    <font>
      <sz val="11"/>
      <color rgb="FFC00000"/>
      <name val="Calibri"/>
      <family val="2"/>
    </font>
    <font>
      <sz val="10"/>
      <color rgb="FFC00000"/>
      <name val="Calibri"/>
      <family val="2"/>
    </font>
    <font>
      <sz val="11"/>
      <color theme="0" tint="-0.499984740745262"/>
      <name val="Calibri"/>
      <family val="2"/>
    </font>
    <font>
      <sz val="10"/>
      <name val="Calibri"/>
      <family val="2"/>
    </font>
    <font>
      <sz val="11"/>
      <name val="Calibri"/>
      <family val="2"/>
    </font>
    <font>
      <b/>
      <u/>
      <sz val="12"/>
      <color theme="1"/>
      <name val="Calibri"/>
      <family val="2"/>
    </font>
    <font>
      <sz val="8"/>
      <color theme="1"/>
      <name val="Calibri"/>
      <family val="2"/>
    </font>
    <font>
      <i/>
      <sz val="10"/>
      <color theme="0" tint="-0.499984740745262"/>
      <name val="Calibri"/>
      <family val="2"/>
    </font>
    <font>
      <i/>
      <sz val="11"/>
      <color theme="1"/>
      <name val="Calibri"/>
      <family val="2"/>
    </font>
    <font>
      <b/>
      <sz val="11"/>
      <color rgb="FF0070C0"/>
      <name val="Calibri"/>
      <family val="2"/>
    </font>
    <font>
      <sz val="11"/>
      <color rgb="FF7030A0"/>
      <name val="Calibri"/>
      <family val="2"/>
    </font>
    <font>
      <sz val="4"/>
      <color theme="1"/>
      <name val="Calibri"/>
      <family val="2"/>
    </font>
    <font>
      <sz val="10"/>
      <color theme="1"/>
      <name val="Calibri"/>
      <family val="2"/>
    </font>
    <font>
      <sz val="5"/>
      <color theme="0" tint="-0.499984740745262"/>
      <name val="Calibri"/>
      <family val="2"/>
    </font>
    <font>
      <sz val="10"/>
      <color theme="9" tint="-0.249977111117893"/>
      <name val="Calibri"/>
      <family val="2"/>
    </font>
    <font>
      <b/>
      <u/>
      <sz val="11"/>
      <color theme="1"/>
      <name val="Calibri"/>
      <family val="2"/>
    </font>
    <font>
      <sz val="5"/>
      <color theme="1"/>
      <name val="Calibri"/>
      <family val="2"/>
      <scheme val="minor"/>
    </font>
    <font>
      <i/>
      <sz val="8"/>
      <color theme="1"/>
      <name val="Calibri"/>
      <family val="2"/>
    </font>
    <font>
      <i/>
      <sz val="9"/>
      <color theme="1"/>
      <name val="Calibri"/>
      <family val="2"/>
    </font>
    <font>
      <i/>
      <sz val="10"/>
      <name val="Calibri"/>
      <family val="2"/>
    </font>
    <font>
      <b/>
      <sz val="11"/>
      <color rgb="FFC00000"/>
      <name val="Calibri"/>
      <family val="2"/>
    </font>
    <font>
      <b/>
      <sz val="14"/>
      <color theme="1"/>
      <name val="Calibri"/>
      <family val="2"/>
    </font>
    <font>
      <sz val="8"/>
      <color theme="0" tint="-0.499984740745262"/>
      <name val="Calibri"/>
      <family val="2"/>
    </font>
    <font>
      <b/>
      <sz val="11"/>
      <color rgb="FF7030A0"/>
      <name val="Calibri"/>
      <family val="2"/>
    </font>
    <font>
      <b/>
      <sz val="14"/>
      <name val="Calibri"/>
      <family val="2"/>
    </font>
    <font>
      <sz val="10"/>
      <color rgb="FF0070C0"/>
      <name val="Calibri"/>
      <family val="2"/>
    </font>
    <font>
      <sz val="8"/>
      <name val="Calibri"/>
      <family val="2"/>
    </font>
    <font>
      <sz val="11"/>
      <color theme="0" tint="-0.249977111117893"/>
      <name val="Calibri"/>
      <family val="2"/>
      <scheme val="minor"/>
    </font>
    <font>
      <sz val="10"/>
      <color theme="0" tint="-0.249977111117893"/>
      <name val="Calibri"/>
      <family val="2"/>
      <scheme val="minor"/>
    </font>
    <font>
      <sz val="10"/>
      <color theme="0"/>
      <name val="Calibri"/>
      <family val="2"/>
    </font>
    <font>
      <sz val="6"/>
      <color theme="0"/>
      <name val="Calibri"/>
      <family val="2"/>
    </font>
    <font>
      <i/>
      <sz val="8"/>
      <color rgb="FF0070C0"/>
      <name val="Calibri"/>
      <family val="2"/>
    </font>
    <font>
      <sz val="9"/>
      <color theme="0" tint="-0.499984740745262"/>
      <name val="Calibri"/>
      <family val="2"/>
    </font>
    <font>
      <sz val="6"/>
      <color theme="1"/>
      <name val="Calibri"/>
      <family val="2"/>
    </font>
    <font>
      <sz val="11"/>
      <color rgb="FF0070C0"/>
      <name val="Calibri"/>
      <family val="2"/>
      <scheme val="minor"/>
    </font>
    <font>
      <u/>
      <sz val="11"/>
      <color theme="1"/>
      <name val="Calibri"/>
      <family val="2"/>
      <scheme val="minor"/>
    </font>
    <font>
      <sz val="10"/>
      <color theme="1"/>
      <name val="Calibri"/>
      <family val="2"/>
      <scheme val="minor"/>
    </font>
    <font>
      <sz val="11"/>
      <name val="Arial"/>
      <family val="2"/>
    </font>
    <font>
      <u/>
      <sz val="11"/>
      <color indexed="12"/>
      <name val="Arial"/>
      <family val="2"/>
    </font>
    <font>
      <sz val="9"/>
      <color indexed="81"/>
      <name val="Tahoma"/>
      <family val="2"/>
    </font>
    <font>
      <sz val="9"/>
      <color indexed="81"/>
      <name val="Segoe UI"/>
      <family val="2"/>
    </font>
    <font>
      <sz val="24"/>
      <name val="Calibri"/>
      <family val="2"/>
      <scheme val="minor"/>
    </font>
    <font>
      <sz val="11"/>
      <name val="Calibri"/>
      <family val="2"/>
      <scheme val="minor"/>
    </font>
    <font>
      <u/>
      <sz val="18"/>
      <name val="Calibri"/>
      <family val="2"/>
      <scheme val="minor"/>
    </font>
    <font>
      <sz val="8"/>
      <name val="Calibri"/>
      <family val="2"/>
      <scheme val="minor"/>
    </font>
    <font>
      <sz val="9"/>
      <name val="Calibri"/>
      <family val="2"/>
      <scheme val="minor"/>
    </font>
    <font>
      <u/>
      <sz val="8"/>
      <name val="Calibri"/>
      <family val="2"/>
      <scheme val="minor"/>
    </font>
    <font>
      <i/>
      <sz val="11"/>
      <color indexed="62"/>
      <name val="Calibri"/>
      <family val="2"/>
      <scheme val="minor"/>
    </font>
    <font>
      <sz val="10"/>
      <color rgb="FF333399"/>
      <name val="Calibri"/>
      <family val="2"/>
      <scheme val="minor"/>
    </font>
    <font>
      <i/>
      <sz val="9"/>
      <color rgb="FF333399"/>
      <name val="Calibri"/>
      <family val="2"/>
      <scheme val="minor"/>
    </font>
    <font>
      <sz val="11"/>
      <color indexed="62"/>
      <name val="Calibri"/>
      <family val="2"/>
      <scheme val="minor"/>
    </font>
    <font>
      <u/>
      <sz val="11"/>
      <color rgb="FF333399"/>
      <name val="Calibri"/>
      <family val="2"/>
      <scheme val="minor"/>
    </font>
    <font>
      <sz val="14"/>
      <name val="Calibri"/>
      <family val="2"/>
      <scheme val="minor"/>
    </font>
    <font>
      <sz val="12"/>
      <name val="Calibri"/>
      <family val="2"/>
      <scheme val="minor"/>
    </font>
    <font>
      <u/>
      <sz val="12"/>
      <name val="Calibri"/>
      <family val="2"/>
      <scheme val="minor"/>
    </font>
    <font>
      <sz val="2"/>
      <name val="Calibri"/>
      <family val="2"/>
      <scheme val="minor"/>
    </font>
    <font>
      <b/>
      <sz val="12"/>
      <name val="Calibri"/>
      <family val="2"/>
      <scheme val="minor"/>
    </font>
    <font>
      <b/>
      <sz val="11"/>
      <name val="Calibri"/>
      <family val="2"/>
      <scheme val="minor"/>
    </font>
    <font>
      <sz val="10"/>
      <name val="Calibri"/>
      <family val="2"/>
      <scheme val="minor"/>
    </font>
    <font>
      <sz val="8"/>
      <color indexed="12"/>
      <name val="Calibri"/>
      <family val="2"/>
      <scheme val="minor"/>
    </font>
    <font>
      <i/>
      <sz val="8"/>
      <color indexed="60"/>
      <name val="Calibri"/>
      <family val="2"/>
      <scheme val="minor"/>
    </font>
    <font>
      <b/>
      <u/>
      <sz val="12"/>
      <name val="Calibri"/>
      <family val="2"/>
      <scheme val="minor"/>
    </font>
    <font>
      <sz val="8"/>
      <color theme="2" tint="-0.249977111117893"/>
      <name val="Calibri"/>
      <family val="2"/>
      <scheme val="minor"/>
    </font>
    <font>
      <sz val="16"/>
      <name val="Calibri"/>
      <family val="2"/>
      <scheme val="minor"/>
    </font>
    <font>
      <sz val="11"/>
      <color indexed="16"/>
      <name val="Calibri"/>
      <family val="2"/>
      <scheme val="minor"/>
    </font>
    <font>
      <sz val="8"/>
      <color indexed="44"/>
      <name val="Calibri"/>
      <family val="2"/>
      <scheme val="minor"/>
    </font>
    <font>
      <sz val="8"/>
      <color theme="6" tint="0.79998168889431442"/>
      <name val="Calibri"/>
      <family val="2"/>
      <scheme val="minor"/>
    </font>
    <font>
      <sz val="11"/>
      <color indexed="17"/>
      <name val="Calibri"/>
      <family val="2"/>
      <scheme val="minor"/>
    </font>
    <font>
      <sz val="9"/>
      <color indexed="17"/>
      <name val="Calibri"/>
      <family val="2"/>
      <scheme val="minor"/>
    </font>
    <font>
      <sz val="7"/>
      <color indexed="17"/>
      <name val="Calibri"/>
      <family val="2"/>
      <scheme val="minor"/>
    </font>
    <font>
      <sz val="9"/>
      <color indexed="12"/>
      <name val="Calibri"/>
      <family val="2"/>
      <scheme val="minor"/>
    </font>
    <font>
      <sz val="9"/>
      <color indexed="16"/>
      <name val="Calibri"/>
      <family val="2"/>
      <scheme val="minor"/>
    </font>
    <font>
      <sz val="8"/>
      <color theme="0"/>
      <name val="Calibri"/>
      <family val="2"/>
      <scheme val="minor"/>
    </font>
    <font>
      <sz val="8"/>
      <color rgb="FF0070C0"/>
      <name val="Calibri"/>
      <family val="2"/>
      <scheme val="minor"/>
    </font>
    <font>
      <sz val="6"/>
      <name val="Calibri"/>
      <family val="2"/>
      <scheme val="minor"/>
    </font>
    <font>
      <b/>
      <sz val="14"/>
      <name val="Calibri"/>
      <family val="2"/>
      <scheme val="minor"/>
    </font>
    <font>
      <sz val="11"/>
      <color indexed="12"/>
      <name val="Calibri"/>
      <family val="2"/>
      <scheme val="minor"/>
    </font>
    <font>
      <b/>
      <sz val="11"/>
      <color theme="4" tint="-0.249977111117893"/>
      <name val="Calibri"/>
      <family val="2"/>
      <scheme val="minor"/>
    </font>
    <font>
      <b/>
      <sz val="9"/>
      <name val="Calibri"/>
      <family val="2"/>
      <scheme val="minor"/>
    </font>
    <font>
      <i/>
      <sz val="11"/>
      <name val="Calibri"/>
      <family val="2"/>
      <scheme val="minor"/>
    </font>
    <font>
      <sz val="8"/>
      <color rgb="FF0000FF"/>
      <name val="Calibri"/>
      <family val="2"/>
      <scheme val="minor"/>
    </font>
    <font>
      <sz val="11"/>
      <color rgb="FF0000FF"/>
      <name val="Calibri"/>
      <family val="2"/>
      <scheme val="minor"/>
    </font>
    <font>
      <i/>
      <sz val="6"/>
      <name val="Calibri"/>
      <family val="2"/>
      <scheme val="minor"/>
    </font>
    <font>
      <sz val="11"/>
      <color indexed="16"/>
      <name val="Arial"/>
      <family val="2"/>
    </font>
    <font>
      <sz val="8"/>
      <color indexed="16"/>
      <name val="Arial"/>
      <family val="2"/>
    </font>
    <font>
      <b/>
      <sz val="11"/>
      <color rgb="FF7030A0"/>
      <name val="Arial"/>
      <family val="2"/>
    </font>
    <font>
      <b/>
      <sz val="11"/>
      <name val="Arial"/>
      <family val="2"/>
    </font>
    <font>
      <sz val="14"/>
      <name val="Arial"/>
      <family val="2"/>
    </font>
    <font>
      <sz val="18"/>
      <name val="Calibri"/>
      <family val="2"/>
      <scheme val="minor"/>
    </font>
    <font>
      <u/>
      <sz val="10"/>
      <name val="Calibri"/>
      <family val="2"/>
      <scheme val="minor"/>
    </font>
    <font>
      <sz val="11"/>
      <color theme="4" tint="0.39997558519241921"/>
      <name val="Calibri"/>
      <family val="2"/>
      <scheme val="minor"/>
    </font>
    <font>
      <b/>
      <sz val="11"/>
      <color theme="4" tint="0.39997558519241921"/>
      <name val="Calibri"/>
      <family val="2"/>
      <scheme val="minor"/>
    </font>
    <font>
      <sz val="11"/>
      <color theme="5" tint="0.39997558519241921"/>
      <name val="Calibri"/>
      <family val="2"/>
      <scheme val="minor"/>
    </font>
    <font>
      <u/>
      <sz val="12"/>
      <color theme="1"/>
      <name val="Calibri"/>
      <family val="2"/>
    </font>
    <font>
      <i/>
      <sz val="9"/>
      <color rgb="FF0070C0"/>
      <name val="Calibri"/>
      <family val="2"/>
    </font>
    <font>
      <u/>
      <sz val="13"/>
      <color theme="1"/>
      <name val="Calibri"/>
      <family val="2"/>
    </font>
    <font>
      <b/>
      <sz val="11"/>
      <color theme="5" tint="-0.249977111117893"/>
      <name val="Calibri"/>
      <family val="2"/>
    </font>
    <font>
      <sz val="11"/>
      <color theme="1"/>
      <name val="Calibri"/>
      <family val="2"/>
    </font>
    <font>
      <u/>
      <sz val="20"/>
      <name val="Calibri"/>
      <family val="2"/>
      <scheme val="minor"/>
    </font>
    <font>
      <sz val="26"/>
      <name val="Calibri"/>
      <family val="2"/>
      <scheme val="minor"/>
    </font>
    <font>
      <i/>
      <sz val="8"/>
      <color rgb="FF0070C0"/>
      <name val="Calibri"/>
      <family val="2"/>
      <scheme val="minor"/>
    </font>
    <font>
      <sz val="24"/>
      <color theme="1"/>
      <name val="Calibri"/>
      <family val="2"/>
      <scheme val="minor"/>
    </font>
    <font>
      <sz val="9"/>
      <color rgb="FF0070C0"/>
      <name val="Calibri"/>
      <family val="2"/>
      <scheme val="minor"/>
    </font>
    <font>
      <sz val="8"/>
      <color theme="0" tint="-0.249977111117893"/>
      <name val="Calibri"/>
      <family val="2"/>
      <scheme val="minor"/>
    </font>
    <font>
      <b/>
      <sz val="13"/>
      <name val="Calibri"/>
      <family val="2"/>
      <scheme val="minor"/>
    </font>
    <font>
      <sz val="13"/>
      <name val="Calibri"/>
      <family val="2"/>
      <scheme val="minor"/>
    </font>
    <font>
      <b/>
      <u/>
      <sz val="11"/>
      <name val="Calibri"/>
      <family val="2"/>
      <scheme val="minor"/>
    </font>
    <font>
      <b/>
      <i/>
      <sz val="14"/>
      <name val="Calibri"/>
      <family val="2"/>
      <scheme val="minor"/>
    </font>
    <font>
      <sz val="9"/>
      <color theme="1"/>
      <name val="Calibri"/>
      <family val="2"/>
      <scheme val="minor"/>
    </font>
    <font>
      <i/>
      <sz val="11"/>
      <name val="Calibri"/>
      <family val="2"/>
    </font>
    <font>
      <sz val="7"/>
      <name val="Calibri"/>
      <family val="2"/>
    </font>
    <font>
      <sz val="12"/>
      <name val="Calibri"/>
      <family val="2"/>
    </font>
    <font>
      <sz val="8"/>
      <color indexed="12"/>
      <name val="Calibri"/>
      <family val="2"/>
    </font>
    <font>
      <sz val="9"/>
      <name val="Calibri"/>
      <family val="2"/>
    </font>
    <font>
      <sz val="14"/>
      <name val="Calibri"/>
      <family val="2"/>
    </font>
    <font>
      <i/>
      <sz val="17"/>
      <color rgb="FFC00000"/>
      <name val="Calibri"/>
      <family val="2"/>
      <scheme val="minor"/>
    </font>
    <font>
      <b/>
      <sz val="14"/>
      <color indexed="17"/>
      <name val="Calibri"/>
      <family val="2"/>
      <scheme val="minor"/>
    </font>
    <font>
      <sz val="20"/>
      <name val="Calibri"/>
      <family val="2"/>
      <scheme val="minor"/>
    </font>
    <font>
      <sz val="15"/>
      <name val="Calibri"/>
      <family val="2"/>
      <scheme val="minor"/>
    </font>
    <font>
      <b/>
      <u/>
      <sz val="14"/>
      <name val="Calibri"/>
      <family val="2"/>
      <scheme val="minor"/>
    </font>
    <font>
      <b/>
      <sz val="11"/>
      <name val="Calibri"/>
      <family val="2"/>
    </font>
    <font>
      <i/>
      <sz val="11"/>
      <color rgb="FF0070C0"/>
      <name val="Calibri"/>
      <family val="2"/>
      <scheme val="minor"/>
    </font>
    <font>
      <i/>
      <sz val="12"/>
      <name val="Calibri"/>
      <family val="2"/>
      <scheme val="minor"/>
    </font>
    <font>
      <i/>
      <sz val="9"/>
      <color rgb="FF0070C0"/>
      <name val="Calibri"/>
      <family val="2"/>
      <scheme val="minor"/>
    </font>
    <font>
      <i/>
      <sz val="10"/>
      <color rgb="FF0070C0"/>
      <name val="Calibri"/>
      <family val="2"/>
      <scheme val="minor"/>
    </font>
    <font>
      <i/>
      <sz val="7"/>
      <color rgb="FF0070C0"/>
      <name val="Calibri"/>
      <family val="2"/>
      <scheme val="minor"/>
    </font>
    <font>
      <sz val="9"/>
      <color theme="1"/>
      <name val="Calibri"/>
      <family val="2"/>
    </font>
    <font>
      <b/>
      <u/>
      <sz val="20"/>
      <name val="Calibri"/>
      <family val="2"/>
      <scheme val="minor"/>
    </font>
    <font>
      <sz val="19"/>
      <color theme="1"/>
      <name val="Calibri"/>
      <family val="2"/>
    </font>
    <font>
      <i/>
      <sz val="16"/>
      <color theme="1"/>
      <name val="Calibri"/>
      <family val="2"/>
    </font>
    <font>
      <sz val="18"/>
      <color theme="1"/>
      <name val="Calibri"/>
      <family val="2"/>
    </font>
    <font>
      <u/>
      <sz val="18"/>
      <color theme="1"/>
      <name val="Calibri"/>
      <family val="2"/>
    </font>
    <font>
      <sz val="6"/>
      <color theme="0"/>
      <name val="Calibri"/>
      <family val="2"/>
      <scheme val="minor"/>
    </font>
    <font>
      <u/>
      <sz val="19"/>
      <name val="Calibri"/>
      <family val="2"/>
      <scheme val="minor"/>
    </font>
    <font>
      <sz val="6"/>
      <color rgb="FF0070C0"/>
      <name val="Calibri"/>
      <family val="2"/>
      <scheme val="minor"/>
    </font>
    <font>
      <sz val="7"/>
      <color rgb="FF0070C0"/>
      <name val="Calibri"/>
      <family val="2"/>
      <scheme val="minor"/>
    </font>
    <font>
      <sz val="11"/>
      <color theme="0"/>
      <name val="Calibri"/>
      <family val="2"/>
      <scheme val="minor"/>
    </font>
    <font>
      <b/>
      <sz val="10"/>
      <name val="Calibri"/>
      <family val="2"/>
      <scheme val="minor"/>
    </font>
    <font>
      <sz val="7"/>
      <name val="Arial"/>
      <family val="2"/>
    </font>
    <font>
      <sz val="6"/>
      <color theme="1"/>
      <name val="Calibri"/>
      <family val="2"/>
      <scheme val="minor"/>
    </font>
    <font>
      <sz val="14"/>
      <color theme="0"/>
      <name val="Calibri"/>
      <family val="2"/>
      <scheme val="minor"/>
    </font>
    <font>
      <strike/>
      <sz val="9"/>
      <color theme="0"/>
      <name val="Calibri"/>
      <family val="2"/>
      <scheme val="minor"/>
    </font>
    <font>
      <sz val="28"/>
      <color theme="0"/>
      <name val="Calibri"/>
      <family val="2"/>
      <scheme val="minor"/>
    </font>
    <font>
      <sz val="8"/>
      <color theme="1"/>
      <name val="Calibri"/>
      <family val="2"/>
      <scheme val="minor"/>
    </font>
    <font>
      <b/>
      <sz val="11"/>
      <color theme="1"/>
      <name val="Calibri"/>
      <family val="2"/>
      <scheme val="minor"/>
    </font>
    <font>
      <b/>
      <sz val="25"/>
      <name val="Calibri"/>
      <family val="2"/>
      <scheme val="minor"/>
    </font>
    <font>
      <u/>
      <sz val="24"/>
      <name val="Calibri"/>
      <family val="2"/>
      <scheme val="minor"/>
    </font>
    <font>
      <i/>
      <sz val="18"/>
      <name val="Calibri"/>
      <family val="2"/>
      <scheme val="minor"/>
    </font>
    <font>
      <b/>
      <sz val="20"/>
      <name val="Calibri"/>
      <family val="2"/>
      <scheme val="minor"/>
    </font>
    <font>
      <b/>
      <sz val="18"/>
      <name val="Calibri"/>
      <family val="2"/>
    </font>
    <font>
      <b/>
      <sz val="18"/>
      <color indexed="16"/>
      <name val="Calibri"/>
      <family val="2"/>
    </font>
    <font>
      <b/>
      <sz val="10"/>
      <color indexed="16"/>
      <name val="Calibri"/>
      <family val="2"/>
    </font>
    <font>
      <b/>
      <sz val="10"/>
      <name val="Calibri"/>
      <family val="2"/>
    </font>
    <font>
      <sz val="7"/>
      <name val="Calibri"/>
      <family val="2"/>
      <scheme val="minor"/>
    </font>
    <font>
      <sz val="5"/>
      <name val="Calibri"/>
      <family val="2"/>
      <scheme val="minor"/>
    </font>
    <font>
      <sz val="14"/>
      <color indexed="12"/>
      <name val="Calibri"/>
      <family val="2"/>
      <scheme val="minor"/>
    </font>
    <font>
      <sz val="4"/>
      <name val="Calibri"/>
      <family val="2"/>
      <scheme val="minor"/>
    </font>
    <font>
      <sz val="18"/>
      <color indexed="10"/>
      <name val="Calibri"/>
      <family val="2"/>
      <scheme val="minor"/>
    </font>
    <font>
      <b/>
      <sz val="22"/>
      <name val="Calibri"/>
      <family val="2"/>
      <scheme val="minor"/>
    </font>
    <font>
      <sz val="8"/>
      <color indexed="10"/>
      <name val="Calibri"/>
      <family val="2"/>
      <scheme val="minor"/>
    </font>
    <font>
      <b/>
      <sz val="12"/>
      <name val="Calibri"/>
      <family val="2"/>
    </font>
    <font>
      <sz val="22"/>
      <name val="Calibri"/>
      <family val="2"/>
      <scheme val="minor"/>
    </font>
    <font>
      <b/>
      <i/>
      <sz val="24"/>
      <name val="Calibri"/>
      <family val="2"/>
      <scheme val="minor"/>
    </font>
    <font>
      <b/>
      <sz val="16"/>
      <name val="Calibri"/>
      <family val="2"/>
      <scheme val="minor"/>
    </font>
    <font>
      <b/>
      <u/>
      <sz val="14"/>
      <name val="Calibri"/>
      <family val="2"/>
    </font>
    <font>
      <sz val="11"/>
      <color indexed="10"/>
      <name val="Calibri"/>
      <family val="2"/>
      <scheme val="minor"/>
    </font>
    <font>
      <u/>
      <sz val="11"/>
      <color indexed="12"/>
      <name val="Calibri"/>
      <family val="2"/>
      <scheme val="minor"/>
    </font>
    <font>
      <sz val="12"/>
      <color theme="0"/>
      <name val="Calibri"/>
      <family val="2"/>
      <scheme val="minor"/>
    </font>
    <font>
      <sz val="12"/>
      <color theme="1"/>
      <name val="Calibri"/>
      <family val="2"/>
      <scheme val="minor"/>
    </font>
    <font>
      <sz val="20"/>
      <color theme="0"/>
      <name val="Calibri"/>
      <family val="2"/>
      <scheme val="minor"/>
    </font>
    <font>
      <b/>
      <sz val="22"/>
      <color theme="1"/>
      <name val="Calibri"/>
      <family val="2"/>
      <scheme val="minor"/>
    </font>
    <font>
      <b/>
      <u/>
      <sz val="22"/>
      <color theme="1"/>
      <name val="Calibri"/>
      <family val="2"/>
    </font>
    <font>
      <b/>
      <sz val="22"/>
      <color theme="1"/>
      <name val="Calibri"/>
      <family val="2"/>
    </font>
    <font>
      <b/>
      <sz val="16"/>
      <color theme="1"/>
      <name val="Calibri"/>
      <family val="2"/>
    </font>
    <font>
      <b/>
      <u/>
      <sz val="10"/>
      <name val="Calibri"/>
      <family val="2"/>
    </font>
    <font>
      <sz val="7"/>
      <color theme="4" tint="0.39997558519241921"/>
      <name val="Calibri"/>
      <family val="2"/>
      <scheme val="minor"/>
    </font>
    <font>
      <b/>
      <u/>
      <sz val="25"/>
      <name val="Calibri"/>
      <family val="2"/>
    </font>
    <font>
      <sz val="7"/>
      <color theme="9" tint="0.39997558519241921"/>
      <name val="Calibri"/>
      <family val="2"/>
      <scheme val="minor"/>
    </font>
    <font>
      <sz val="13"/>
      <color indexed="12"/>
      <name val="Calibri"/>
      <family val="2"/>
      <scheme val="minor"/>
    </font>
    <font>
      <b/>
      <sz val="8"/>
      <color indexed="12"/>
      <name val="Calibri"/>
      <family val="2"/>
      <scheme val="minor"/>
    </font>
    <font>
      <b/>
      <sz val="9"/>
      <color theme="1"/>
      <name val="Calibri"/>
      <family val="2"/>
    </font>
    <font>
      <b/>
      <sz val="11"/>
      <color theme="4" tint="-0.249977111117893"/>
      <name val="Arial"/>
      <family val="2"/>
    </font>
    <font>
      <b/>
      <sz val="11"/>
      <color theme="0"/>
      <name val="Calibri"/>
      <family val="2"/>
      <scheme val="minor"/>
    </font>
  </fonts>
  <fills count="5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99FF"/>
        <bgColor indexed="64"/>
      </patternFill>
    </fill>
    <fill>
      <patternFill patternType="solid">
        <fgColor rgb="FFFFEFEF"/>
        <bgColor indexed="64"/>
      </patternFill>
    </fill>
    <fill>
      <patternFill patternType="solid">
        <fgColor rgb="FF92D050"/>
        <bgColor indexed="64"/>
      </patternFill>
    </fill>
    <fill>
      <gradientFill degree="180">
        <stop position="0">
          <color theme="9" tint="-0.25098422193060094"/>
        </stop>
        <stop position="1">
          <color theme="9" tint="0.80001220740379042"/>
        </stop>
      </gradientFill>
    </fill>
    <fill>
      <patternFill patternType="solid">
        <fgColor rgb="FF66FF99"/>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CCFF"/>
        <bgColor indexed="64"/>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
      <gradientFill degree="135">
        <stop position="0">
          <color theme="0"/>
        </stop>
        <stop position="1">
          <color rgb="FFFFFFCC"/>
        </stop>
      </gradientFill>
    </fill>
    <fill>
      <patternFill patternType="solid">
        <fgColor rgb="FFCCFFFF"/>
        <bgColor indexed="64"/>
      </patternFill>
    </fill>
    <fill>
      <patternFill patternType="solid">
        <fgColor theme="4" tint="0.59999389629810485"/>
        <bgColor indexed="64"/>
      </patternFill>
    </fill>
    <fill>
      <gradientFill degree="270">
        <stop position="0">
          <color theme="0"/>
        </stop>
        <stop position="1">
          <color rgb="FFFFFFCC"/>
        </stop>
      </gradientFill>
    </fill>
    <fill>
      <gradientFill>
        <stop position="0">
          <color theme="0"/>
        </stop>
        <stop position="1">
          <color theme="4" tint="0.59999389629810485"/>
        </stop>
      </gradientFill>
    </fill>
    <fill>
      <gradientFill degree="180">
        <stop position="0">
          <color theme="0"/>
        </stop>
        <stop position="1">
          <color theme="4" tint="0.59999389629810485"/>
        </stop>
      </gradientFill>
    </fill>
    <fill>
      <gradientFill degree="180">
        <stop position="0">
          <color theme="0"/>
        </stop>
        <stop position="1">
          <color theme="0" tint="-0.1490218817712943"/>
        </stop>
      </gradientFill>
    </fill>
    <fill>
      <patternFill patternType="solid">
        <fgColor theme="5" tint="0.79998168889431442"/>
        <bgColor indexed="64"/>
      </patternFill>
    </fill>
    <fill>
      <patternFill patternType="solid">
        <fgColor theme="7" tint="0.39997558519241921"/>
        <bgColor indexed="64"/>
      </patternFill>
    </fill>
    <fill>
      <patternFill patternType="solid">
        <fgColor rgb="FFBDF7FF"/>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CCFAC6"/>
        <bgColor indexed="64"/>
      </patternFill>
    </fill>
    <fill>
      <gradientFill>
        <stop position="0">
          <color theme="0"/>
        </stop>
        <stop position="1">
          <color theme="5" tint="0.40000610370189521"/>
        </stop>
      </gradientFill>
    </fill>
    <fill>
      <patternFill patternType="lightHorizontal">
        <fgColor theme="0" tint="-0.34998626667073579"/>
        <bgColor theme="0" tint="-4.9989318521683403E-2"/>
      </patternFill>
    </fill>
    <fill>
      <patternFill patternType="solid">
        <fgColor rgb="FF66FFCC"/>
        <bgColor indexed="64"/>
      </patternFill>
    </fill>
    <fill>
      <patternFill patternType="solid">
        <fgColor theme="9" tint="0.59999389629810485"/>
        <bgColor indexed="64"/>
      </patternFill>
    </fill>
    <fill>
      <gradientFill degree="180">
        <stop position="0">
          <color theme="0"/>
        </stop>
        <stop position="1">
          <color theme="9" tint="0.59999389629810485"/>
        </stop>
      </gradientFill>
    </fill>
    <fill>
      <patternFill patternType="solid">
        <fgColor theme="2"/>
        <bgColor indexed="64"/>
      </patternFill>
    </fill>
    <fill>
      <patternFill patternType="solid">
        <fgColor rgb="FFFFC000"/>
        <bgColor indexed="64"/>
      </patternFill>
    </fill>
    <fill>
      <patternFill patternType="solid">
        <fgColor rgb="FF00B0F0"/>
        <bgColor indexed="64"/>
      </patternFill>
    </fill>
    <fill>
      <patternFill patternType="solid">
        <fgColor rgb="FF7030A0"/>
        <bgColor indexed="64"/>
      </patternFill>
    </fill>
    <fill>
      <patternFill patternType="solid">
        <fgColor rgb="FFDB91B6"/>
        <bgColor indexed="64"/>
      </patternFill>
    </fill>
    <fill>
      <gradientFill degree="180">
        <stop position="0">
          <color theme="0"/>
        </stop>
        <stop position="1">
          <color rgb="FFDB91B6"/>
        </stop>
      </gradientFill>
    </fill>
    <fill>
      <patternFill patternType="gray125">
        <fgColor rgb="FF00FFCC"/>
        <bgColor theme="0"/>
      </patternFill>
    </fill>
    <fill>
      <patternFill patternType="solid">
        <fgColor rgb="FF00FFCC"/>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indexed="65"/>
        <bgColor indexed="64"/>
      </patternFill>
    </fill>
    <fill>
      <patternFill patternType="solid">
        <fgColor rgb="FFEFF9FF"/>
        <bgColor indexed="64"/>
      </patternFill>
    </fill>
    <fill>
      <patternFill patternType="solid">
        <fgColor rgb="FFF3FFF3"/>
        <bgColor indexed="64"/>
      </patternFill>
    </fill>
    <fill>
      <patternFill patternType="solid">
        <fgColor rgb="FF9E0529"/>
        <bgColor indexed="64"/>
      </patternFill>
    </fill>
    <fill>
      <patternFill patternType="solid">
        <fgColor theme="0" tint="-4.9989318521683403E-2"/>
        <bgColor indexed="64"/>
      </patternFill>
    </fill>
    <fill>
      <patternFill patternType="solid">
        <fgColor rgb="FFE6B4CD"/>
        <bgColor indexed="64"/>
      </patternFill>
    </fill>
    <fill>
      <patternFill patternType="solid">
        <fgColor rgb="FFE6EDD7"/>
        <bgColor indexed="64"/>
      </patternFill>
    </fill>
    <fill>
      <patternFill patternType="solid">
        <fgColor rgb="FFFFF2CC"/>
        <bgColor indexed="64"/>
      </patternFill>
    </fill>
    <fill>
      <patternFill patternType="solid">
        <fgColor rgb="FFDDFFF4"/>
        <bgColor indexed="64"/>
      </patternFill>
    </fill>
    <fill>
      <patternFill patternType="solid">
        <fgColor theme="0"/>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
      <left style="hair">
        <color auto="1"/>
      </left>
      <right style="hair">
        <color auto="1"/>
      </right>
      <top style="hair">
        <color auto="1"/>
      </top>
      <bottom style="hair">
        <color auto="1"/>
      </bottom>
      <diagonal/>
    </border>
    <border>
      <left/>
      <right/>
      <top style="thin">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right style="thin">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slantDashDot">
        <color indexed="64"/>
      </left>
      <right style="slantDashDot">
        <color indexed="64"/>
      </right>
      <top style="slantDashDot">
        <color indexed="64"/>
      </top>
      <bottom style="slantDashDot">
        <color indexed="64"/>
      </bottom>
      <diagonal/>
    </border>
    <border>
      <left style="hair">
        <color indexed="64"/>
      </left>
      <right style="dashed">
        <color indexed="64"/>
      </right>
      <top style="dashed">
        <color indexed="64"/>
      </top>
      <bottom style="hair">
        <color indexed="64"/>
      </bottom>
      <diagonal/>
    </border>
    <border>
      <left style="dashed">
        <color indexed="64"/>
      </left>
      <right style="dashed">
        <color indexed="64"/>
      </right>
      <top style="dashed">
        <color indexed="64"/>
      </top>
      <bottom style="hair">
        <color indexed="64"/>
      </bottom>
      <diagonal/>
    </border>
    <border>
      <left style="dashed">
        <color indexed="64"/>
      </left>
      <right style="hair">
        <color indexed="64"/>
      </right>
      <top style="dashed">
        <color indexed="64"/>
      </top>
      <bottom style="hair">
        <color indexed="64"/>
      </bottom>
      <diagonal/>
    </border>
    <border>
      <left style="hair">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hair">
        <color indexed="64"/>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hair">
        <color indexed="64"/>
      </left>
      <right/>
      <top/>
      <bottom/>
      <diagonal/>
    </border>
    <border>
      <left/>
      <right style="hair">
        <color indexed="64"/>
      </right>
      <top/>
      <bottom/>
      <diagonal/>
    </border>
    <border>
      <left style="dashed">
        <color indexed="64"/>
      </left>
      <right style="hair">
        <color indexed="64"/>
      </right>
      <top/>
      <bottom/>
      <diagonal/>
    </border>
    <border>
      <left/>
      <right style="dashed">
        <color indexed="64"/>
      </right>
      <top/>
      <bottom/>
      <diagonal/>
    </border>
    <border>
      <left style="dashed">
        <color indexed="64"/>
      </left>
      <right/>
      <top style="thin">
        <color indexed="64"/>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dashed">
        <color indexed="64"/>
      </right>
      <top/>
      <bottom style="dashed">
        <color indexed="64"/>
      </bottom>
      <diagonal/>
    </border>
    <border>
      <left style="dashed">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bottom/>
      <diagonal/>
    </border>
    <border>
      <left/>
      <right/>
      <top style="dashed">
        <color auto="1"/>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hair">
        <color auto="1"/>
      </bottom>
      <diagonal/>
    </border>
    <border>
      <left style="hair">
        <color auto="1"/>
      </left>
      <right style="hair">
        <color auto="1"/>
      </right>
      <top style="hair">
        <color auto="1"/>
      </top>
      <bottom/>
      <diagonal/>
    </border>
    <border>
      <left style="thin">
        <color indexed="64"/>
      </left>
      <right style="dashed">
        <color indexed="64"/>
      </right>
      <top style="thin">
        <color indexed="64"/>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dashed">
        <color indexed="64"/>
      </bottom>
      <diagonal/>
    </border>
    <border>
      <left style="dashed">
        <color auto="1"/>
      </left>
      <right style="hair">
        <color indexed="64"/>
      </right>
      <top style="hair">
        <color auto="1"/>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hair">
        <color indexed="64"/>
      </bottom>
      <diagonal/>
    </border>
    <border>
      <left/>
      <right style="dotted">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hair">
        <color indexed="64"/>
      </right>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bottom style="dotted">
        <color indexed="64"/>
      </bottom>
      <diagonal/>
    </border>
    <border>
      <left/>
      <right style="hair">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hair">
        <color indexed="64"/>
      </right>
      <top style="dotted">
        <color indexed="64"/>
      </top>
      <bottom style="dotted">
        <color indexed="64"/>
      </bottom>
      <diagonal/>
    </border>
    <border>
      <left style="thin">
        <color indexed="64"/>
      </left>
      <right style="thick">
        <color indexed="64"/>
      </right>
      <top style="thin">
        <color indexed="64"/>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bottom/>
      <diagonal/>
    </border>
    <border>
      <left style="thick">
        <color indexed="64"/>
      </left>
      <right/>
      <top style="medium">
        <color indexed="64"/>
      </top>
      <bottom/>
      <diagonal/>
    </border>
    <border>
      <left/>
      <right/>
      <top style="medium">
        <color indexed="64"/>
      </top>
      <bottom/>
      <diagonal/>
    </border>
    <border>
      <left style="medium">
        <color indexed="64"/>
      </left>
      <right/>
      <top style="double">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bottom style="dashed">
        <color indexed="64"/>
      </bottom>
      <diagonal/>
    </border>
    <border>
      <left style="thin">
        <color auto="1"/>
      </left>
      <right style="hair">
        <color auto="1"/>
      </right>
      <top style="thick">
        <color auto="1"/>
      </top>
      <bottom style="double">
        <color auto="1"/>
      </bottom>
      <diagonal/>
    </border>
    <border>
      <left style="hair">
        <color auto="1"/>
      </left>
      <right style="hair">
        <color auto="1"/>
      </right>
      <top style="thick">
        <color auto="1"/>
      </top>
      <bottom style="double">
        <color auto="1"/>
      </bottom>
      <diagonal/>
    </border>
    <border>
      <left style="hair">
        <color auto="1"/>
      </left>
      <right style="thin">
        <color auto="1"/>
      </right>
      <top style="thick">
        <color auto="1"/>
      </top>
      <bottom style="double">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dashed">
        <color indexed="64"/>
      </top>
      <bottom style="hair">
        <color indexed="64"/>
      </bottom>
      <diagonal/>
    </border>
    <border>
      <left style="hair">
        <color indexed="64"/>
      </left>
      <right style="thin">
        <color indexed="64"/>
      </right>
      <top style="dashed">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dashed">
        <color indexed="64"/>
      </left>
      <right style="dashed">
        <color indexed="64"/>
      </right>
      <top/>
      <bottom style="double">
        <color indexed="64"/>
      </bottom>
      <diagonal/>
    </border>
    <border>
      <left style="dashed">
        <color indexed="64"/>
      </left>
      <right style="thin">
        <color indexed="64"/>
      </right>
      <top/>
      <bottom style="double">
        <color indexed="64"/>
      </bottom>
      <diagonal/>
    </border>
    <border>
      <left style="dashed">
        <color indexed="64"/>
      </left>
      <right/>
      <top/>
      <bottom style="double">
        <color indexed="64"/>
      </bottom>
      <diagonal/>
    </border>
    <border>
      <left/>
      <right/>
      <top style="thick">
        <color indexed="64"/>
      </top>
      <bottom/>
      <diagonal/>
    </border>
    <border>
      <left style="hair">
        <color indexed="64"/>
      </left>
      <right style="hair">
        <color indexed="64"/>
      </right>
      <top style="thin">
        <color indexed="64"/>
      </top>
      <bottom style="thin">
        <color indexed="64"/>
      </bottom>
      <diagonal/>
    </border>
    <border>
      <left style="thin">
        <color indexed="64"/>
      </left>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thin">
        <color indexed="64"/>
      </left>
      <right style="dashed">
        <color indexed="64"/>
      </right>
      <top style="thick">
        <color indexed="64"/>
      </top>
      <bottom style="double">
        <color indexed="64"/>
      </bottom>
      <diagonal/>
    </border>
    <border>
      <left style="thin">
        <color auto="1"/>
      </left>
      <right/>
      <top style="thick">
        <color auto="1"/>
      </top>
      <bottom style="double">
        <color auto="1"/>
      </bottom>
      <diagonal/>
    </border>
    <border>
      <left/>
      <right/>
      <top style="thick">
        <color auto="1"/>
      </top>
      <bottom style="double">
        <color auto="1"/>
      </bottom>
      <diagonal/>
    </border>
    <border>
      <left/>
      <right style="thin">
        <color auto="1"/>
      </right>
      <top style="thick">
        <color auto="1"/>
      </top>
      <bottom style="double">
        <color auto="1"/>
      </bottom>
      <diagonal/>
    </border>
  </borders>
  <cellStyleXfs count="15">
    <xf numFmtId="0" fontId="0" fillId="0" borderId="0"/>
    <xf numFmtId="0" fontId="10" fillId="0" borderId="0"/>
    <xf numFmtId="0" fontId="58" fillId="0" borderId="0"/>
    <xf numFmtId="0" fontId="59" fillId="0" borderId="0" applyNumberFormat="0" applyFill="0" applyBorder="0" applyAlignment="0" applyProtection="0">
      <alignment vertical="top"/>
      <protection locked="0"/>
    </xf>
    <xf numFmtId="0" fontId="58" fillId="0" borderId="0"/>
    <xf numFmtId="0" fontId="15" fillId="0" borderId="0"/>
    <xf numFmtId="0" fontId="58" fillId="0" borderId="0"/>
    <xf numFmtId="0" fontId="58" fillId="0" borderId="0"/>
    <xf numFmtId="9" fontId="118" fillId="0" borderId="0" applyFont="0" applyFill="0" applyBorder="0" applyAlignment="0" applyProtection="0"/>
    <xf numFmtId="0" fontId="58" fillId="0" borderId="0"/>
    <xf numFmtId="0" fontId="15" fillId="0" borderId="0"/>
    <xf numFmtId="0" fontId="58" fillId="0" borderId="0"/>
    <xf numFmtId="0" fontId="58" fillId="0" borderId="0"/>
    <xf numFmtId="0" fontId="58" fillId="0" borderId="0"/>
    <xf numFmtId="0" fontId="4" fillId="0" borderId="0"/>
  </cellStyleXfs>
  <cellXfs count="987">
    <xf numFmtId="0" fontId="0" fillId="0" borderId="0" xfId="0"/>
    <xf numFmtId="0" fontId="0" fillId="0" borderId="0" xfId="0" quotePrefix="1"/>
    <xf numFmtId="0" fontId="0" fillId="0" borderId="0" xfId="0" applyAlignment="1">
      <alignment horizontal="right"/>
    </xf>
    <xf numFmtId="0" fontId="0" fillId="0" borderId="0" xfId="0" applyAlignment="1">
      <alignment horizontal="center"/>
    </xf>
    <xf numFmtId="0" fontId="8" fillId="0" borderId="0" xfId="0" applyFont="1"/>
    <xf numFmtId="0" fontId="9" fillId="0" borderId="0" xfId="0" applyFont="1"/>
    <xf numFmtId="0" fontId="0" fillId="0" borderId="0" xfId="0" applyAlignment="1">
      <alignment vertical="center"/>
    </xf>
    <xf numFmtId="0" fontId="0" fillId="0" borderId="0" xfId="0" applyAlignment="1">
      <alignment horizontal="center" vertical="center"/>
    </xf>
    <xf numFmtId="0" fontId="10" fillId="0" borderId="0" xfId="1"/>
    <xf numFmtId="0" fontId="11" fillId="4" borderId="0" xfId="1" applyFont="1" applyFill="1" applyAlignment="1">
      <alignment horizontal="center" vertical="top"/>
    </xf>
    <xf numFmtId="0" fontId="12" fillId="5" borderId="0" xfId="1" applyFont="1" applyFill="1" applyAlignment="1">
      <alignment horizontal="center"/>
    </xf>
    <xf numFmtId="164" fontId="13" fillId="4" borderId="0" xfId="1" applyNumberFormat="1" applyFont="1" applyFill="1" applyAlignment="1">
      <alignment horizontal="center" vertical="center"/>
    </xf>
    <xf numFmtId="0" fontId="14" fillId="6" borderId="0" xfId="1" applyFont="1" applyFill="1" applyAlignment="1">
      <alignment vertical="top"/>
    </xf>
    <xf numFmtId="0" fontId="14" fillId="6" borderId="0" xfId="1" applyFont="1" applyFill="1" applyAlignment="1">
      <alignment vertical="top" wrapText="1"/>
    </xf>
    <xf numFmtId="164" fontId="14" fillId="6" borderId="0" xfId="1" applyNumberFormat="1" applyFont="1" applyFill="1" applyAlignment="1">
      <alignment horizontal="center" vertical="top"/>
    </xf>
    <xf numFmtId="0" fontId="10" fillId="0" borderId="1" xfId="1" applyFill="1" applyBorder="1"/>
    <xf numFmtId="164" fontId="13" fillId="0" borderId="0" xfId="1" applyNumberFormat="1" applyFont="1"/>
    <xf numFmtId="0" fontId="10" fillId="7" borderId="0" xfId="1" applyFill="1"/>
    <xf numFmtId="0" fontId="13" fillId="7" borderId="2" xfId="1" applyFont="1" applyFill="1" applyBorder="1" applyAlignment="1" applyProtection="1">
      <alignment vertical="center" wrapText="1"/>
    </xf>
    <xf numFmtId="164" fontId="13" fillId="7" borderId="0" xfId="1" applyNumberFormat="1" applyFont="1" applyFill="1"/>
    <xf numFmtId="0" fontId="10" fillId="4" borderId="0" xfId="1" applyFill="1"/>
    <xf numFmtId="0" fontId="15" fillId="0" borderId="1" xfId="1" applyFont="1" applyFill="1" applyBorder="1"/>
    <xf numFmtId="0" fontId="10" fillId="0" borderId="0" xfId="1" applyFill="1" applyBorder="1"/>
    <xf numFmtId="0" fontId="10" fillId="0" borderId="0" xfId="1" applyFill="1"/>
    <xf numFmtId="2" fontId="10" fillId="0" borderId="0" xfId="1" applyNumberFormat="1"/>
    <xf numFmtId="0" fontId="10" fillId="8" borderId="0" xfId="1" applyFill="1" applyAlignment="1">
      <alignment horizontal="center"/>
    </xf>
    <xf numFmtId="0" fontId="16" fillId="0" borderId="0" xfId="0" applyFont="1" applyAlignment="1">
      <alignment horizontal="right"/>
    </xf>
    <xf numFmtId="0" fontId="0" fillId="5" borderId="0" xfId="0" applyFill="1"/>
    <xf numFmtId="0" fontId="18" fillId="0" borderId="0" xfId="0" applyFont="1"/>
    <xf numFmtId="0" fontId="19" fillId="0" borderId="0" xfId="0" applyFont="1"/>
    <xf numFmtId="0" fontId="19" fillId="0" borderId="0" xfId="0" applyFont="1" applyAlignment="1">
      <alignment horizontal="left" vertical="center" indent="1"/>
    </xf>
    <xf numFmtId="0" fontId="19" fillId="0" borderId="0" xfId="0" applyFont="1" applyAlignment="1">
      <alignment vertical="top"/>
    </xf>
    <xf numFmtId="0" fontId="0" fillId="0" borderId="0" xfId="0" applyAlignment="1">
      <alignment horizontal="right" vertical="center" indent="1"/>
    </xf>
    <xf numFmtId="164" fontId="0" fillId="0" borderId="1" xfId="0" applyNumberFormat="1" applyBorder="1" applyAlignment="1">
      <alignment horizontal="center"/>
    </xf>
    <xf numFmtId="0" fontId="10" fillId="0" borderId="0" xfId="1" applyAlignment="1">
      <alignment horizontal="right"/>
    </xf>
    <xf numFmtId="0" fontId="10" fillId="0" borderId="0" xfId="1" applyAlignment="1">
      <alignment vertical="top"/>
    </xf>
    <xf numFmtId="0" fontId="10" fillId="0" borderId="0" xfId="1" applyAlignment="1">
      <alignment horizontal="right" vertical="top"/>
    </xf>
    <xf numFmtId="164" fontId="13" fillId="7" borderId="0" xfId="1" applyNumberFormat="1" applyFont="1" applyFill="1" applyAlignment="1">
      <alignment horizontal="center"/>
    </xf>
    <xf numFmtId="0" fontId="22" fillId="0" borderId="0" xfId="0" applyFont="1" applyAlignment="1">
      <alignment horizontal="left" vertical="center" indent="1"/>
    </xf>
    <xf numFmtId="0" fontId="21" fillId="0" borderId="0" xfId="0" applyFont="1" applyAlignment="1">
      <alignment horizontal="right" vertical="center" indent="1"/>
    </xf>
    <xf numFmtId="2" fontId="21" fillId="0" borderId="3" xfId="0" applyNumberFormat="1" applyFont="1" applyBorder="1" applyAlignment="1">
      <alignment horizontal="center" vertical="center"/>
    </xf>
    <xf numFmtId="0" fontId="22" fillId="0" borderId="3" xfId="0" applyFont="1" applyBorder="1" applyAlignment="1">
      <alignment horizontal="left" vertical="center" indent="1"/>
    </xf>
    <xf numFmtId="0" fontId="0" fillId="2"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25" fillId="0" borderId="0" xfId="0" applyFont="1" applyAlignment="1">
      <alignment horizontal="left" vertical="center" indent="1"/>
    </xf>
    <xf numFmtId="0" fontId="26" fillId="0" borderId="0" xfId="0" applyFont="1" applyAlignment="1">
      <alignment horizontal="right" vertical="center" indent="1"/>
    </xf>
    <xf numFmtId="0" fontId="27" fillId="0" borderId="5" xfId="0" applyFont="1" applyBorder="1" applyAlignment="1">
      <alignment horizontal="centerContinuous"/>
    </xf>
    <xf numFmtId="0" fontId="0" fillId="0" borderId="6" xfId="0" applyBorder="1" applyAlignment="1">
      <alignment horizontal="centerContinuous"/>
    </xf>
    <xf numFmtId="0" fontId="27" fillId="0" borderId="7" xfId="0" applyFont="1" applyBorder="1" applyAlignment="1">
      <alignment horizontal="centerContinuous" vertical="center"/>
    </xf>
    <xf numFmtId="0" fontId="0" fillId="0" borderId="8" xfId="0" applyBorder="1" applyAlignment="1">
      <alignment horizontal="centerContinuous" vertical="center"/>
    </xf>
    <xf numFmtId="0" fontId="16" fillId="0" borderId="0" xfId="0" applyFont="1" applyAlignment="1">
      <alignment horizontal="right" vertical="center" indent="1"/>
    </xf>
    <xf numFmtId="0" fontId="28" fillId="0" borderId="0" xfId="0" applyFont="1" applyAlignment="1">
      <alignment horizontal="right" vertical="center" indent="1"/>
    </xf>
    <xf numFmtId="0" fontId="29" fillId="0" borderId="0" xfId="0" applyFont="1"/>
    <xf numFmtId="0" fontId="30" fillId="2" borderId="1" xfId="0" applyFont="1" applyFill="1" applyBorder="1" applyAlignment="1" applyProtection="1">
      <alignment horizontal="center"/>
      <protection locked="0" hidden="1"/>
    </xf>
    <xf numFmtId="0" fontId="31" fillId="0" borderId="0" xfId="0" applyFont="1" applyAlignment="1">
      <alignment horizontal="right" vertical="center" indent="1"/>
    </xf>
    <xf numFmtId="0" fontId="22" fillId="0" borderId="0" xfId="0" applyFont="1" applyAlignment="1">
      <alignment horizontal="right" vertical="center" indent="2"/>
    </xf>
    <xf numFmtId="0" fontId="32" fillId="0" borderId="0" xfId="0" applyFont="1"/>
    <xf numFmtId="0" fontId="33" fillId="0" borderId="0" xfId="0" applyFont="1" applyAlignment="1"/>
    <xf numFmtId="0" fontId="34" fillId="0" borderId="0" xfId="0" applyFont="1"/>
    <xf numFmtId="166" fontId="0" fillId="0" borderId="3" xfId="0" applyNumberFormat="1" applyBorder="1" applyAlignment="1">
      <alignment horizontal="center"/>
    </xf>
    <xf numFmtId="0" fontId="16" fillId="0" borderId="0" xfId="0" applyFont="1" applyAlignment="1"/>
    <xf numFmtId="0" fontId="33" fillId="0" borderId="0" xfId="0" applyFont="1"/>
    <xf numFmtId="166" fontId="33" fillId="0" borderId="9" xfId="0" applyNumberFormat="1" applyFont="1" applyBorder="1" applyAlignment="1">
      <alignment horizontal="center"/>
    </xf>
    <xf numFmtId="0" fontId="33" fillId="0" borderId="9" xfId="0" applyNumberFormat="1" applyFont="1" applyBorder="1" applyAlignment="1">
      <alignment horizontal="center"/>
    </xf>
    <xf numFmtId="0" fontId="34" fillId="0" borderId="0" xfId="0" applyFont="1" applyAlignment="1">
      <alignment horizontal="center"/>
    </xf>
    <xf numFmtId="0" fontId="36" fillId="0" borderId="0" xfId="0" applyFont="1" applyBorder="1" applyAlignment="1">
      <alignment horizontal="right" vertical="top"/>
    </xf>
    <xf numFmtId="0" fontId="37" fillId="0" borderId="0" xfId="1" applyFont="1" applyAlignment="1">
      <alignment horizontal="center"/>
    </xf>
    <xf numFmtId="0" fontId="0" fillId="0" borderId="12" xfId="0" applyBorder="1" applyAlignment="1">
      <alignment horizontal="center"/>
    </xf>
    <xf numFmtId="0" fontId="39" fillId="0" borderId="0" xfId="0" applyFont="1" applyAlignment="1">
      <alignment horizontal="left" vertical="center" indent="2"/>
    </xf>
    <xf numFmtId="164" fontId="23" fillId="0" borderId="4" xfId="0" applyNumberFormat="1" applyFont="1" applyBorder="1" applyAlignment="1">
      <alignment horizontal="right" vertical="center" indent="1"/>
    </xf>
    <xf numFmtId="164" fontId="0" fillId="0" borderId="1" xfId="0" applyNumberFormat="1" applyBorder="1" applyAlignment="1">
      <alignment horizontal="right" vertical="center" indent="1"/>
    </xf>
    <xf numFmtId="164" fontId="0" fillId="3" borderId="1" xfId="0" applyNumberFormat="1" applyFill="1" applyBorder="1" applyAlignment="1" applyProtection="1">
      <alignment horizontal="right" vertical="center" indent="1"/>
      <protection locked="0"/>
    </xf>
    <xf numFmtId="164" fontId="19" fillId="9" borderId="10" xfId="0" applyNumberFormat="1" applyFont="1" applyFill="1" applyBorder="1" applyAlignment="1">
      <alignment horizontal="right" vertical="center" indent="1"/>
    </xf>
    <xf numFmtId="0" fontId="25" fillId="0" borderId="0" xfId="0" applyFont="1" applyAlignment="1" applyProtection="1">
      <alignment horizontal="left" vertical="center" indent="1"/>
      <protection locked="0"/>
    </xf>
    <xf numFmtId="0" fontId="40" fillId="0" borderId="0" xfId="0" applyFont="1" applyAlignment="1">
      <alignment horizontal="left" vertical="center" indent="1"/>
    </xf>
    <xf numFmtId="0" fontId="34" fillId="0" borderId="0" xfId="0" applyFont="1" applyAlignment="1">
      <alignment horizontal="left"/>
    </xf>
    <xf numFmtId="164" fontId="34" fillId="0" borderId="0" xfId="0" applyNumberFormat="1" applyFont="1" applyAlignment="1">
      <alignment horizontal="center" vertical="top"/>
    </xf>
    <xf numFmtId="0" fontId="38" fillId="0" borderId="0" xfId="0" applyFont="1" applyAlignment="1">
      <alignment horizontal="right" vertical="center"/>
    </xf>
    <xf numFmtId="164" fontId="38" fillId="0" borderId="0" xfId="0" applyNumberFormat="1" applyFont="1" applyAlignment="1">
      <alignment horizontal="left" vertical="center"/>
    </xf>
    <xf numFmtId="0" fontId="21" fillId="0" borderId="0" xfId="0" applyFont="1" applyAlignment="1">
      <alignment horizontal="right" vertical="top"/>
    </xf>
    <xf numFmtId="166" fontId="21" fillId="0" borderId="0" xfId="0" applyNumberFormat="1" applyFont="1" applyBorder="1" applyAlignment="1">
      <alignment horizontal="center"/>
    </xf>
    <xf numFmtId="0" fontId="41" fillId="0" borderId="0" xfId="0" applyFont="1"/>
    <xf numFmtId="2" fontId="0" fillId="0" borderId="1" xfId="0" applyNumberFormat="1" applyBorder="1" applyAlignment="1">
      <alignment horizontal="center"/>
    </xf>
    <xf numFmtId="2" fontId="0" fillId="0" borderId="1" xfId="0" applyNumberFormat="1" applyBorder="1" applyAlignment="1">
      <alignment horizontal="right" vertical="center" indent="1"/>
    </xf>
    <xf numFmtId="2" fontId="16" fillId="0" borderId="1" xfId="0" applyNumberFormat="1" applyFont="1" applyBorder="1" applyAlignment="1">
      <alignment horizontal="right" vertical="center" indent="1"/>
    </xf>
    <xf numFmtId="2" fontId="21" fillId="0" borderId="1" xfId="0" applyNumberFormat="1" applyFont="1" applyBorder="1" applyAlignment="1">
      <alignment horizontal="right" vertical="center" indent="1"/>
    </xf>
    <xf numFmtId="0" fontId="7" fillId="0" borderId="0" xfId="0" applyFont="1" applyAlignment="1">
      <alignment horizontal="center" vertical="top"/>
    </xf>
    <xf numFmtId="164" fontId="34" fillId="0" borderId="0" xfId="0" applyNumberFormat="1" applyFont="1" applyAlignment="1">
      <alignment horizontal="left" vertical="center"/>
    </xf>
    <xf numFmtId="0" fontId="35" fillId="0" borderId="0" xfId="0" applyFont="1" applyAlignment="1">
      <alignment horizontal="right" indent="1"/>
    </xf>
    <xf numFmtId="1" fontId="43" fillId="0" borderId="0" xfId="0" applyNumberFormat="1" applyFont="1" applyAlignment="1">
      <alignment horizontal="center" vertical="center"/>
    </xf>
    <xf numFmtId="0" fontId="34" fillId="0" borderId="0" xfId="0" applyFont="1" applyAlignment="1">
      <alignment horizontal="right" vertical="top"/>
    </xf>
    <xf numFmtId="0" fontId="34" fillId="0" borderId="0" xfId="0" applyFont="1" applyAlignment="1">
      <alignment horizontal="center" vertical="top"/>
    </xf>
    <xf numFmtId="0" fontId="34" fillId="0" borderId="0" xfId="0" applyFont="1" applyAlignment="1">
      <alignment horizontal="center" vertical="center"/>
    </xf>
    <xf numFmtId="168" fontId="0" fillId="2" borderId="1" xfId="0" applyNumberFormat="1" applyFill="1" applyBorder="1" applyAlignment="1" applyProtection="1">
      <alignment horizontal="right" indent="1"/>
      <protection locked="0"/>
    </xf>
    <xf numFmtId="166" fontId="31" fillId="3" borderId="1" xfId="0" applyNumberFormat="1" applyFont="1" applyFill="1" applyBorder="1" applyAlignment="1" applyProtection="1">
      <alignment horizontal="center"/>
      <protection locked="0"/>
    </xf>
    <xf numFmtId="166" fontId="31" fillId="0" borderId="0" xfId="0" applyNumberFormat="1" applyFont="1" applyAlignment="1">
      <alignment horizontal="center"/>
    </xf>
    <xf numFmtId="164" fontId="31" fillId="0" borderId="1" xfId="0" applyNumberFormat="1" applyFont="1" applyBorder="1" applyAlignment="1">
      <alignment horizontal="right" vertical="center" indent="1"/>
    </xf>
    <xf numFmtId="0" fontId="25" fillId="0" borderId="0" xfId="0" applyFont="1" applyAlignment="1" applyProtection="1">
      <alignment horizontal="left" vertical="center" indent="1"/>
    </xf>
    <xf numFmtId="0" fontId="21" fillId="0" borderId="0" xfId="0" applyFont="1" applyAlignment="1">
      <alignment vertical="top"/>
    </xf>
    <xf numFmtId="0" fontId="21" fillId="0" borderId="0" xfId="0" applyFont="1" applyAlignment="1">
      <alignment horizontal="right"/>
    </xf>
    <xf numFmtId="0" fontId="0" fillId="0" borderId="0" xfId="0" applyFont="1" applyAlignment="1">
      <alignment horizontal="right"/>
    </xf>
    <xf numFmtId="0" fontId="21" fillId="0" borderId="0" xfId="0" applyFont="1" applyAlignment="1"/>
    <xf numFmtId="0" fontId="31" fillId="0" borderId="0" xfId="0" applyFont="1" applyAlignment="1">
      <alignment vertical="center"/>
    </xf>
    <xf numFmtId="1" fontId="43" fillId="0" borderId="0" xfId="0" applyNumberFormat="1" applyFont="1" applyFill="1" applyAlignment="1">
      <alignment horizontal="center" vertical="top"/>
    </xf>
    <xf numFmtId="0" fontId="43" fillId="0" borderId="0" xfId="0" applyFont="1" applyFill="1" applyAlignment="1">
      <alignment vertical="center"/>
    </xf>
    <xf numFmtId="0" fontId="0" fillId="0" borderId="0" xfId="0" applyProtection="1"/>
    <xf numFmtId="0" fontId="31" fillId="0" borderId="0" xfId="0" applyFont="1" applyAlignment="1" applyProtection="1">
      <alignment horizontal="right" vertical="center"/>
    </xf>
    <xf numFmtId="0" fontId="31" fillId="0" borderId="0" xfId="0" applyFont="1" applyAlignment="1" applyProtection="1">
      <alignment horizontal="left" vertical="center" indent="1"/>
      <protection hidden="1"/>
    </xf>
    <xf numFmtId="0" fontId="0" fillId="0" borderId="0" xfId="0" applyFont="1" applyAlignment="1">
      <alignment horizontal="left" vertical="center" indent="1"/>
    </xf>
    <xf numFmtId="0" fontId="26" fillId="3" borderId="0" xfId="0" applyFont="1" applyFill="1" applyAlignment="1" applyProtection="1">
      <alignment horizontal="left" indent="1"/>
      <protection locked="0" hidden="1"/>
    </xf>
    <xf numFmtId="0" fontId="0" fillId="2" borderId="3" xfId="0" applyFill="1" applyBorder="1" applyAlignment="1" applyProtection="1">
      <alignment horizontal="center" vertical="center"/>
      <protection locked="0"/>
    </xf>
    <xf numFmtId="0" fontId="0" fillId="0" borderId="0" xfId="0" applyAlignment="1" applyProtection="1">
      <alignment horizontal="right" vertical="center" indent="1"/>
      <protection hidden="1"/>
    </xf>
    <xf numFmtId="0" fontId="48" fillId="0" borderId="0" xfId="1" applyFont="1"/>
    <xf numFmtId="0" fontId="49" fillId="0" borderId="0" xfId="1" applyFont="1"/>
    <xf numFmtId="2" fontId="0" fillId="0" borderId="1" xfId="0" applyNumberFormat="1" applyFill="1" applyBorder="1" applyAlignment="1">
      <alignment horizontal="right" vertical="center" indent="1"/>
    </xf>
    <xf numFmtId="0" fontId="35" fillId="0" borderId="0" xfId="0" applyFont="1" applyFill="1"/>
    <xf numFmtId="0" fontId="0" fillId="0" borderId="0" xfId="0" applyFill="1"/>
    <xf numFmtId="0" fontId="33" fillId="0" borderId="0" xfId="0" applyFont="1" applyFill="1" applyAlignment="1">
      <alignment vertical="center"/>
    </xf>
    <xf numFmtId="0" fontId="51" fillId="0" borderId="0" xfId="0" applyFont="1"/>
    <xf numFmtId="0" fontId="0" fillId="0" borderId="0" xfId="0" applyFont="1" applyFill="1" applyAlignment="1"/>
    <xf numFmtId="0" fontId="47" fillId="0" borderId="0" xfId="0" applyFont="1" applyAlignment="1" applyProtection="1">
      <alignment vertical="center"/>
      <protection locked="0"/>
    </xf>
    <xf numFmtId="0" fontId="47" fillId="0" borderId="0" xfId="0" applyFont="1" applyAlignment="1" applyProtection="1">
      <alignment vertical="center"/>
    </xf>
    <xf numFmtId="0" fontId="46" fillId="0" borderId="0" xfId="0" applyFont="1" applyAlignment="1" applyProtection="1">
      <alignment horizontal="right" vertical="center" indent="2"/>
    </xf>
    <xf numFmtId="169" fontId="52" fillId="0" borderId="0" xfId="0" applyNumberFormat="1" applyFont="1" applyAlignment="1">
      <alignment vertical="center"/>
    </xf>
    <xf numFmtId="2" fontId="52" fillId="0" borderId="0" xfId="0" applyNumberFormat="1" applyFont="1" applyAlignment="1">
      <alignment vertical="center"/>
    </xf>
    <xf numFmtId="0" fontId="53" fillId="0" borderId="0" xfId="0" applyFont="1" applyAlignment="1">
      <alignment vertical="center"/>
    </xf>
    <xf numFmtId="0" fontId="50" fillId="0" borderId="0" xfId="0" applyFont="1" applyAlignment="1">
      <alignment vertical="center"/>
    </xf>
    <xf numFmtId="2" fontId="55" fillId="0" borderId="0" xfId="1" applyNumberFormat="1" applyFont="1"/>
    <xf numFmtId="0" fontId="0" fillId="11" borderId="0" xfId="0" applyFill="1"/>
    <xf numFmtId="0" fontId="0" fillId="0" borderId="0" xfId="1" applyFont="1"/>
    <xf numFmtId="0" fontId="0" fillId="12" borderId="0" xfId="0" applyFill="1" applyAlignment="1">
      <alignment horizontal="center"/>
    </xf>
    <xf numFmtId="164" fontId="0" fillId="0" borderId="0" xfId="0" applyNumberFormat="1" applyFill="1" applyAlignment="1">
      <alignment horizontal="center"/>
    </xf>
    <xf numFmtId="0" fontId="56" fillId="0" borderId="0" xfId="0" applyFont="1" applyFill="1"/>
    <xf numFmtId="170" fontId="0" fillId="0" borderId="0" xfId="0" applyNumberFormat="1"/>
    <xf numFmtId="0" fontId="57" fillId="0" borderId="0" xfId="1" applyFont="1" applyAlignment="1">
      <alignment vertical="center"/>
    </xf>
    <xf numFmtId="0" fontId="10" fillId="0" borderId="0" xfId="1" applyAlignment="1">
      <alignment horizontal="center"/>
    </xf>
    <xf numFmtId="0" fontId="10" fillId="13" borderId="0" xfId="1" applyFill="1"/>
    <xf numFmtId="0" fontId="62" fillId="0" borderId="0" xfId="0" applyFont="1"/>
    <xf numFmtId="0" fontId="10" fillId="0" borderId="0" xfId="0" applyFont="1"/>
    <xf numFmtId="0" fontId="65" fillId="0" borderId="0" xfId="2" applyFont="1"/>
    <xf numFmtId="0" fontId="65" fillId="0" borderId="0" xfId="2" applyFont="1" applyAlignment="1">
      <alignment horizontal="left"/>
    </xf>
    <xf numFmtId="0" fontId="65" fillId="0" borderId="0" xfId="2" applyFont="1" applyAlignment="1">
      <alignment horizontal="right"/>
    </xf>
    <xf numFmtId="0" fontId="63" fillId="0" borderId="0" xfId="2" applyFont="1"/>
    <xf numFmtId="0" fontId="67" fillId="0" borderId="0" xfId="2" applyFont="1"/>
    <xf numFmtId="0" fontId="65" fillId="0" borderId="0" xfId="2" applyFont="1" applyAlignment="1">
      <alignment horizontal="center"/>
    </xf>
    <xf numFmtId="0" fontId="68" fillId="0" borderId="0" xfId="0" applyFont="1" applyAlignment="1">
      <alignment horizontal="right"/>
    </xf>
    <xf numFmtId="0" fontId="68" fillId="0" borderId="0" xfId="0" applyFont="1"/>
    <xf numFmtId="0" fontId="69" fillId="0" borderId="0" xfId="2" applyFont="1" applyAlignment="1">
      <alignment horizontal="left" vertical="top" indent="1"/>
    </xf>
    <xf numFmtId="0" fontId="70" fillId="0" borderId="0" xfId="2" applyFont="1"/>
    <xf numFmtId="0" fontId="71" fillId="0" borderId="0" xfId="2" applyFont="1"/>
    <xf numFmtId="0" fontId="72" fillId="0" borderId="0" xfId="3" applyFont="1" applyAlignment="1" applyProtection="1"/>
    <xf numFmtId="0" fontId="74" fillId="0" borderId="0" xfId="2" applyFont="1" applyAlignment="1">
      <alignment horizontal="right" vertical="center"/>
    </xf>
    <xf numFmtId="0" fontId="63" fillId="0" borderId="0" xfId="2" applyFont="1" applyAlignment="1">
      <alignment horizontal="right" vertical="center"/>
    </xf>
    <xf numFmtId="171" fontId="77" fillId="14" borderId="15" xfId="2" applyNumberFormat="1" applyFont="1" applyFill="1" applyBorder="1" applyAlignment="1" applyProtection="1">
      <alignment horizontal="center" vertical="center"/>
      <protection locked="0"/>
    </xf>
    <xf numFmtId="0" fontId="63" fillId="0" borderId="0" xfId="0" applyFont="1" applyAlignment="1">
      <alignment vertical="center"/>
    </xf>
    <xf numFmtId="0" fontId="78" fillId="0" borderId="0" xfId="0" applyFont="1" applyAlignment="1">
      <alignment horizontal="center" vertical="center"/>
    </xf>
    <xf numFmtId="0" fontId="73" fillId="0" borderId="0" xfId="2" applyFont="1"/>
    <xf numFmtId="0" fontId="63" fillId="0" borderId="0" xfId="2" applyFont="1" applyAlignment="1">
      <alignment horizontal="right"/>
    </xf>
    <xf numFmtId="164" fontId="63" fillId="0" borderId="16" xfId="2" applyNumberFormat="1" applyFont="1" applyBorder="1" applyAlignment="1">
      <alignment horizontal="center"/>
    </xf>
    <xf numFmtId="164" fontId="79" fillId="0" borderId="17" xfId="2" applyNumberFormat="1" applyFont="1" applyBorder="1" applyAlignment="1">
      <alignment horizontal="center"/>
    </xf>
    <xf numFmtId="164" fontId="79" fillId="0" borderId="18" xfId="2" applyNumberFormat="1" applyFont="1" applyBorder="1" applyAlignment="1">
      <alignment horizontal="center"/>
    </xf>
    <xf numFmtId="0" fontId="65" fillId="0" borderId="0" xfId="2" applyFont="1" applyAlignment="1">
      <alignment horizontal="center" vertical="top"/>
    </xf>
    <xf numFmtId="0" fontId="65" fillId="0" borderId="0" xfId="2" applyFont="1" applyAlignment="1">
      <alignment horizontal="left" vertical="top"/>
    </xf>
    <xf numFmtId="0" fontId="66" fillId="0" borderId="0" xfId="2" applyFont="1"/>
    <xf numFmtId="0" fontId="79" fillId="0" borderId="19" xfId="2" applyFont="1" applyBorder="1" applyAlignment="1">
      <alignment horizontal="right" vertical="center"/>
    </xf>
    <xf numFmtId="0" fontId="79" fillId="0" borderId="20" xfId="2" applyFont="1" applyBorder="1" applyAlignment="1">
      <alignment horizontal="center" vertical="center"/>
    </xf>
    <xf numFmtId="0" fontId="79" fillId="0" borderId="21" xfId="2" applyFont="1" applyBorder="1" applyAlignment="1">
      <alignment vertical="center"/>
    </xf>
    <xf numFmtId="0" fontId="80" fillId="0" borderId="0" xfId="2" applyFont="1" applyAlignment="1">
      <alignment horizontal="left"/>
    </xf>
    <xf numFmtId="0" fontId="80" fillId="0" borderId="0" xfId="2" applyFont="1"/>
    <xf numFmtId="0" fontId="81" fillId="0" borderId="0" xfId="2" applyFont="1" applyAlignment="1">
      <alignment wrapText="1"/>
    </xf>
    <xf numFmtId="0" fontId="77" fillId="0" borderId="0" xfId="2" applyFont="1"/>
    <xf numFmtId="0" fontId="83" fillId="0" borderId="0" xfId="2" applyFont="1"/>
    <xf numFmtId="164" fontId="83" fillId="0" borderId="0" xfId="2" applyNumberFormat="1" applyFont="1" applyAlignment="1">
      <alignment horizontal="left"/>
    </xf>
    <xf numFmtId="0" fontId="84" fillId="0" borderId="0" xfId="0" applyFont="1"/>
    <xf numFmtId="0" fontId="65" fillId="0" borderId="26" xfId="0" applyFont="1" applyBorder="1" applyAlignment="1">
      <alignment horizontal="center"/>
    </xf>
    <xf numFmtId="0" fontId="65" fillId="0" borderId="27" xfId="0" applyFont="1" applyBorder="1" applyAlignment="1">
      <alignment horizontal="center"/>
    </xf>
    <xf numFmtId="20" fontId="86" fillId="15" borderId="0" xfId="2" applyNumberFormat="1" applyFont="1" applyFill="1"/>
    <xf numFmtId="0" fontId="78" fillId="0" borderId="21" xfId="0" applyFont="1" applyBorder="1" applyAlignment="1">
      <alignment horizontal="center"/>
    </xf>
    <xf numFmtId="0" fontId="78" fillId="0" borderId="32" xfId="0" applyFont="1" applyBorder="1" applyAlignment="1">
      <alignment horizontal="center"/>
    </xf>
    <xf numFmtId="0" fontId="63" fillId="0" borderId="33" xfId="0" applyFont="1" applyBorder="1" applyAlignment="1">
      <alignment horizontal="center"/>
    </xf>
    <xf numFmtId="0" fontId="86" fillId="0" borderId="0" xfId="2" applyFont="1"/>
    <xf numFmtId="0" fontId="87" fillId="0" borderId="0" xfId="2" applyFont="1" applyAlignment="1">
      <alignment horizontal="right" indent="1"/>
    </xf>
    <xf numFmtId="0" fontId="88" fillId="0" borderId="0" xfId="2" applyFont="1"/>
    <xf numFmtId="0" fontId="89" fillId="0" borderId="0" xfId="2" applyFont="1" applyAlignment="1">
      <alignment horizontal="left"/>
    </xf>
    <xf numFmtId="0" fontId="89" fillId="0" borderId="0" xfId="2" applyFont="1" applyAlignment="1">
      <alignment horizontal="center"/>
    </xf>
    <xf numFmtId="0" fontId="90" fillId="0" borderId="0" xfId="0" applyFont="1" applyAlignment="1">
      <alignment horizontal="center" vertical="center"/>
    </xf>
    <xf numFmtId="0" fontId="90" fillId="0" borderId="0" xfId="0" applyFont="1" applyAlignment="1">
      <alignment horizontal="left" vertical="center"/>
    </xf>
    <xf numFmtId="0" fontId="91" fillId="0" borderId="0" xfId="0" applyFont="1" applyAlignment="1">
      <alignment horizontal="right"/>
    </xf>
    <xf numFmtId="0" fontId="92" fillId="17" borderId="0" xfId="0" applyFont="1" applyFill="1" applyAlignment="1">
      <alignment horizontal="center" vertical="center"/>
    </xf>
    <xf numFmtId="0" fontId="93" fillId="0" borderId="0" xfId="0" applyFont="1" applyAlignment="1">
      <alignment horizontal="right" vertical="center"/>
    </xf>
    <xf numFmtId="0" fontId="91" fillId="0" borderId="0" xfId="0" applyFont="1" applyAlignment="1">
      <alignment horizontal="right" vertical="center"/>
    </xf>
    <xf numFmtId="0" fontId="91" fillId="15" borderId="0" xfId="0" applyFont="1" applyFill="1" applyAlignment="1">
      <alignment horizontal="center" vertical="top"/>
    </xf>
    <xf numFmtId="0" fontId="92" fillId="18" borderId="0" xfId="0" applyFont="1" applyFill="1" applyAlignment="1">
      <alignment horizontal="center" vertical="center"/>
    </xf>
    <xf numFmtId="14" fontId="77" fillId="0" borderId="0" xfId="0" applyNumberFormat="1" applyFont="1" applyAlignment="1">
      <alignment horizontal="centerContinuous"/>
    </xf>
    <xf numFmtId="0" fontId="77" fillId="0" borderId="0" xfId="0" applyFont="1" applyAlignment="1">
      <alignment horizontal="centerContinuous"/>
    </xf>
    <xf numFmtId="0" fontId="80" fillId="0" borderId="0" xfId="0" applyFont="1" applyAlignment="1">
      <alignment horizontal="left"/>
    </xf>
    <xf numFmtId="0" fontId="97" fillId="0" borderId="0" xfId="0" applyFont="1"/>
    <xf numFmtId="0" fontId="86" fillId="0" borderId="0" xfId="0" applyFont="1"/>
    <xf numFmtId="0" fontId="82" fillId="0" borderId="0" xfId="2" applyFont="1"/>
    <xf numFmtId="0" fontId="73" fillId="0" borderId="0" xfId="0" applyFont="1" applyAlignment="1">
      <alignment horizontal="left" vertical="center"/>
    </xf>
    <xf numFmtId="0" fontId="100" fillId="3" borderId="0" xfId="0" applyFont="1" applyFill="1"/>
    <xf numFmtId="0" fontId="91" fillId="0" borderId="0" xfId="0" applyFont="1" applyAlignment="1">
      <alignment horizontal="right" vertical="top"/>
    </xf>
    <xf numFmtId="0" fontId="91" fillId="0" borderId="0" xfId="0" applyFont="1" applyAlignment="1">
      <alignment vertical="top"/>
    </xf>
    <xf numFmtId="0" fontId="65" fillId="0" borderId="0" xfId="0" applyFont="1" applyAlignment="1">
      <alignment horizontal="right" vertical="top"/>
    </xf>
    <xf numFmtId="0" fontId="99" fillId="0" borderId="0" xfId="0" applyFont="1" applyAlignment="1">
      <alignment vertical="center"/>
    </xf>
    <xf numFmtId="0" fontId="65" fillId="15" borderId="0" xfId="0" applyFont="1" applyFill="1" applyAlignment="1">
      <alignment horizontal="center"/>
    </xf>
    <xf numFmtId="0" fontId="65" fillId="7" borderId="0" xfId="0" applyFont="1" applyFill="1" applyAlignment="1">
      <alignment horizontal="center"/>
    </xf>
    <xf numFmtId="0" fontId="63" fillId="0" borderId="0" xfId="2" applyFont="1" applyAlignment="1">
      <alignment horizontal="center"/>
    </xf>
    <xf numFmtId="0" fontId="63" fillId="20" borderId="0" xfId="2" applyFont="1" applyFill="1"/>
    <xf numFmtId="0" fontId="101" fillId="0" borderId="0" xfId="0" applyFont="1" applyAlignment="1">
      <alignment horizontal="right"/>
    </xf>
    <xf numFmtId="16" fontId="101" fillId="0" borderId="0" xfId="0" quotePrefix="1" applyNumberFormat="1" applyFont="1" applyAlignment="1">
      <alignment horizontal="right"/>
    </xf>
    <xf numFmtId="0" fontId="95" fillId="0" borderId="41" xfId="0" applyFont="1" applyBorder="1" applyAlignment="1">
      <alignment vertical="center"/>
    </xf>
    <xf numFmtId="0" fontId="103" fillId="0" borderId="41" xfId="0" applyFont="1" applyBorder="1" applyAlignment="1">
      <alignment horizontal="right" vertical="center"/>
    </xf>
    <xf numFmtId="0" fontId="105" fillId="0" borderId="0" xfId="2" applyFont="1" applyAlignment="1">
      <alignment horizontal="center"/>
    </xf>
    <xf numFmtId="0" fontId="106" fillId="16" borderId="34" xfId="2" applyFont="1" applyFill="1" applyBorder="1" applyAlignment="1" applyProtection="1">
      <alignment horizontal="right" indent="1"/>
      <protection locked="0"/>
    </xf>
    <xf numFmtId="0" fontId="106" fillId="16" borderId="35" xfId="2" applyFont="1" applyFill="1" applyBorder="1" applyAlignment="1" applyProtection="1">
      <alignment horizontal="right" indent="1"/>
      <protection locked="0"/>
    </xf>
    <xf numFmtId="0" fontId="108" fillId="0" borderId="0" xfId="4" applyFont="1" applyAlignment="1">
      <alignment horizontal="right" indent="1"/>
    </xf>
    <xf numFmtId="0" fontId="58" fillId="0" borderId="0" xfId="4" applyAlignment="1">
      <alignment horizontal="right" indent="1"/>
    </xf>
    <xf numFmtId="20" fontId="104" fillId="16" borderId="24" xfId="2" applyNumberFormat="1" applyFont="1" applyFill="1" applyBorder="1" applyAlignment="1" applyProtection="1">
      <alignment horizontal="center"/>
      <protection locked="0" hidden="1"/>
    </xf>
    <xf numFmtId="20" fontId="104" fillId="16" borderId="25" xfId="2" applyNumberFormat="1" applyFont="1" applyFill="1" applyBorder="1" applyAlignment="1" applyProtection="1">
      <alignment horizontal="center"/>
      <protection locked="0" hidden="1"/>
    </xf>
    <xf numFmtId="20" fontId="104" fillId="16" borderId="36" xfId="2" applyNumberFormat="1" applyFont="1" applyFill="1" applyBorder="1" applyAlignment="1" applyProtection="1">
      <alignment horizontal="center"/>
      <protection locked="0" hidden="1"/>
    </xf>
    <xf numFmtId="20" fontId="104" fillId="16" borderId="31" xfId="2" applyNumberFormat="1" applyFont="1" applyFill="1" applyBorder="1" applyAlignment="1" applyProtection="1">
      <alignment horizontal="center"/>
      <protection locked="0" hidden="1"/>
    </xf>
    <xf numFmtId="0" fontId="98" fillId="0" borderId="0" xfId="2" applyFont="1" applyAlignment="1">
      <alignment horizontal="left" vertical="center" indent="1"/>
    </xf>
    <xf numFmtId="0" fontId="63" fillId="0" borderId="0" xfId="0" applyFont="1"/>
    <xf numFmtId="0" fontId="109" fillId="0" borderId="0" xfId="2" applyFont="1"/>
    <xf numFmtId="0" fontId="58" fillId="0" borderId="0" xfId="2" applyAlignment="1">
      <alignment horizontal="right"/>
    </xf>
    <xf numFmtId="0" fontId="107" fillId="0" borderId="0" xfId="2" applyFont="1" applyAlignment="1">
      <alignment horizontal="center"/>
    </xf>
    <xf numFmtId="0" fontId="58" fillId="0" borderId="0" xfId="2"/>
    <xf numFmtId="0" fontId="74" fillId="0" borderId="0" xfId="0" applyFont="1" applyAlignment="1">
      <alignment vertical="center"/>
    </xf>
    <xf numFmtId="0" fontId="110" fillId="0" borderId="0" xfId="0" applyFont="1" applyAlignment="1">
      <alignment horizontal="left" indent="3"/>
    </xf>
    <xf numFmtId="0" fontId="66" fillId="0" borderId="0" xfId="0" applyFont="1" applyAlignment="1">
      <alignment horizontal="right" indent="1"/>
    </xf>
    <xf numFmtId="0" fontId="13" fillId="0" borderId="2" xfId="0" applyFont="1" applyFill="1" applyBorder="1" applyAlignment="1" applyProtection="1">
      <alignment vertical="center" wrapText="1"/>
    </xf>
    <xf numFmtId="0" fontId="9" fillId="21" borderId="0" xfId="0" applyFont="1" applyFill="1"/>
    <xf numFmtId="0" fontId="19" fillId="21" borderId="0" xfId="0" applyFont="1" applyFill="1"/>
    <xf numFmtId="0" fontId="0" fillId="21" borderId="0" xfId="0" applyFill="1"/>
    <xf numFmtId="0" fontId="29" fillId="21" borderId="0" xfId="0" applyFont="1" applyFill="1"/>
    <xf numFmtId="0" fontId="9" fillId="0" borderId="0" xfId="0" applyFont="1" applyFill="1"/>
    <xf numFmtId="0" fontId="19" fillId="23" borderId="0" xfId="0" applyFont="1" applyFill="1" applyAlignment="1">
      <alignment horizontal="right"/>
    </xf>
    <xf numFmtId="0" fontId="26" fillId="21" borderId="0" xfId="0" applyFont="1" applyFill="1"/>
    <xf numFmtId="0" fontId="29" fillId="21" borderId="0" xfId="0" quotePrefix="1" applyFont="1" applyFill="1"/>
    <xf numFmtId="0" fontId="0" fillId="21" borderId="0" xfId="0" applyFill="1" applyAlignment="1">
      <alignment horizontal="center"/>
    </xf>
    <xf numFmtId="0" fontId="29" fillId="21" borderId="0" xfId="0" applyFont="1" applyFill="1" applyAlignment="1">
      <alignment horizontal="right"/>
    </xf>
    <xf numFmtId="0" fontId="0" fillId="24" borderId="0" xfId="0" applyFill="1"/>
    <xf numFmtId="0" fontId="8" fillId="0" borderId="0" xfId="0" applyFont="1" applyFill="1"/>
    <xf numFmtId="0" fontId="74" fillId="0" borderId="0" xfId="5" applyFont="1" applyAlignment="1">
      <alignment horizontal="right" indent="1"/>
    </xf>
    <xf numFmtId="0" fontId="77" fillId="3" borderId="1" xfId="5" applyFont="1" applyFill="1" applyBorder="1" applyAlignment="1" applyProtection="1">
      <alignment horizontal="center" vertical="center"/>
      <protection locked="0"/>
    </xf>
    <xf numFmtId="0" fontId="63" fillId="0" borderId="0" xfId="6" applyFont="1" applyAlignment="1">
      <alignment vertical="center"/>
    </xf>
    <xf numFmtId="0" fontId="79" fillId="0" borderId="0" xfId="7" applyFont="1" applyAlignment="1">
      <alignment vertical="center"/>
    </xf>
    <xf numFmtId="0" fontId="63" fillId="0" borderId="0" xfId="7" applyFont="1"/>
    <xf numFmtId="0" fontId="79" fillId="0" borderId="0" xfId="7" applyFont="1"/>
    <xf numFmtId="0" fontId="63" fillId="0" borderId="0" xfId="7" applyFont="1" applyAlignment="1">
      <alignment vertical="center"/>
    </xf>
    <xf numFmtId="0" fontId="111" fillId="0" borderId="0" xfId="5" applyFont="1" applyAlignment="1">
      <alignment horizontal="right" vertical="center"/>
    </xf>
    <xf numFmtId="0" fontId="112" fillId="13" borderId="0" xfId="5" applyFont="1" applyFill="1" applyAlignment="1">
      <alignment vertical="center"/>
    </xf>
    <xf numFmtId="0" fontId="112" fillId="25" borderId="0" xfId="5" applyFont="1" applyFill="1" applyAlignment="1">
      <alignment vertical="center"/>
    </xf>
    <xf numFmtId="0" fontId="74" fillId="0" borderId="0" xfId="5" applyFont="1"/>
    <xf numFmtId="0" fontId="79" fillId="0" borderId="0" xfId="5" applyFont="1"/>
    <xf numFmtId="0" fontId="74" fillId="0" borderId="0" xfId="5" applyFont="1" applyAlignment="1">
      <alignment horizontal="right" vertical="center"/>
    </xf>
    <xf numFmtId="0" fontId="10" fillId="26" borderId="0" xfId="1" applyFill="1"/>
    <xf numFmtId="0" fontId="113" fillId="0" borderId="0" xfId="1" applyFont="1" applyAlignment="1">
      <alignment horizontal="left" indent="1"/>
    </xf>
    <xf numFmtId="164" fontId="0" fillId="0" borderId="42" xfId="0" applyNumberFormat="1" applyBorder="1" applyAlignment="1">
      <alignment horizontal="right" vertical="center" indent="1"/>
    </xf>
    <xf numFmtId="167" fontId="0" fillId="0" borderId="3" xfId="0" applyNumberFormat="1" applyFill="1" applyBorder="1" applyAlignment="1" applyProtection="1">
      <alignment horizontal="right" vertical="center" indent="1"/>
    </xf>
    <xf numFmtId="20" fontId="104" fillId="27" borderId="5" xfId="2" applyNumberFormat="1" applyFont="1" applyFill="1" applyBorder="1" applyAlignment="1" applyProtection="1">
      <alignment horizontal="center"/>
      <protection locked="0" hidden="1"/>
    </xf>
    <xf numFmtId="0" fontId="63" fillId="0" borderId="0" xfId="5" applyFont="1" applyFill="1" applyAlignment="1">
      <alignment horizontal="left" indent="1"/>
    </xf>
    <xf numFmtId="0" fontId="63" fillId="0" borderId="0" xfId="5" applyFont="1" applyAlignment="1">
      <alignment horizontal="right"/>
    </xf>
    <xf numFmtId="0" fontId="77" fillId="3" borderId="3" xfId="7" applyFont="1" applyFill="1" applyBorder="1" applyAlignment="1" applyProtection="1">
      <alignment horizontal="center" vertical="center"/>
      <protection locked="0"/>
    </xf>
    <xf numFmtId="0" fontId="43" fillId="0" borderId="0" xfId="0" applyFont="1" applyAlignment="1"/>
    <xf numFmtId="0" fontId="114" fillId="0" borderId="0" xfId="0" applyFont="1" applyFill="1"/>
    <xf numFmtId="0" fontId="0" fillId="0" borderId="0" xfId="0" applyAlignment="1">
      <alignment horizontal="right" vertical="center"/>
    </xf>
    <xf numFmtId="0" fontId="43" fillId="0" borderId="0" xfId="0" applyFont="1"/>
    <xf numFmtId="0" fontId="0" fillId="0" borderId="0" xfId="0" applyAlignment="1">
      <alignment horizontal="left" indent="2"/>
    </xf>
    <xf numFmtId="0" fontId="0" fillId="0" borderId="3" xfId="0" applyBorder="1" applyAlignment="1">
      <alignment horizontal="center"/>
    </xf>
    <xf numFmtId="0" fontId="0" fillId="0" borderId="45" xfId="0" applyBorder="1" applyAlignment="1">
      <alignment horizontal="center"/>
    </xf>
    <xf numFmtId="0" fontId="52" fillId="0" borderId="0" xfId="0" applyFont="1" applyAlignment="1">
      <alignment horizontal="center" vertical="center"/>
    </xf>
    <xf numFmtId="0" fontId="29" fillId="21" borderId="0" xfId="0" quotePrefix="1" applyFont="1" applyFill="1" applyAlignment="1">
      <alignment horizontal="left" indent="2"/>
    </xf>
    <xf numFmtId="0" fontId="63" fillId="0" borderId="0" xfId="5" applyFont="1" applyFill="1" applyAlignment="1">
      <alignment horizontal="right"/>
    </xf>
    <xf numFmtId="0" fontId="78" fillId="3" borderId="3" xfId="7" applyFont="1" applyFill="1" applyBorder="1" applyAlignment="1" applyProtection="1">
      <alignment horizontal="center" vertical="center"/>
      <protection locked="0" hidden="1"/>
    </xf>
    <xf numFmtId="0" fontId="33" fillId="0" borderId="0" xfId="0" applyFont="1" applyAlignment="1">
      <alignment horizontal="center"/>
    </xf>
    <xf numFmtId="0" fontId="10" fillId="28" borderId="0" xfId="1" applyFill="1"/>
    <xf numFmtId="0" fontId="43" fillId="0" borderId="0" xfId="0" applyFont="1" applyFill="1"/>
    <xf numFmtId="0" fontId="43" fillId="0" borderId="0" xfId="0" applyFont="1" applyAlignment="1">
      <alignment horizontal="left"/>
    </xf>
    <xf numFmtId="0" fontId="0" fillId="0" borderId="0" xfId="0" applyAlignment="1"/>
    <xf numFmtId="0" fontId="10" fillId="29" borderId="0" xfId="1" applyFill="1"/>
    <xf numFmtId="0" fontId="31" fillId="0" borderId="3" xfId="0" applyFont="1" applyFill="1" applyBorder="1" applyAlignment="1" applyProtection="1">
      <alignment horizontal="center" vertical="center"/>
    </xf>
    <xf numFmtId="164" fontId="0" fillId="0" borderId="0" xfId="0" applyNumberFormat="1" applyFont="1"/>
    <xf numFmtId="164" fontId="77" fillId="0" borderId="0" xfId="7" applyNumberFormat="1" applyFont="1" applyAlignment="1" applyProtection="1">
      <alignment horizontal="center" vertical="center"/>
    </xf>
    <xf numFmtId="164" fontId="77" fillId="0" borderId="0" xfId="5" applyNumberFormat="1" applyFont="1" applyAlignment="1" applyProtection="1">
      <alignment horizontal="center" vertical="center"/>
      <protection locked="0"/>
    </xf>
    <xf numFmtId="166" fontId="33" fillId="0" borderId="0" xfId="0" applyNumberFormat="1" applyFont="1"/>
    <xf numFmtId="0" fontId="24" fillId="0" borderId="0" xfId="0" applyFont="1"/>
    <xf numFmtId="0" fontId="7" fillId="0" borderId="0" xfId="0" applyFont="1" applyAlignment="1">
      <alignment horizontal="left" indent="3"/>
    </xf>
    <xf numFmtId="0" fontId="77" fillId="3" borderId="0" xfId="7" applyFont="1" applyFill="1" applyBorder="1" applyAlignment="1" applyProtection="1">
      <alignment vertical="center"/>
      <protection locked="0"/>
    </xf>
    <xf numFmtId="164" fontId="79" fillId="0" borderId="0" xfId="7" applyNumberFormat="1" applyFont="1" applyAlignment="1">
      <alignment horizontal="center"/>
    </xf>
    <xf numFmtId="164" fontId="77" fillId="0" borderId="0" xfId="5" applyNumberFormat="1" applyFont="1" applyAlignment="1" applyProtection="1">
      <alignment horizontal="center" vertical="center"/>
    </xf>
    <xf numFmtId="164" fontId="77" fillId="3" borderId="3" xfId="7" applyNumberFormat="1" applyFont="1" applyFill="1" applyBorder="1" applyAlignment="1" applyProtection="1">
      <alignment horizontal="center" vertical="center"/>
      <protection locked="0"/>
    </xf>
    <xf numFmtId="0" fontId="7" fillId="0" borderId="46" xfId="0" applyFont="1" applyBorder="1" applyAlignment="1">
      <alignment vertical="top"/>
    </xf>
    <xf numFmtId="0" fontId="8" fillId="0" borderId="0" xfId="0" applyFont="1" applyFill="1" applyAlignment="1">
      <alignment horizontal="left"/>
    </xf>
    <xf numFmtId="0" fontId="17" fillId="0" borderId="0" xfId="0" applyFont="1" applyAlignment="1">
      <alignment horizontal="left" indent="4"/>
    </xf>
    <xf numFmtId="0" fontId="116" fillId="0" borderId="0" xfId="0" applyFont="1" applyFill="1" applyAlignment="1">
      <alignment horizontal="left" indent="4"/>
    </xf>
    <xf numFmtId="0" fontId="117" fillId="0" borderId="0" xfId="0" applyFont="1"/>
    <xf numFmtId="0" fontId="119" fillId="0" borderId="0" xfId="7" applyFont="1"/>
    <xf numFmtId="0" fontId="66" fillId="0" borderId="0" xfId="7" applyFont="1" applyFill="1" applyAlignment="1"/>
    <xf numFmtId="0" fontId="10" fillId="0" borderId="0" xfId="0" applyFont="1" applyBorder="1"/>
    <xf numFmtId="0" fontId="74" fillId="0" borderId="0" xfId="7" applyFont="1" applyFill="1" applyAlignment="1">
      <alignment horizontal="right" vertical="center"/>
    </xf>
    <xf numFmtId="0" fontId="120" fillId="0" borderId="0" xfId="7" applyFont="1"/>
    <xf numFmtId="0" fontId="73" fillId="0" borderId="0" xfId="7" applyFont="1" applyAlignment="1">
      <alignment horizontal="right" vertical="center"/>
    </xf>
    <xf numFmtId="0" fontId="74" fillId="0" borderId="0" xfId="7" applyFont="1" applyAlignment="1">
      <alignment vertical="top"/>
    </xf>
    <xf numFmtId="0" fontId="84" fillId="0" borderId="0" xfId="7" applyFont="1" applyAlignment="1">
      <alignment vertical="top"/>
    </xf>
    <xf numFmtId="0" fontId="73" fillId="0" borderId="0" xfId="7" applyFont="1"/>
    <xf numFmtId="0" fontId="121" fillId="0" borderId="0" xfId="7" applyFont="1" applyAlignment="1"/>
    <xf numFmtId="0" fontId="84" fillId="0" borderId="0" xfId="7" applyFont="1"/>
    <xf numFmtId="0" fontId="63" fillId="0" borderId="42" xfId="7" applyFont="1" applyBorder="1" applyAlignment="1">
      <alignment horizontal="center"/>
    </xf>
    <xf numFmtId="0" fontId="20" fillId="0" borderId="0" xfId="7" applyFont="1" applyAlignment="1">
      <alignment vertical="center"/>
    </xf>
    <xf numFmtId="173" fontId="94" fillId="0" borderId="0" xfId="8" applyNumberFormat="1" applyFont="1" applyAlignment="1">
      <alignment horizontal="right" vertical="center"/>
    </xf>
    <xf numFmtId="0" fontId="63" fillId="0" borderId="1" xfId="7" applyFont="1" applyBorder="1" applyAlignment="1">
      <alignment horizontal="center" vertical="center"/>
    </xf>
    <xf numFmtId="0" fontId="63" fillId="0" borderId="49" xfId="7" applyFont="1" applyBorder="1" applyAlignment="1">
      <alignment horizontal="center" vertical="top" wrapText="1"/>
    </xf>
    <xf numFmtId="0" fontId="63" fillId="0" borderId="1" xfId="7" applyFont="1" applyBorder="1" applyAlignment="1">
      <alignment horizontal="left" vertical="center" indent="1"/>
    </xf>
    <xf numFmtId="0" fontId="63" fillId="0" borderId="1" xfId="7" applyFont="1" applyBorder="1"/>
    <xf numFmtId="0" fontId="63" fillId="0" borderId="1" xfId="7" applyFont="1" applyBorder="1" applyAlignment="1">
      <alignment horizontal="center" vertical="center" wrapText="1"/>
    </xf>
    <xf numFmtId="0" fontId="122" fillId="0" borderId="0" xfId="0" applyFont="1"/>
    <xf numFmtId="0" fontId="94" fillId="0" borderId="0" xfId="7" applyFont="1" applyAlignment="1">
      <alignment horizontal="right" wrapText="1"/>
    </xf>
    <xf numFmtId="0" fontId="55" fillId="0" borderId="0" xfId="7" applyFont="1"/>
    <xf numFmtId="0" fontId="63" fillId="3" borderId="3" xfId="7" applyFont="1" applyFill="1" applyBorder="1" applyAlignment="1" applyProtection="1">
      <alignment horizontal="center"/>
      <protection locked="0"/>
    </xf>
    <xf numFmtId="0" fontId="63" fillId="3" borderId="39" xfId="7" applyFont="1" applyFill="1" applyBorder="1" applyAlignment="1" applyProtection="1">
      <alignment horizontal="left" indent="1"/>
      <protection locked="0"/>
    </xf>
    <xf numFmtId="0" fontId="63" fillId="3" borderId="40" xfId="7" applyFont="1" applyFill="1" applyBorder="1"/>
    <xf numFmtId="0" fontId="63" fillId="3" borderId="3" xfId="7" applyFont="1" applyFill="1" applyBorder="1" applyAlignment="1" applyProtection="1">
      <protection locked="0"/>
    </xf>
    <xf numFmtId="0" fontId="63" fillId="30" borderId="3" xfId="7" applyFont="1" applyFill="1" applyBorder="1" applyAlignment="1" applyProtection="1">
      <alignment horizontal="center"/>
      <protection locked="0"/>
    </xf>
    <xf numFmtId="0" fontId="123" fillId="0" borderId="0" xfId="7" applyFont="1"/>
    <xf numFmtId="0" fontId="124" fillId="0" borderId="0" xfId="0" applyFont="1"/>
    <xf numFmtId="0" fontId="10" fillId="0" borderId="50" xfId="0" applyFont="1" applyBorder="1"/>
    <xf numFmtId="0" fontId="63" fillId="0" borderId="3" xfId="7" applyFont="1" applyBorder="1" applyAlignment="1" applyProtection="1">
      <alignment horizontal="center"/>
      <protection locked="0"/>
    </xf>
    <xf numFmtId="0" fontId="63" fillId="0" borderId="39" xfId="7" applyFont="1" applyBorder="1" applyAlignment="1" applyProtection="1">
      <alignment horizontal="left" indent="1"/>
      <protection locked="0"/>
    </xf>
    <xf numFmtId="0" fontId="63" fillId="0" borderId="40" xfId="7" applyFont="1" applyBorder="1"/>
    <xf numFmtId="0" fontId="63" fillId="0" borderId="3" xfId="7" applyFont="1" applyBorder="1" applyAlignment="1" applyProtection="1">
      <protection locked="0"/>
    </xf>
    <xf numFmtId="0" fontId="63" fillId="0" borderId="39" xfId="7" applyFont="1" applyBorder="1" applyAlignment="1" applyProtection="1">
      <alignment horizontal="center"/>
      <protection locked="0"/>
    </xf>
    <xf numFmtId="0" fontId="63" fillId="0" borderId="35" xfId="7" applyFont="1" applyBorder="1" applyAlignment="1" applyProtection="1">
      <protection locked="0"/>
    </xf>
    <xf numFmtId="0" fontId="63" fillId="0" borderId="35" xfId="7" applyFont="1" applyBorder="1" applyAlignment="1" applyProtection="1">
      <alignment horizontal="center"/>
      <protection locked="0"/>
    </xf>
    <xf numFmtId="0" fontId="63" fillId="0" borderId="40" xfId="7" applyFont="1" applyBorder="1" applyAlignment="1" applyProtection="1">
      <alignment horizontal="center"/>
      <protection locked="0"/>
    </xf>
    <xf numFmtId="0" fontId="78" fillId="31" borderId="0" xfId="7" applyFont="1" applyFill="1"/>
    <xf numFmtId="0" fontId="125" fillId="31" borderId="0" xfId="7" applyFont="1" applyFill="1"/>
    <xf numFmtId="0" fontId="74" fillId="31" borderId="0" xfId="7" applyFont="1" applyFill="1"/>
    <xf numFmtId="0" fontId="63" fillId="31" borderId="0" xfId="7" applyFont="1" applyFill="1"/>
    <xf numFmtId="0" fontId="20" fillId="0" borderId="0" xfId="7" applyFont="1" applyAlignment="1"/>
    <xf numFmtId="0" fontId="126" fillId="0" borderId="0" xfId="7" applyFont="1"/>
    <xf numFmtId="0" fontId="63" fillId="0" borderId="0" xfId="7" applyFont="1" applyFill="1" applyAlignment="1">
      <alignment horizontal="left" vertical="center" indent="3"/>
    </xf>
    <xf numFmtId="164" fontId="63" fillId="30" borderId="1" xfId="7" applyNumberFormat="1" applyFont="1" applyFill="1" applyBorder="1" applyAlignment="1">
      <alignment horizontal="center" vertical="center"/>
    </xf>
    <xf numFmtId="0" fontId="79" fillId="0" borderId="0" xfId="7" applyFont="1" applyFill="1" applyAlignment="1">
      <alignment horizontal="center" vertical="center"/>
    </xf>
    <xf numFmtId="0" fontId="79" fillId="0" borderId="0" xfId="7" applyFont="1" applyFill="1" applyAlignment="1">
      <alignment horizontal="left" vertical="center"/>
    </xf>
    <xf numFmtId="0" fontId="100" fillId="0" borderId="0" xfId="7" applyFont="1" applyAlignment="1">
      <alignment vertical="center"/>
    </xf>
    <xf numFmtId="0" fontId="63" fillId="0" borderId="0" xfId="7" applyFont="1" applyBorder="1" applyAlignment="1">
      <alignment vertical="center"/>
    </xf>
    <xf numFmtId="0" fontId="63" fillId="0" borderId="0" xfId="7" applyFont="1" applyBorder="1" applyAlignment="1">
      <alignment horizontal="right" vertical="center"/>
    </xf>
    <xf numFmtId="0" fontId="127" fillId="0" borderId="0" xfId="7" applyFont="1" applyBorder="1" applyAlignment="1">
      <alignment vertical="center"/>
    </xf>
    <xf numFmtId="0" fontId="63" fillId="0" borderId="0" xfId="7" applyFont="1" applyBorder="1"/>
    <xf numFmtId="0" fontId="63" fillId="32" borderId="0" xfId="7" applyFont="1" applyFill="1" applyBorder="1" applyAlignment="1"/>
    <xf numFmtId="164" fontId="78" fillId="29" borderId="10" xfId="7" applyNumberFormat="1" applyFont="1" applyFill="1" applyBorder="1" applyAlignment="1">
      <alignment horizontal="center" vertical="center"/>
    </xf>
    <xf numFmtId="0" fontId="63" fillId="33" borderId="0" xfId="7" applyFont="1" applyFill="1"/>
    <xf numFmtId="0" fontId="10" fillId="33" borderId="0" xfId="0" applyFont="1" applyFill="1"/>
    <xf numFmtId="0" fontId="109" fillId="33" borderId="0" xfId="7" applyFont="1" applyFill="1"/>
    <xf numFmtId="0" fontId="128" fillId="34" borderId="0" xfId="7" applyFont="1" applyFill="1" applyAlignment="1" applyProtection="1">
      <alignment vertical="center"/>
      <protection hidden="1"/>
    </xf>
    <xf numFmtId="0" fontId="63" fillId="34" borderId="0" xfId="7" applyFont="1" applyFill="1" applyProtection="1">
      <protection hidden="1"/>
    </xf>
    <xf numFmtId="0" fontId="109" fillId="34" borderId="0" xfId="7" applyFont="1" applyFill="1" applyProtection="1">
      <protection hidden="1"/>
    </xf>
    <xf numFmtId="0" fontId="63" fillId="33" borderId="0" xfId="7" applyFont="1" applyFill="1" applyProtection="1">
      <protection hidden="1"/>
    </xf>
    <xf numFmtId="0" fontId="10" fillId="33" borderId="0" xfId="0" applyFont="1" applyFill="1" applyProtection="1">
      <protection hidden="1"/>
    </xf>
    <xf numFmtId="0" fontId="10" fillId="0" borderId="0" xfId="0" applyFont="1" applyProtection="1">
      <protection hidden="1"/>
    </xf>
    <xf numFmtId="0" fontId="63" fillId="3" borderId="3" xfId="7" applyFont="1" applyFill="1" applyBorder="1" applyAlignment="1" applyProtection="1">
      <alignment horizontal="center"/>
      <protection hidden="1"/>
    </xf>
    <xf numFmtId="0" fontId="63" fillId="3" borderId="39" xfId="7" applyFont="1" applyFill="1" applyBorder="1" applyAlignment="1" applyProtection="1">
      <alignment horizontal="left" indent="1"/>
      <protection hidden="1"/>
    </xf>
    <xf numFmtId="0" fontId="63" fillId="3" borderId="40" xfId="7" applyFont="1" applyFill="1" applyBorder="1" applyProtection="1">
      <protection hidden="1"/>
    </xf>
    <xf numFmtId="0" fontId="63" fillId="3" borderId="3" xfId="7" applyFont="1" applyFill="1" applyBorder="1" applyAlignment="1" applyProtection="1">
      <protection hidden="1"/>
    </xf>
    <xf numFmtId="0" fontId="63" fillId="30" borderId="3" xfId="7" applyFont="1" applyFill="1" applyBorder="1" applyAlignment="1" applyProtection="1">
      <alignment horizontal="center"/>
      <protection hidden="1"/>
    </xf>
    <xf numFmtId="0" fontId="63" fillId="3" borderId="39" xfId="7" applyFont="1" applyFill="1" applyBorder="1" applyAlignment="1" applyProtection="1">
      <alignment horizontal="center"/>
      <protection hidden="1"/>
    </xf>
    <xf numFmtId="0" fontId="10" fillId="33" borderId="0" xfId="0" applyFont="1" applyFill="1" applyBorder="1" applyProtection="1">
      <protection hidden="1"/>
    </xf>
    <xf numFmtId="0" fontId="10" fillId="0" borderId="50" xfId="0" applyFont="1" applyBorder="1" applyProtection="1">
      <protection hidden="1"/>
    </xf>
    <xf numFmtId="0" fontId="63" fillId="0" borderId="0" xfId="7" applyFont="1" applyProtection="1">
      <protection hidden="1"/>
    </xf>
    <xf numFmtId="164" fontId="25" fillId="0" borderId="3" xfId="0" applyNumberFormat="1" applyFont="1" applyFill="1" applyBorder="1" applyAlignment="1">
      <alignment horizontal="right" vertical="center" indent="1"/>
    </xf>
    <xf numFmtId="0" fontId="55" fillId="0" borderId="0" xfId="1" applyFont="1"/>
    <xf numFmtId="166" fontId="10" fillId="0" borderId="0" xfId="1" applyNumberFormat="1" applyAlignment="1">
      <alignment horizontal="right" indent="1"/>
    </xf>
    <xf numFmtId="0" fontId="33" fillId="0" borderId="0" xfId="0" applyFont="1" applyFill="1" applyAlignment="1">
      <alignment horizontal="right"/>
    </xf>
    <xf numFmtId="0" fontId="29" fillId="35" borderId="5" xfId="0" quotePrefix="1" applyFont="1" applyFill="1" applyBorder="1" applyAlignment="1">
      <alignment horizontal="left" indent="2"/>
    </xf>
    <xf numFmtId="0" fontId="0" fillId="35" borderId="0" xfId="0" applyFill="1"/>
    <xf numFmtId="0" fontId="0" fillId="0" borderId="0" xfId="0" applyAlignment="1">
      <alignment horizontal="left" indent="1"/>
    </xf>
    <xf numFmtId="0" fontId="0" fillId="0" borderId="0" xfId="0" applyFill="1" applyAlignment="1">
      <alignment horizontal="left" vertical="center"/>
    </xf>
    <xf numFmtId="0" fontId="29" fillId="35" borderId="0" xfId="0" applyFont="1" applyFill="1" applyAlignment="1">
      <alignment horizontal="center"/>
    </xf>
    <xf numFmtId="0" fontId="0" fillId="33" borderId="0" xfId="0" applyFill="1"/>
    <xf numFmtId="0" fontId="33" fillId="33" borderId="0" xfId="0" applyFont="1" applyFill="1"/>
    <xf numFmtId="0" fontId="0" fillId="33" borderId="0" xfId="0" applyFill="1" applyProtection="1"/>
    <xf numFmtId="0" fontId="41" fillId="33" borderId="0" xfId="0" applyFont="1" applyFill="1" applyProtection="1">
      <protection locked="0"/>
    </xf>
    <xf numFmtId="0" fontId="27" fillId="0" borderId="0" xfId="0" applyFont="1" applyFill="1" applyAlignment="1">
      <alignment vertical="center"/>
    </xf>
    <xf numFmtId="0" fontId="54" fillId="0" borderId="0" xfId="0" applyFont="1" applyAlignment="1">
      <alignment vertical="top"/>
    </xf>
    <xf numFmtId="0" fontId="129" fillId="0" borderId="0" xfId="1" applyFont="1" applyAlignment="1">
      <alignment horizontal="right"/>
    </xf>
    <xf numFmtId="0" fontId="0" fillId="0" borderId="0" xfId="1" applyFont="1" applyAlignment="1">
      <alignment horizontal="right"/>
    </xf>
    <xf numFmtId="0" fontId="130" fillId="35" borderId="0" xfId="0" applyFont="1" applyFill="1"/>
    <xf numFmtId="0" fontId="0" fillId="36" borderId="0" xfId="0" applyFill="1"/>
    <xf numFmtId="0" fontId="130" fillId="0" borderId="0" xfId="0" applyFont="1" applyFill="1"/>
    <xf numFmtId="0" fontId="25" fillId="0" borderId="0" xfId="9" applyFont="1"/>
    <xf numFmtId="0" fontId="24" fillId="0" borderId="0" xfId="10" applyFont="1"/>
    <xf numFmtId="0" fontId="24" fillId="13" borderId="0" xfId="10" applyFont="1" applyFill="1"/>
    <xf numFmtId="0" fontId="132" fillId="13" borderId="0" xfId="10" applyFont="1" applyFill="1"/>
    <xf numFmtId="0" fontId="24" fillId="0" borderId="0" xfId="10" applyFont="1" applyAlignment="1">
      <alignment horizontal="left" indent="1"/>
    </xf>
    <xf numFmtId="3" fontId="24" fillId="0" borderId="28" xfId="10" applyNumberFormat="1" applyFont="1" applyBorder="1" applyAlignment="1">
      <alignment horizontal="centerContinuous"/>
    </xf>
    <xf numFmtId="3" fontId="24" fillId="0" borderId="29" xfId="10" applyNumberFormat="1" applyFont="1" applyBorder="1" applyAlignment="1">
      <alignment horizontal="center"/>
    </xf>
    <xf numFmtId="3" fontId="24" fillId="0" borderId="11" xfId="10" applyNumberFormat="1" applyFont="1" applyBorder="1" applyAlignment="1">
      <alignment horizontal="center"/>
    </xf>
    <xf numFmtId="0" fontId="133" fillId="13" borderId="0" xfId="10" applyFont="1" applyFill="1" applyAlignment="1">
      <alignment vertical="center"/>
    </xf>
    <xf numFmtId="3" fontId="133" fillId="13" borderId="0" xfId="10" applyNumberFormat="1" applyFont="1" applyFill="1" applyAlignment="1">
      <alignment horizontal="center" vertical="center"/>
    </xf>
    <xf numFmtId="0" fontId="24" fillId="0" borderId="30" xfId="10" applyFont="1" applyBorder="1"/>
    <xf numFmtId="0" fontId="24" fillId="0" borderId="31" xfId="10" applyFont="1" applyBorder="1"/>
    <xf numFmtId="0" fontId="24" fillId="0" borderId="62" xfId="10" applyFont="1" applyBorder="1"/>
    <xf numFmtId="0" fontId="24" fillId="0" borderId="36" xfId="10" applyFont="1" applyBorder="1"/>
    <xf numFmtId="0" fontId="24" fillId="0" borderId="63" xfId="10" applyFont="1" applyBorder="1"/>
    <xf numFmtId="0" fontId="24" fillId="13" borderId="0" xfId="10" applyFont="1" applyFill="1" applyAlignment="1">
      <alignment horizontal="center" textRotation="90" wrapText="1"/>
    </xf>
    <xf numFmtId="0" fontId="47" fillId="0" borderId="0" xfId="10" applyFont="1" applyAlignment="1">
      <alignment horizontal="right" wrapText="1"/>
    </xf>
    <xf numFmtId="0" fontId="24" fillId="0" borderId="0" xfId="10" applyFont="1" applyAlignment="1">
      <alignment horizontal="left" wrapText="1" indent="1"/>
    </xf>
    <xf numFmtId="0" fontId="24" fillId="0" borderId="51" xfId="10" applyFont="1" applyBorder="1" applyAlignment="1">
      <alignment horizontal="center" textRotation="90" wrapText="1"/>
    </xf>
    <xf numFmtId="0" fontId="24" fillId="0" borderId="6" xfId="10" applyFont="1" applyBorder="1" applyAlignment="1">
      <alignment horizontal="left" textRotation="90" wrapText="1"/>
    </xf>
    <xf numFmtId="0" fontId="24" fillId="0" borderId="5" xfId="10" applyFont="1" applyBorder="1" applyAlignment="1">
      <alignment horizontal="right" textRotation="90" wrapText="1"/>
    </xf>
    <xf numFmtId="0" fontId="24" fillId="0" borderId="51" xfId="10" applyFont="1" applyBorder="1" applyAlignment="1">
      <alignment horizontal="right" textRotation="90" wrapText="1"/>
    </xf>
    <xf numFmtId="0" fontId="134" fillId="0" borderId="0" xfId="10" applyFont="1" applyAlignment="1">
      <alignment horizontal="right"/>
    </xf>
    <xf numFmtId="0" fontId="135" fillId="0" borderId="0" xfId="10" applyFont="1"/>
    <xf numFmtId="0" fontId="24" fillId="0" borderId="0" xfId="10" applyFont="1" applyAlignment="1">
      <alignment vertical="top"/>
    </xf>
    <xf numFmtId="0" fontId="131" fillId="0" borderId="0" xfId="10" applyFont="1" applyAlignment="1">
      <alignment horizontal="centerContinuous" vertical="center"/>
    </xf>
    <xf numFmtId="0" fontId="134" fillId="0" borderId="0" xfId="10" applyFont="1" applyAlignment="1">
      <alignment horizontal="centerContinuous" vertical="top"/>
    </xf>
    <xf numFmtId="0" fontId="135" fillId="0" borderId="0" xfId="10" applyFont="1" applyAlignment="1">
      <alignment vertical="top"/>
    </xf>
    <xf numFmtId="14" fontId="25" fillId="0" borderId="50" xfId="10" applyNumberFormat="1" applyFont="1" applyBorder="1" applyAlignment="1">
      <alignment horizontal="centerContinuous"/>
    </xf>
    <xf numFmtId="14" fontId="132" fillId="0" borderId="50" xfId="10" applyNumberFormat="1" applyFont="1" applyBorder="1" applyAlignment="1" applyProtection="1">
      <alignment horizontal="centerContinuous"/>
      <protection locked="0"/>
    </xf>
    <xf numFmtId="0" fontId="79" fillId="0" borderId="0" xfId="10" applyFont="1"/>
    <xf numFmtId="0" fontId="119" fillId="0" borderId="0" xfId="10" applyFont="1" applyAlignment="1">
      <alignment horizontal="right"/>
    </xf>
    <xf numFmtId="0" fontId="79" fillId="13" borderId="0" xfId="10" applyFont="1" applyFill="1"/>
    <xf numFmtId="0" fontId="137" fillId="37" borderId="0" xfId="11" applyFont="1" applyFill="1" applyAlignment="1" applyProtection="1">
      <alignment horizontal="center" vertical="center"/>
      <protection locked="0"/>
    </xf>
    <xf numFmtId="0" fontId="138" fillId="0" borderId="0" xfId="10" applyFont="1"/>
    <xf numFmtId="0" fontId="139" fillId="0" borderId="0" xfId="10" applyFont="1" applyAlignment="1">
      <alignment horizontal="right"/>
    </xf>
    <xf numFmtId="0" fontId="140" fillId="0" borderId="0" xfId="10" applyFont="1" applyFill="1"/>
    <xf numFmtId="3" fontId="25" fillId="0" borderId="61" xfId="10" applyNumberFormat="1" applyFont="1" applyBorder="1" applyAlignment="1" applyProtection="1">
      <alignment horizontal="center" vertical="center"/>
      <protection locked="0"/>
    </xf>
    <xf numFmtId="0" fontId="25" fillId="0" borderId="58" xfId="10" applyFont="1" applyBorder="1" applyAlignment="1" applyProtection="1">
      <alignment horizontal="center" vertical="center"/>
      <protection locked="0"/>
    </xf>
    <xf numFmtId="0" fontId="25" fillId="0" borderId="53" xfId="10" applyFont="1" applyBorder="1" applyAlignment="1" applyProtection="1">
      <alignment horizontal="left" vertical="center" indent="1"/>
      <protection locked="0"/>
    </xf>
    <xf numFmtId="0" fontId="25" fillId="0" borderId="40" xfId="10" applyFont="1" applyBorder="1" applyAlignment="1">
      <alignment vertical="center"/>
    </xf>
    <xf numFmtId="3" fontId="25" fillId="0" borderId="34" xfId="10" applyNumberFormat="1" applyFont="1" applyBorder="1" applyAlignment="1" applyProtection="1">
      <alignment horizontal="center" vertical="center"/>
      <protection locked="0"/>
    </xf>
    <xf numFmtId="3" fontId="25" fillId="0" borderId="3" xfId="10" applyNumberFormat="1" applyFont="1" applyBorder="1" applyAlignment="1" applyProtection="1">
      <alignment horizontal="center" vertical="center"/>
      <protection locked="0"/>
    </xf>
    <xf numFmtId="3" fontId="25" fillId="0" borderId="39" xfId="10" applyNumberFormat="1" applyFont="1" applyBorder="1" applyAlignment="1" applyProtection="1">
      <alignment horizontal="center" vertical="center"/>
      <protection locked="0"/>
    </xf>
    <xf numFmtId="0" fontId="25" fillId="0" borderId="57" xfId="10" applyFont="1" applyBorder="1" applyAlignment="1" applyProtection="1">
      <alignment horizontal="center" vertical="center"/>
      <protection locked="0"/>
    </xf>
    <xf numFmtId="3" fontId="25" fillId="0" borderId="55" xfId="10" applyNumberFormat="1" applyFont="1" applyBorder="1" applyAlignment="1" applyProtection="1">
      <alignment horizontal="center" vertical="center"/>
      <protection locked="0"/>
    </xf>
    <xf numFmtId="3" fontId="25" fillId="0" borderId="56" xfId="10" applyNumberFormat="1" applyFont="1" applyBorder="1" applyAlignment="1" applyProtection="1">
      <alignment horizontal="center" vertical="center"/>
      <protection locked="0"/>
    </xf>
    <xf numFmtId="0" fontId="25" fillId="0" borderId="54" xfId="10" applyFont="1" applyBorder="1" applyAlignment="1" applyProtection="1">
      <alignment horizontal="center" vertical="center"/>
      <protection locked="0"/>
    </xf>
    <xf numFmtId="3" fontId="25" fillId="0" borderId="52" xfId="10" applyNumberFormat="1" applyFont="1" applyBorder="1" applyAlignment="1">
      <alignment horizontal="centerContinuous"/>
    </xf>
    <xf numFmtId="3" fontId="141" fillId="0" borderId="42" xfId="10" applyNumberFormat="1" applyFont="1" applyBorder="1" applyAlignment="1">
      <alignment horizontal="center"/>
    </xf>
    <xf numFmtId="49" fontId="134" fillId="0" borderId="11" xfId="10" applyNumberFormat="1" applyFont="1" applyBorder="1"/>
    <xf numFmtId="0" fontId="79" fillId="0" borderId="0" xfId="10" applyFont="1" applyAlignment="1">
      <alignment horizontal="center" vertical="top"/>
    </xf>
    <xf numFmtId="49" fontId="142" fillId="3" borderId="50" xfId="11" applyNumberFormat="1" applyFont="1" applyFill="1" applyBorder="1" applyProtection="1">
      <protection locked="0"/>
    </xf>
    <xf numFmtId="14" fontId="63" fillId="0" borderId="0" xfId="10" applyNumberFormat="1" applyFont="1" applyAlignment="1">
      <alignment horizontal="left"/>
    </xf>
    <xf numFmtId="0" fontId="65" fillId="0" borderId="0" xfId="10" applyFont="1"/>
    <xf numFmtId="0" fontId="143" fillId="0" borderId="0" xfId="10" applyFont="1"/>
    <xf numFmtId="0" fontId="144" fillId="0" borderId="0" xfId="10" applyFont="1" applyAlignment="1">
      <alignment horizontal="right"/>
    </xf>
    <xf numFmtId="0" fontId="145" fillId="0" borderId="50" xfId="10" applyFont="1" applyBorder="1" applyAlignment="1">
      <alignment vertical="center"/>
    </xf>
    <xf numFmtId="14" fontId="142" fillId="0" borderId="0" xfId="10" applyNumberFormat="1" applyFont="1" applyAlignment="1">
      <alignment horizontal="left"/>
    </xf>
    <xf numFmtId="0" fontId="145" fillId="0" borderId="0" xfId="10" applyFont="1"/>
    <xf numFmtId="0" fontId="121" fillId="0" borderId="0" xfId="10" applyFont="1" applyAlignment="1">
      <alignment horizontal="left" vertical="center" indent="1"/>
    </xf>
    <xf numFmtId="0" fontId="146" fillId="0" borderId="0" xfId="10" applyFont="1" applyAlignment="1">
      <alignment vertical="center"/>
    </xf>
    <xf numFmtId="0" fontId="121" fillId="0" borderId="0" xfId="10" applyFont="1" applyAlignment="1">
      <alignment horizontal="left" vertical="center" indent="3"/>
    </xf>
    <xf numFmtId="0" fontId="25" fillId="0" borderId="3" xfId="0" applyNumberFormat="1" applyFont="1" applyFill="1" applyBorder="1" applyAlignment="1">
      <alignment horizontal="right" vertical="center" indent="1"/>
    </xf>
    <xf numFmtId="0" fontId="114" fillId="35" borderId="41" xfId="0" applyFont="1" applyFill="1" applyBorder="1" applyAlignment="1">
      <alignment horizontal="left"/>
    </xf>
    <xf numFmtId="0" fontId="25" fillId="0" borderId="60" xfId="11" applyFont="1" applyBorder="1" applyAlignment="1" applyProtection="1">
      <alignment horizontal="center" vertical="center"/>
      <protection locked="0"/>
    </xf>
    <xf numFmtId="0" fontId="25" fillId="0" borderId="58" xfId="11" applyFont="1" applyBorder="1" applyAlignment="1" applyProtection="1">
      <alignment horizontal="center" vertical="center"/>
      <protection locked="0"/>
    </xf>
    <xf numFmtId="0" fontId="25" fillId="0" borderId="34" xfId="11" applyFont="1" applyBorder="1" applyAlignment="1" applyProtection="1">
      <alignment horizontal="center" vertical="center"/>
      <protection locked="0"/>
    </xf>
    <xf numFmtId="0" fontId="25" fillId="0" borderId="57" xfId="11" applyFont="1" applyBorder="1" applyAlignment="1" applyProtection="1">
      <alignment horizontal="center" vertical="center"/>
      <protection locked="0"/>
    </xf>
    <xf numFmtId="0" fontId="25" fillId="0" borderId="37" xfId="11" applyFont="1" applyBorder="1" applyAlignment="1" applyProtection="1">
      <alignment horizontal="center" vertical="center"/>
      <protection locked="0"/>
    </xf>
    <xf numFmtId="0" fontId="25" fillId="0" borderId="54" xfId="11" applyFont="1" applyBorder="1" applyAlignment="1" applyProtection="1">
      <alignment horizontal="center" vertical="center"/>
      <protection locked="0"/>
    </xf>
    <xf numFmtId="3" fontId="63" fillId="0" borderId="59" xfId="10" applyNumberFormat="1" applyFont="1" applyBorder="1" applyAlignment="1" applyProtection="1">
      <alignment horizontal="center" vertical="center"/>
      <protection locked="0"/>
    </xf>
    <xf numFmtId="3" fontId="63" fillId="0" borderId="7" xfId="10" applyNumberFormat="1" applyFont="1" applyBorder="1" applyAlignment="1" applyProtection="1">
      <alignment horizontal="center" vertical="center"/>
      <protection locked="0"/>
    </xf>
    <xf numFmtId="3" fontId="63" fillId="0" borderId="3" xfId="10" applyNumberFormat="1" applyFont="1" applyBorder="1" applyAlignment="1" applyProtection="1">
      <alignment horizontal="center" vertical="center"/>
      <protection locked="0"/>
    </xf>
    <xf numFmtId="3" fontId="63" fillId="0" borderId="39" xfId="10" applyNumberFormat="1" applyFont="1" applyBorder="1" applyAlignment="1" applyProtection="1">
      <alignment horizontal="center" vertical="center"/>
      <protection locked="0"/>
    </xf>
    <xf numFmtId="0" fontId="7" fillId="0" borderId="0" xfId="0" applyFont="1" applyAlignment="1">
      <alignment horizontal="right"/>
    </xf>
    <xf numFmtId="0" fontId="7" fillId="0" borderId="0" xfId="0" applyFont="1"/>
    <xf numFmtId="0" fontId="7" fillId="0" borderId="0" xfId="0" applyFont="1" applyAlignment="1">
      <alignment horizontal="right" vertical="top"/>
    </xf>
    <xf numFmtId="0" fontId="82" fillId="3" borderId="0" xfId="7" applyFont="1" applyFill="1" applyBorder="1" applyAlignment="1" applyProtection="1">
      <protection locked="0"/>
    </xf>
    <xf numFmtId="0" fontId="0" fillId="3" borderId="0" xfId="0" applyFill="1"/>
    <xf numFmtId="0" fontId="10" fillId="0" borderId="0" xfId="1" applyAlignment="1">
      <alignment horizontal="left" indent="1"/>
    </xf>
    <xf numFmtId="0" fontId="51" fillId="0" borderId="0" xfId="0" applyFont="1" applyAlignment="1"/>
    <xf numFmtId="164" fontId="7" fillId="0" borderId="0" xfId="0" applyNumberFormat="1" applyFont="1" applyBorder="1" applyAlignment="1">
      <alignment horizontal="center"/>
    </xf>
    <xf numFmtId="0" fontId="0" fillId="38" borderId="0" xfId="0" applyFill="1"/>
    <xf numFmtId="0" fontId="0" fillId="39" borderId="0" xfId="0" applyFill="1"/>
    <xf numFmtId="0" fontId="148" fillId="0" borderId="0" xfId="7" applyFont="1"/>
    <xf numFmtId="0" fontId="138" fillId="0" borderId="0" xfId="7" applyFont="1"/>
    <xf numFmtId="0" fontId="149" fillId="33" borderId="0" xfId="0" applyFont="1" applyFill="1"/>
    <xf numFmtId="0" fontId="39" fillId="0" borderId="0" xfId="0" applyFont="1" applyAlignment="1">
      <alignment horizontal="right" vertical="top"/>
    </xf>
    <xf numFmtId="0" fontId="0" fillId="0" borderId="0" xfId="0" applyAlignment="1">
      <alignment horizontal="right" vertical="top"/>
    </xf>
    <xf numFmtId="0" fontId="0" fillId="0" borderId="0" xfId="0" applyAlignment="1">
      <alignment vertical="top"/>
    </xf>
    <xf numFmtId="0" fontId="33" fillId="0" borderId="0" xfId="0" applyFont="1" applyAlignment="1">
      <alignment horizontal="left"/>
    </xf>
    <xf numFmtId="0" fontId="33" fillId="0" borderId="0" xfId="0" applyFont="1" applyAlignment="1">
      <alignment horizontal="left" vertical="top"/>
    </xf>
    <xf numFmtId="0" fontId="0" fillId="0" borderId="0" xfId="0" applyFill="1" applyAlignment="1">
      <alignment horizontal="right" vertical="center" indent="1"/>
    </xf>
    <xf numFmtId="0" fontId="0" fillId="0" borderId="0" xfId="1" applyFont="1" applyAlignment="1"/>
    <xf numFmtId="0" fontId="150" fillId="40" borderId="0" xfId="0" applyFont="1" applyFill="1" applyAlignment="1">
      <alignment horizontal="right"/>
    </xf>
    <xf numFmtId="0" fontId="151" fillId="0" borderId="0" xfId="0" applyFont="1"/>
    <xf numFmtId="0" fontId="152" fillId="5" borderId="0" xfId="0" applyFont="1" applyFill="1"/>
    <xf numFmtId="0" fontId="18" fillId="11" borderId="0" xfId="0" applyFont="1" applyFill="1" applyAlignment="1">
      <alignment horizontal="right" indent="1"/>
    </xf>
    <xf numFmtId="0" fontId="0" fillId="0" borderId="0" xfId="0" applyFont="1"/>
    <xf numFmtId="0" fontId="0" fillId="0" borderId="0" xfId="0" applyAlignment="1">
      <alignment horizontal="center" vertical="top"/>
    </xf>
    <xf numFmtId="0" fontId="153" fillId="0" borderId="0" xfId="0" applyFont="1" applyAlignment="1">
      <alignment vertical="center"/>
    </xf>
    <xf numFmtId="0" fontId="63" fillId="0" borderId="0" xfId="7" applyFont="1" applyBorder="1" applyAlignment="1">
      <alignment horizontal="left" indent="4"/>
    </xf>
    <xf numFmtId="0" fontId="78" fillId="32" borderId="0" xfId="7" applyFont="1" applyFill="1" applyBorder="1" applyAlignment="1">
      <alignment horizontal="right"/>
    </xf>
    <xf numFmtId="0" fontId="154" fillId="41" borderId="0" xfId="7" applyFont="1" applyFill="1"/>
    <xf numFmtId="0" fontId="119" fillId="41" borderId="0" xfId="7" applyFont="1" applyFill="1"/>
    <xf numFmtId="0" fontId="63" fillId="41" borderId="0" xfId="7" applyFont="1" applyFill="1"/>
    <xf numFmtId="0" fontId="66" fillId="41" borderId="0" xfId="7" applyFont="1" applyFill="1" applyAlignment="1"/>
    <xf numFmtId="0" fontId="6" fillId="41" borderId="0" xfId="0" applyFont="1" applyFill="1" applyBorder="1"/>
    <xf numFmtId="0" fontId="6" fillId="41" borderId="0" xfId="0" applyFont="1" applyFill="1"/>
    <xf numFmtId="0" fontId="74" fillId="41" borderId="0" xfId="7" applyFont="1" applyFill="1" applyAlignment="1">
      <alignment horizontal="right" vertical="center"/>
    </xf>
    <xf numFmtId="0" fontId="74" fillId="0" borderId="0" xfId="7" applyFont="1" applyFill="1" applyAlignment="1">
      <alignment vertical="center"/>
    </xf>
    <xf numFmtId="0" fontId="155" fillId="0" borderId="0" xfId="7" applyFont="1" applyAlignment="1">
      <alignment textRotation="90"/>
    </xf>
    <xf numFmtId="0" fontId="119" fillId="0" borderId="0" xfId="7" applyFont="1" applyFill="1"/>
    <xf numFmtId="0" fontId="63" fillId="0" borderId="0" xfId="7" applyFont="1" applyFill="1"/>
    <xf numFmtId="0" fontId="6" fillId="0" borderId="0" xfId="0" applyFont="1" applyFill="1" applyBorder="1"/>
    <xf numFmtId="0" fontId="6" fillId="0" borderId="0" xfId="0" applyFont="1" applyFill="1"/>
    <xf numFmtId="0" fontId="156" fillId="0" borderId="0" xfId="7" applyFont="1" applyAlignment="1">
      <alignment textRotation="90"/>
    </xf>
    <xf numFmtId="0" fontId="6" fillId="0" borderId="0" xfId="0" applyFont="1"/>
    <xf numFmtId="0" fontId="6" fillId="0" borderId="0" xfId="1" applyFont="1"/>
    <xf numFmtId="164" fontId="25" fillId="0" borderId="0" xfId="0" applyNumberFormat="1" applyFont="1" applyBorder="1" applyAlignment="1">
      <alignment horizontal="right" vertical="center" indent="1"/>
    </xf>
    <xf numFmtId="0" fontId="130" fillId="41" borderId="0" xfId="0" applyFont="1" applyFill="1"/>
    <xf numFmtId="0" fontId="0" fillId="41" borderId="0" xfId="0" applyFill="1"/>
    <xf numFmtId="0" fontId="0" fillId="42" borderId="0" xfId="0" applyFill="1"/>
    <xf numFmtId="0" fontId="9" fillId="41" borderId="0" xfId="0" applyFont="1" applyFill="1"/>
    <xf numFmtId="0" fontId="26" fillId="41" borderId="0" xfId="0" applyFont="1" applyFill="1"/>
    <xf numFmtId="0" fontId="29" fillId="41" borderId="0" xfId="0" quotePrefix="1" applyFont="1" applyFill="1" applyAlignment="1">
      <alignment horizontal="left" indent="2"/>
    </xf>
    <xf numFmtId="0" fontId="29" fillId="41" borderId="0" xfId="0" quotePrefix="1" applyFont="1" applyFill="1"/>
    <xf numFmtId="0" fontId="36" fillId="0" borderId="0" xfId="0" applyFont="1" applyAlignment="1">
      <alignment horizontal="right" vertical="center" indent="1"/>
    </xf>
    <xf numFmtId="0" fontId="84" fillId="0" borderId="0" xfId="2" applyFont="1" applyAlignment="1">
      <alignment horizontal="right"/>
    </xf>
    <xf numFmtId="0" fontId="84" fillId="0" borderId="0" xfId="2" applyFont="1"/>
    <xf numFmtId="0" fontId="63" fillId="0" borderId="0" xfId="2" applyFont="1" applyAlignment="1">
      <alignment horizontal="right" vertical="top"/>
    </xf>
    <xf numFmtId="0" fontId="63" fillId="0" borderId="41" xfId="0" applyFont="1" applyBorder="1" applyAlignment="1">
      <alignment horizontal="left" vertical="top"/>
    </xf>
    <xf numFmtId="0" fontId="85" fillId="0" borderId="0" xfId="2" applyFont="1"/>
    <xf numFmtId="20" fontId="86" fillId="0" borderId="0" xfId="2" applyNumberFormat="1" applyFont="1"/>
    <xf numFmtId="0" fontId="85" fillId="0" borderId="30" xfId="2" applyFont="1" applyBorder="1" applyAlignment="1">
      <alignment horizontal="center"/>
    </xf>
    <xf numFmtId="0" fontId="85" fillId="0" borderId="31" xfId="2" applyFont="1" applyBorder="1" applyAlignment="1">
      <alignment horizontal="center"/>
    </xf>
    <xf numFmtId="0" fontId="85" fillId="0" borderId="0" xfId="2" applyFont="1" applyAlignment="1">
      <alignment horizontal="center"/>
    </xf>
    <xf numFmtId="0" fontId="63" fillId="0" borderId="50" xfId="0" applyFont="1" applyBorder="1" applyAlignment="1">
      <alignment horizontal="center"/>
    </xf>
    <xf numFmtId="0" fontId="160" fillId="44" borderId="0" xfId="0" applyFont="1" applyFill="1"/>
    <xf numFmtId="0" fontId="160" fillId="6" borderId="0" xfId="0" applyFont="1" applyFill="1"/>
    <xf numFmtId="0" fontId="107" fillId="3" borderId="53" xfId="4" applyFont="1" applyFill="1" applyBorder="1" applyAlignment="1" applyProtection="1">
      <alignment horizontal="center"/>
      <protection locked="0" hidden="1"/>
    </xf>
    <xf numFmtId="0" fontId="107" fillId="3" borderId="57" xfId="4" applyFont="1" applyFill="1" applyBorder="1" applyAlignment="1" applyProtection="1">
      <alignment horizontal="center"/>
      <protection locked="0" hidden="1"/>
    </xf>
    <xf numFmtId="0" fontId="106" fillId="16" borderId="37" xfId="2" applyFont="1" applyFill="1" applyBorder="1" applyAlignment="1" applyProtection="1">
      <alignment horizontal="right" indent="1"/>
      <protection locked="0"/>
    </xf>
    <xf numFmtId="0" fontId="106" fillId="16" borderId="38" xfId="2" applyFont="1" applyFill="1" applyBorder="1" applyAlignment="1" applyProtection="1">
      <alignment horizontal="right" indent="1"/>
      <protection locked="0"/>
    </xf>
    <xf numFmtId="0" fontId="107" fillId="3" borderId="71" xfId="4" applyFont="1" applyFill="1" applyBorder="1" applyAlignment="1" applyProtection="1">
      <alignment horizontal="center"/>
      <protection locked="0" hidden="1"/>
    </xf>
    <xf numFmtId="0" fontId="107" fillId="3" borderId="54" xfId="4" applyFont="1" applyFill="1" applyBorder="1" applyAlignment="1" applyProtection="1">
      <alignment horizontal="center"/>
      <protection locked="0" hidden="1"/>
    </xf>
    <xf numFmtId="0" fontId="157" fillId="0" borderId="0" xfId="0" applyFont="1"/>
    <xf numFmtId="0" fontId="93" fillId="0" borderId="0" xfId="0" applyFont="1"/>
    <xf numFmtId="0" fontId="93" fillId="0" borderId="0" xfId="0" applyFont="1" applyAlignment="1">
      <alignment horizontal="right"/>
    </xf>
    <xf numFmtId="0" fontId="161" fillId="0" borderId="0" xfId="0" applyFont="1" applyAlignment="1">
      <alignment horizontal="right" indent="1"/>
    </xf>
    <xf numFmtId="0" fontId="162" fillId="0" borderId="0" xfId="0" applyFont="1" applyAlignment="1">
      <alignment horizontal="right" vertical="top"/>
    </xf>
    <xf numFmtId="0" fontId="163" fillId="0" borderId="0" xfId="0" applyFont="1"/>
    <xf numFmtId="0" fontId="93" fillId="0" borderId="0" xfId="0" applyFont="1" applyAlignment="1">
      <alignment vertical="center"/>
    </xf>
    <xf numFmtId="0" fontId="63" fillId="0" borderId="0" xfId="0" applyFont="1" applyAlignment="1">
      <alignment horizontal="left"/>
    </xf>
    <xf numFmtId="164" fontId="78" fillId="3" borderId="1" xfId="7" applyNumberFormat="1" applyFont="1" applyFill="1" applyBorder="1" applyAlignment="1" applyProtection="1">
      <alignment horizontal="center" vertical="center"/>
      <protection locked="0"/>
    </xf>
    <xf numFmtId="164" fontId="25" fillId="0" borderId="3" xfId="0" applyNumberFormat="1" applyFont="1" applyBorder="1" applyAlignment="1">
      <alignment horizontal="right" vertical="center" indent="1"/>
    </xf>
    <xf numFmtId="0" fontId="29" fillId="0" borderId="0" xfId="0" applyFont="1" applyAlignment="1">
      <alignment horizontal="left" vertical="center"/>
    </xf>
    <xf numFmtId="0" fontId="63" fillId="0" borderId="0" xfId="12" applyFont="1" applyAlignment="1">
      <alignment vertical="center"/>
    </xf>
    <xf numFmtId="0" fontId="63" fillId="0" borderId="0" xfId="12" applyFont="1" applyBorder="1" applyAlignment="1">
      <alignment vertical="center"/>
    </xf>
    <xf numFmtId="0" fontId="109" fillId="0" borderId="0" xfId="12" applyFont="1" applyAlignment="1">
      <alignment vertical="center"/>
    </xf>
    <xf numFmtId="0" fontId="77" fillId="0" borderId="0" xfId="12" applyFont="1" applyBorder="1" applyAlignment="1">
      <alignment horizontal="left" vertical="center"/>
    </xf>
    <xf numFmtId="0" fontId="62" fillId="0" borderId="0" xfId="12" applyFont="1" applyBorder="1" applyAlignment="1">
      <alignment vertical="center"/>
    </xf>
    <xf numFmtId="0" fontId="177" fillId="0" borderId="0" xfId="12" applyFont="1" applyBorder="1" applyAlignment="1">
      <alignment horizontal="center"/>
    </xf>
    <xf numFmtId="0" fontId="63" fillId="0" borderId="0" xfId="12" applyFont="1" applyBorder="1" applyAlignment="1">
      <alignment horizontal="left"/>
    </xf>
    <xf numFmtId="0" fontId="178" fillId="0" borderId="0" xfId="12" applyFont="1" applyAlignment="1">
      <alignment horizontal="center" vertical="center" textRotation="90"/>
    </xf>
    <xf numFmtId="0" fontId="109" fillId="0" borderId="0" xfId="12" applyFont="1"/>
    <xf numFmtId="0" fontId="63" fillId="0" borderId="0" xfId="13" applyFont="1" applyFill="1" applyBorder="1" applyAlignment="1">
      <alignment vertical="center"/>
    </xf>
    <xf numFmtId="0" fontId="143" fillId="0" borderId="0" xfId="13" applyFont="1" applyFill="1" applyBorder="1" applyAlignment="1">
      <alignment horizontal="right" vertical="center"/>
    </xf>
    <xf numFmtId="0" fontId="180" fillId="0" borderId="0" xfId="13" applyFont="1" applyAlignment="1">
      <alignment vertical="center" textRotation="90"/>
    </xf>
    <xf numFmtId="0" fontId="63" fillId="0" borderId="0" xfId="13" applyFont="1" applyAlignment="1">
      <alignment vertical="center"/>
    </xf>
    <xf numFmtId="0" fontId="138" fillId="0" borderId="74" xfId="12" applyFont="1" applyBorder="1" applyAlignment="1">
      <alignment horizontal="right" vertical="center" wrapText="1" indent="3"/>
    </xf>
    <xf numFmtId="0" fontId="138" fillId="0" borderId="41" xfId="12" applyFont="1" applyBorder="1" applyAlignment="1">
      <alignment horizontal="center" wrapText="1"/>
    </xf>
    <xf numFmtId="0" fontId="63" fillId="0" borderId="75" xfId="12" applyFont="1" applyBorder="1" applyAlignment="1">
      <alignment horizontal="left"/>
    </xf>
    <xf numFmtId="0" fontId="78" fillId="0" borderId="42" xfId="12" applyFont="1" applyBorder="1" applyAlignment="1">
      <alignment horizontal="center" textRotation="90" wrapText="1"/>
    </xf>
    <xf numFmtId="0" fontId="78" fillId="0" borderId="42" xfId="13" applyFont="1" applyBorder="1" applyAlignment="1">
      <alignment horizontal="center" textRotation="90" wrapText="1"/>
    </xf>
    <xf numFmtId="0" fontId="63" fillId="0" borderId="76" xfId="12" applyFont="1" applyBorder="1" applyAlignment="1">
      <alignment horizontal="center" vertical="center" wrapText="1"/>
    </xf>
    <xf numFmtId="0" fontId="78" fillId="0" borderId="42" xfId="12" applyFont="1" applyBorder="1" applyAlignment="1">
      <alignment horizontal="center" vertical="center" wrapText="1"/>
    </xf>
    <xf numFmtId="0" fontId="76" fillId="0" borderId="77" xfId="12" applyFont="1" applyBorder="1" applyAlignment="1">
      <alignment vertical="center"/>
    </xf>
    <xf numFmtId="0" fontId="76" fillId="0" borderId="78" xfId="12" applyFont="1" applyBorder="1" applyAlignment="1">
      <alignment vertical="center"/>
    </xf>
    <xf numFmtId="0" fontId="76" fillId="0" borderId="79" xfId="12" applyFont="1" applyBorder="1" applyAlignment="1">
      <alignment vertical="center"/>
    </xf>
    <xf numFmtId="0" fontId="76" fillId="0" borderId="80" xfId="12" applyFont="1" applyBorder="1" applyAlignment="1">
      <alignment vertical="center"/>
    </xf>
    <xf numFmtId="0" fontId="76" fillId="0" borderId="81" xfId="12" applyFont="1" applyBorder="1" applyAlignment="1">
      <alignment vertical="center"/>
    </xf>
    <xf numFmtId="0" fontId="80" fillId="0" borderId="0" xfId="12" applyFont="1" applyAlignment="1">
      <alignment horizontal="center" vertical="center" textRotation="90"/>
    </xf>
    <xf numFmtId="0" fontId="76" fillId="0" borderId="0" xfId="12" applyFont="1" applyAlignment="1">
      <alignment vertical="center"/>
    </xf>
    <xf numFmtId="0" fontId="78" fillId="0" borderId="85" xfId="12" applyFont="1" applyBorder="1" applyAlignment="1" applyProtection="1">
      <alignment horizontal="center" vertical="center"/>
      <protection locked="0"/>
    </xf>
    <xf numFmtId="0" fontId="63" fillId="0" borderId="85" xfId="12" applyFont="1" applyBorder="1" applyAlignment="1" applyProtection="1">
      <alignment horizontal="center" vertical="center"/>
      <protection locked="0"/>
    </xf>
    <xf numFmtId="0" fontId="63" fillId="0" borderId="86" xfId="12" applyFont="1" applyBorder="1" applyAlignment="1" applyProtection="1">
      <alignment horizontal="center" vertical="center"/>
      <protection locked="0"/>
    </xf>
    <xf numFmtId="0" fontId="79" fillId="0" borderId="84" xfId="12" applyFont="1" applyBorder="1" applyAlignment="1" applyProtection="1">
      <alignment horizontal="left" vertical="center" indent="1"/>
      <protection locked="0"/>
    </xf>
    <xf numFmtId="0" fontId="176" fillId="0" borderId="0" xfId="12" applyFont="1" applyAlignment="1">
      <alignment horizontal="center" vertical="center" textRotation="90"/>
    </xf>
    <xf numFmtId="0" fontId="78" fillId="0" borderId="90" xfId="12" applyFont="1" applyBorder="1" applyAlignment="1" applyProtection="1">
      <alignment horizontal="center" vertical="center"/>
      <protection locked="0"/>
    </xf>
    <xf numFmtId="0" fontId="63" fillId="0" borderId="90" xfId="12" applyFont="1" applyBorder="1" applyAlignment="1" applyProtection="1">
      <alignment horizontal="center" vertical="center"/>
      <protection locked="0"/>
    </xf>
    <xf numFmtId="0" fontId="63" fillId="0" borderId="91" xfId="12" applyFont="1" applyBorder="1" applyAlignment="1" applyProtection="1">
      <alignment horizontal="center" vertical="center"/>
      <protection locked="0"/>
    </xf>
    <xf numFmtId="0" fontId="79" fillId="0" borderId="89" xfId="12" applyFont="1" applyBorder="1" applyAlignment="1" applyProtection="1">
      <alignment horizontal="left" vertical="center" indent="1"/>
      <protection locked="0"/>
    </xf>
    <xf numFmtId="0" fontId="63" fillId="0" borderId="0" xfId="12" applyFont="1" applyAlignment="1">
      <alignment horizontal="left" vertical="center" indent="1"/>
    </xf>
    <xf numFmtId="0" fontId="63" fillId="0" borderId="0" xfId="12" applyFont="1" applyAlignment="1">
      <alignment horizontal="center" vertical="center"/>
    </xf>
    <xf numFmtId="0" fontId="63" fillId="0" borderId="0" xfId="12" applyFont="1" applyAlignment="1">
      <alignment horizontal="left"/>
    </xf>
    <xf numFmtId="0" fontId="63" fillId="0" borderId="0" xfId="12" applyFont="1" applyAlignment="1">
      <alignment horizontal="centerContinuous" vertical="center"/>
    </xf>
    <xf numFmtId="0" fontId="179" fillId="46" borderId="0" xfId="13" applyFont="1" applyFill="1" applyAlignment="1">
      <alignment horizontal="left" vertical="center"/>
    </xf>
    <xf numFmtId="0" fontId="182" fillId="46" borderId="0" xfId="13" applyFont="1" applyFill="1" applyAlignment="1"/>
    <xf numFmtId="0" fontId="62" fillId="46" borderId="0" xfId="13" applyFont="1" applyFill="1" applyAlignment="1">
      <alignment horizontal="center" vertical="center"/>
    </xf>
    <xf numFmtId="0" fontId="62" fillId="0" borderId="0" xfId="13" applyFont="1" applyAlignment="1">
      <alignment horizontal="center" vertical="center"/>
    </xf>
    <xf numFmtId="0" fontId="183" fillId="47" borderId="0" xfId="13" applyFont="1" applyFill="1" applyAlignment="1">
      <alignment vertical="center"/>
    </xf>
    <xf numFmtId="0" fontId="63" fillId="0" borderId="0" xfId="13" applyFont="1" applyAlignment="1">
      <alignment vertical="center" textRotation="90"/>
    </xf>
    <xf numFmtId="0" fontId="184" fillId="0" borderId="0" xfId="13" applyFont="1" applyFill="1" applyAlignment="1">
      <alignment horizontal="left" vertical="center"/>
    </xf>
    <xf numFmtId="0" fontId="182" fillId="0" borderId="0" xfId="13" applyFont="1" applyFill="1" applyAlignment="1"/>
    <xf numFmtId="0" fontId="62" fillId="0" borderId="0" xfId="13" applyFont="1" applyFill="1" applyAlignment="1">
      <alignment horizontal="center" vertical="center"/>
    </xf>
    <xf numFmtId="0" fontId="96" fillId="0" borderId="0" xfId="13" applyFont="1"/>
    <xf numFmtId="0" fontId="84" fillId="0" borderId="0" xfId="13" applyFont="1"/>
    <xf numFmtId="0" fontId="73" fillId="0" borderId="0" xfId="13" applyFont="1"/>
    <xf numFmtId="0" fontId="63" fillId="0" borderId="0" xfId="13" applyFont="1"/>
    <xf numFmtId="0" fontId="138" fillId="0" borderId="0" xfId="13" applyFont="1"/>
    <xf numFmtId="0" fontId="74" fillId="0" borderId="0" xfId="13" applyFont="1" applyAlignment="1" applyProtection="1">
      <alignment horizontal="left"/>
      <protection locked="0"/>
    </xf>
    <xf numFmtId="0" fontId="74" fillId="0" borderId="0" xfId="13" applyFont="1" applyAlignment="1">
      <alignment horizontal="left"/>
    </xf>
    <xf numFmtId="0" fontId="63" fillId="0" borderId="0" xfId="13" applyFont="1" applyAlignment="1">
      <alignment horizontal="left" vertical="top"/>
    </xf>
    <xf numFmtId="0" fontId="100" fillId="0" borderId="0" xfId="13" applyFont="1" applyAlignment="1">
      <alignment horizontal="left" vertical="top"/>
    </xf>
    <xf numFmtId="0" fontId="100" fillId="0" borderId="0" xfId="13" applyFont="1" applyBorder="1" applyAlignment="1">
      <alignment horizontal="left" vertical="top"/>
    </xf>
    <xf numFmtId="0" fontId="63" fillId="0" borderId="0" xfId="13" applyFont="1" applyBorder="1" applyAlignment="1">
      <alignment horizontal="left" vertical="top"/>
    </xf>
    <xf numFmtId="0" fontId="186" fillId="0" borderId="0" xfId="13" applyFont="1" applyAlignment="1">
      <alignment vertical="top" textRotation="90"/>
    </xf>
    <xf numFmtId="0" fontId="63" fillId="0" borderId="0" xfId="13" applyFont="1" applyAlignment="1">
      <alignment vertical="top"/>
    </xf>
    <xf numFmtId="0" fontId="63" fillId="0" borderId="0" xfId="13" applyFont="1" applyAlignment="1" applyProtection="1">
      <alignment horizontal="left" vertical="center" wrapText="1" indent="1"/>
      <protection locked="0"/>
    </xf>
    <xf numFmtId="0" fontId="74" fillId="0" borderId="0" xfId="13" applyFont="1" applyAlignment="1">
      <alignment vertical="center"/>
    </xf>
    <xf numFmtId="0" fontId="186" fillId="0" borderId="0" xfId="13" applyFont="1" applyAlignment="1">
      <alignment vertical="center" textRotation="90"/>
    </xf>
    <xf numFmtId="0" fontId="63" fillId="0" borderId="0" xfId="13" applyFont="1" applyBorder="1" applyAlignment="1">
      <alignment vertical="center"/>
    </xf>
    <xf numFmtId="0" fontId="180" fillId="0" borderId="0" xfId="13" applyFont="1" applyBorder="1" applyAlignment="1">
      <alignment vertical="center" textRotation="90"/>
    </xf>
    <xf numFmtId="0" fontId="63" fillId="46" borderId="106" xfId="13" applyFont="1" applyFill="1" applyBorder="1" applyAlignment="1">
      <alignment vertical="center"/>
    </xf>
    <xf numFmtId="0" fontId="73" fillId="46" borderId="107" xfId="13" applyFont="1" applyFill="1" applyBorder="1" applyAlignment="1">
      <alignment horizontal="centerContinuous" vertical="center"/>
    </xf>
    <xf numFmtId="0" fontId="63" fillId="48" borderId="99" xfId="13" applyFont="1" applyFill="1" applyBorder="1" applyAlignment="1" applyProtection="1">
      <alignment horizontal="center" vertical="center"/>
      <protection locked="0"/>
    </xf>
    <xf numFmtId="0" fontId="63" fillId="48" borderId="100" xfId="13" applyFont="1" applyFill="1" applyBorder="1" applyAlignment="1" applyProtection="1">
      <alignment horizontal="center" vertical="center"/>
      <protection locked="0"/>
    </xf>
    <xf numFmtId="0" fontId="63" fillId="48" borderId="101" xfId="13" applyFont="1" applyFill="1" applyBorder="1" applyAlignment="1" applyProtection="1">
      <alignment horizontal="center" vertical="center"/>
      <protection locked="0"/>
    </xf>
    <xf numFmtId="0" fontId="63" fillId="48" borderId="102" xfId="13" applyFont="1" applyFill="1" applyBorder="1" applyAlignment="1" applyProtection="1">
      <alignment horizontal="center" vertical="center"/>
      <protection locked="0"/>
    </xf>
    <xf numFmtId="0" fontId="63" fillId="48" borderId="103" xfId="13" applyFont="1" applyFill="1" applyBorder="1" applyAlignment="1" applyProtection="1">
      <alignment horizontal="center" vertical="center"/>
      <protection locked="0"/>
    </xf>
    <xf numFmtId="0" fontId="63" fillId="48" borderId="104" xfId="13" applyFont="1" applyFill="1" applyBorder="1" applyAlignment="1" applyProtection="1">
      <alignment horizontal="center" vertical="center"/>
      <protection locked="0"/>
    </xf>
    <xf numFmtId="0" fontId="63" fillId="49" borderId="99" xfId="13" applyFont="1" applyFill="1" applyBorder="1" applyAlignment="1" applyProtection="1">
      <alignment horizontal="center" vertical="center"/>
      <protection locked="0"/>
    </xf>
    <xf numFmtId="0" fontId="63" fillId="49" borderId="100" xfId="13" applyFont="1" applyFill="1" applyBorder="1" applyAlignment="1" applyProtection="1">
      <alignment horizontal="center" vertical="center"/>
      <protection locked="0"/>
    </xf>
    <xf numFmtId="0" fontId="63" fillId="49" borderId="101" xfId="13" applyFont="1" applyFill="1" applyBorder="1" applyAlignment="1" applyProtection="1">
      <alignment horizontal="center" vertical="center"/>
      <protection locked="0"/>
    </xf>
    <xf numFmtId="0" fontId="63" fillId="49" borderId="102" xfId="13" applyFont="1" applyFill="1" applyBorder="1" applyAlignment="1" applyProtection="1">
      <alignment horizontal="center" vertical="center"/>
      <protection locked="0"/>
    </xf>
    <xf numFmtId="0" fontId="63" fillId="49" borderId="103" xfId="13" applyFont="1" applyFill="1" applyBorder="1" applyAlignment="1" applyProtection="1">
      <alignment horizontal="center" vertical="center"/>
      <protection locked="0"/>
    </xf>
    <xf numFmtId="0" fontId="63" fillId="49" borderId="104" xfId="13" applyFont="1" applyFill="1" applyBorder="1" applyAlignment="1" applyProtection="1">
      <alignment horizontal="center" vertical="center"/>
      <protection locked="0"/>
    </xf>
    <xf numFmtId="0" fontId="184" fillId="0" borderId="92" xfId="13" applyFont="1" applyBorder="1" applyAlignment="1" applyProtection="1">
      <alignment horizontal="center" vertical="center"/>
      <protection locked="0"/>
    </xf>
    <xf numFmtId="0" fontId="187" fillId="0" borderId="0" xfId="3" applyFont="1" applyAlignment="1" applyProtection="1"/>
    <xf numFmtId="0" fontId="168" fillId="0" borderId="0" xfId="12" applyFont="1" applyAlignment="1">
      <alignment horizontal="right" vertical="center"/>
    </xf>
    <xf numFmtId="0" fontId="63" fillId="0" borderId="0" xfId="12" applyFont="1" applyAlignment="1" applyProtection="1">
      <alignment vertical="center"/>
    </xf>
    <xf numFmtId="0" fontId="63" fillId="0" borderId="0" xfId="12" applyFont="1" applyAlignment="1" applyProtection="1">
      <alignment horizontal="left" vertical="center"/>
    </xf>
    <xf numFmtId="0" fontId="63" fillId="0" borderId="0" xfId="12" applyFont="1" applyAlignment="1" applyProtection="1">
      <alignment horizontal="center" vertical="center"/>
    </xf>
    <xf numFmtId="0" fontId="166" fillId="0" borderId="0" xfId="12" applyFont="1" applyAlignment="1" applyProtection="1">
      <alignment horizontal="left" vertical="top"/>
    </xf>
    <xf numFmtId="0" fontId="167" fillId="0" borderId="0" xfId="12" applyFont="1" applyBorder="1" applyAlignment="1" applyProtection="1">
      <alignment vertical="center"/>
    </xf>
    <xf numFmtId="0" fontId="168" fillId="0" borderId="0" xfId="12" applyFont="1" applyAlignment="1" applyProtection="1">
      <alignment horizontal="right"/>
    </xf>
    <xf numFmtId="0" fontId="109" fillId="0" borderId="0" xfId="12" applyFont="1" applyAlignment="1" applyProtection="1">
      <alignment vertical="center"/>
    </xf>
    <xf numFmtId="0" fontId="65" fillId="0" borderId="0" xfId="12" applyFont="1" applyAlignment="1" applyProtection="1">
      <alignment horizontal="right" vertical="top"/>
    </xf>
    <xf numFmtId="0" fontId="84" fillId="0" borderId="0" xfId="12" applyFont="1" applyAlignment="1" applyProtection="1">
      <alignment horizontal="centerContinuous" vertical="top"/>
    </xf>
    <xf numFmtId="0" fontId="65" fillId="0" borderId="0" xfId="12" applyFont="1" applyAlignment="1" applyProtection="1">
      <alignment horizontal="center" vertical="top"/>
    </xf>
    <xf numFmtId="0" fontId="63" fillId="0" borderId="0" xfId="12" applyFont="1" applyAlignment="1" applyProtection="1">
      <alignment horizontal="centerContinuous" vertical="top"/>
    </xf>
    <xf numFmtId="0" fontId="63" fillId="0" borderId="0" xfId="12" applyFont="1" applyAlignment="1" applyProtection="1">
      <alignment vertical="top"/>
    </xf>
    <xf numFmtId="0" fontId="78" fillId="0" borderId="113" xfId="12" applyFont="1" applyBorder="1" applyAlignment="1" applyProtection="1">
      <alignment horizontal="center" textRotation="90" wrapText="1"/>
    </xf>
    <xf numFmtId="0" fontId="78" fillId="0" borderId="114" xfId="12" applyFont="1" applyBorder="1" applyAlignment="1" applyProtection="1">
      <alignment horizontal="center" textRotation="90" wrapText="1"/>
    </xf>
    <xf numFmtId="0" fontId="63" fillId="0" borderId="12" xfId="12" applyFont="1" applyBorder="1" applyAlignment="1" applyProtection="1">
      <alignment horizontal="center"/>
    </xf>
    <xf numFmtId="0" fontId="78" fillId="0" borderId="112" xfId="12" applyFont="1" applyBorder="1" applyAlignment="1" applyProtection="1">
      <alignment horizontal="center" textRotation="90" wrapText="1"/>
    </xf>
    <xf numFmtId="0" fontId="78" fillId="0" borderId="113" xfId="12" applyFont="1" applyFill="1" applyBorder="1" applyAlignment="1" applyProtection="1">
      <alignment horizontal="center" textRotation="90" wrapText="1"/>
    </xf>
    <xf numFmtId="0" fontId="78" fillId="0" borderId="113" xfId="13" applyFont="1" applyBorder="1" applyAlignment="1" applyProtection="1">
      <alignment horizontal="center" textRotation="90" wrapText="1"/>
    </xf>
    <xf numFmtId="0" fontId="141" fillId="52" borderId="113" xfId="12" applyFont="1" applyFill="1" applyBorder="1" applyAlignment="1" applyProtection="1">
      <alignment horizontal="center" textRotation="90" wrapText="1"/>
    </xf>
    <xf numFmtId="0" fontId="63" fillId="0" borderId="114" xfId="12" applyFont="1" applyBorder="1" applyAlignment="1" applyProtection="1">
      <alignment horizontal="center" textRotation="90" wrapText="1"/>
    </xf>
    <xf numFmtId="0" fontId="63" fillId="0" borderId="1" xfId="12" applyFont="1" applyBorder="1" applyAlignment="1" applyProtection="1">
      <alignment horizontal="center" textRotation="90" wrapText="1"/>
    </xf>
    <xf numFmtId="0" fontId="174" fillId="0" borderId="12" xfId="12" applyFont="1" applyBorder="1" applyAlignment="1" applyProtection="1">
      <alignment horizontal="center" vertical="center" textRotation="90"/>
    </xf>
    <xf numFmtId="0" fontId="63" fillId="0" borderId="12" xfId="12" applyFont="1" applyBorder="1" applyAlignment="1" applyProtection="1">
      <alignment horizontal="center" vertical="center"/>
    </xf>
    <xf numFmtId="0" fontId="175" fillId="0" borderId="12" xfId="12" applyFont="1" applyBorder="1" applyAlignment="1" applyProtection="1">
      <alignment horizontal="center" vertical="center"/>
    </xf>
    <xf numFmtId="0" fontId="63" fillId="0" borderId="0" xfId="12" applyFont="1" applyBorder="1" applyAlignment="1" applyProtection="1">
      <alignment horizontal="center" vertical="center"/>
    </xf>
    <xf numFmtId="0" fontId="73" fillId="0" borderId="0" xfId="12" applyFont="1" applyAlignment="1" applyProtection="1">
      <alignment vertical="center"/>
    </xf>
    <xf numFmtId="0" fontId="79" fillId="0" borderId="0" xfId="12" applyFont="1" applyAlignment="1" applyProtection="1">
      <alignment vertical="center"/>
    </xf>
    <xf numFmtId="0" fontId="189" fillId="51" borderId="43" xfId="0" applyFont="1" applyFill="1" applyBorder="1" applyAlignment="1">
      <alignment vertical="center"/>
    </xf>
    <xf numFmtId="0" fontId="189" fillId="51" borderId="4" xfId="0" applyFont="1" applyFill="1" applyBorder="1" applyAlignment="1">
      <alignment vertical="center"/>
    </xf>
    <xf numFmtId="0" fontId="189" fillId="51" borderId="4" xfId="0" applyFont="1" applyFill="1" applyBorder="1" applyAlignment="1">
      <alignment horizontal="right" vertical="center"/>
    </xf>
    <xf numFmtId="0" fontId="189" fillId="51" borderId="44" xfId="0" applyFont="1" applyFill="1" applyBorder="1" applyAlignment="1">
      <alignment horizontal="right" vertical="center"/>
    </xf>
    <xf numFmtId="0" fontId="5" fillId="0" borderId="0" xfId="0" applyFont="1" applyAlignment="1">
      <alignment vertical="center"/>
    </xf>
    <xf numFmtId="0" fontId="5" fillId="0" borderId="0" xfId="0" applyFont="1"/>
    <xf numFmtId="0" fontId="5" fillId="0" borderId="73" xfId="0" applyFont="1" applyBorder="1"/>
    <xf numFmtId="0" fontId="5" fillId="0" borderId="12" xfId="0" applyFont="1" applyBorder="1"/>
    <xf numFmtId="0" fontId="165" fillId="0" borderId="0" xfId="0" applyFont="1"/>
    <xf numFmtId="0" fontId="5" fillId="0" borderId="93" xfId="0" applyFont="1" applyBorder="1"/>
    <xf numFmtId="0" fontId="5" fillId="0" borderId="48" xfId="0" applyFont="1" applyBorder="1"/>
    <xf numFmtId="0" fontId="5" fillId="0" borderId="94" xfId="0" applyFont="1" applyBorder="1"/>
    <xf numFmtId="0" fontId="5" fillId="0" borderId="0" xfId="1" applyFont="1"/>
    <xf numFmtId="0" fontId="65" fillId="0" borderId="0" xfId="12" applyFont="1" applyAlignment="1" applyProtection="1">
      <alignment horizontal="center"/>
    </xf>
    <xf numFmtId="0" fontId="5" fillId="29" borderId="0" xfId="1" applyFont="1" applyFill="1"/>
    <xf numFmtId="0" fontId="5" fillId="0" borderId="0" xfId="0" applyFont="1" applyBorder="1"/>
    <xf numFmtId="0" fontId="5" fillId="0" borderId="0" xfId="0" applyFont="1" applyFill="1" applyBorder="1" applyAlignment="1" applyProtection="1">
      <alignment horizontal="center"/>
      <protection locked="0"/>
    </xf>
    <xf numFmtId="0" fontId="5" fillId="0" borderId="47" xfId="0" applyFont="1" applyBorder="1"/>
    <xf numFmtId="0" fontId="187" fillId="0" borderId="48" xfId="3" applyFont="1" applyBorder="1" applyAlignment="1" applyProtection="1"/>
    <xf numFmtId="0" fontId="165" fillId="0" borderId="60" xfId="0" applyFont="1" applyBorder="1"/>
    <xf numFmtId="0" fontId="169" fillId="0" borderId="0" xfId="12" applyFont="1" applyFill="1" applyBorder="1" applyAlignment="1" applyProtection="1">
      <alignment horizontal="center" vertical="center" wrapText="1"/>
    </xf>
    <xf numFmtId="0" fontId="109" fillId="0" borderId="0" xfId="12" applyFont="1" applyBorder="1" applyAlignment="1" applyProtection="1">
      <alignment horizontal="left" vertical="center"/>
    </xf>
    <xf numFmtId="0" fontId="78" fillId="48" borderId="1" xfId="12" applyFont="1" applyFill="1" applyBorder="1" applyAlignment="1" applyProtection="1">
      <alignment horizontal="center" textRotation="90" wrapText="1"/>
    </xf>
    <xf numFmtId="0" fontId="79" fillId="0" borderId="0" xfId="12" applyFont="1" applyAlignment="1">
      <alignment horizontal="left" vertical="center"/>
    </xf>
    <xf numFmtId="0" fontId="63" fillId="0" borderId="0" xfId="12" applyFont="1" applyAlignment="1">
      <alignment horizontal="left" vertical="center"/>
    </xf>
    <xf numFmtId="0" fontId="196" fillId="0" borderId="0" xfId="14" applyFont="1" applyAlignment="1">
      <alignment horizontal="left"/>
    </xf>
    <xf numFmtId="0" fontId="197" fillId="0" borderId="0" xfId="12" applyFont="1" applyAlignment="1" applyProtection="1">
      <alignment horizontal="left" vertical="center"/>
      <protection locked="0"/>
    </xf>
    <xf numFmtId="0" fontId="168" fillId="0" borderId="0" xfId="12" applyFont="1" applyAlignment="1" applyProtection="1">
      <alignment horizontal="right" vertical="center"/>
    </xf>
    <xf numFmtId="0" fontId="198" fillId="0" borderId="0" xfId="14" applyFont="1" applyAlignment="1">
      <alignment horizontal="left" vertical="center"/>
    </xf>
    <xf numFmtId="0" fontId="65" fillId="51" borderId="43" xfId="12" applyFont="1" applyFill="1" applyBorder="1" applyAlignment="1">
      <alignment horizontal="left" vertical="center" wrapText="1"/>
    </xf>
    <xf numFmtId="0" fontId="65" fillId="51" borderId="4" xfId="12" applyFont="1" applyFill="1" applyBorder="1" applyAlignment="1">
      <alignment horizontal="left" vertical="center" wrapText="1"/>
    </xf>
    <xf numFmtId="0" fontId="65" fillId="51" borderId="115" xfId="12" applyFont="1" applyFill="1" applyBorder="1" applyAlignment="1">
      <alignment horizontal="center" vertical="center" wrapText="1"/>
    </xf>
    <xf numFmtId="0" fontId="65" fillId="51" borderId="116" xfId="12" applyFont="1" applyFill="1" applyBorder="1" applyAlignment="1">
      <alignment horizontal="center" vertical="center" wrapText="1"/>
    </xf>
    <xf numFmtId="0" fontId="65" fillId="0" borderId="12" xfId="12" applyFont="1" applyBorder="1" applyAlignment="1">
      <alignment horizontal="left"/>
    </xf>
    <xf numFmtId="0" fontId="65" fillId="51" borderId="117" xfId="12" applyFont="1" applyFill="1" applyBorder="1" applyAlignment="1" applyProtection="1">
      <alignment horizontal="center" vertical="center" wrapText="1"/>
    </xf>
    <xf numFmtId="0" fontId="65" fillId="51" borderId="115" xfId="13" applyFont="1" applyFill="1" applyBorder="1" applyAlignment="1">
      <alignment horizontal="center" vertical="center" wrapText="1"/>
    </xf>
    <xf numFmtId="0" fontId="47" fillId="51" borderId="115" xfId="12" applyFont="1" applyFill="1" applyBorder="1" applyAlignment="1" applyProtection="1">
      <alignment horizontal="center" vertical="center" wrapText="1"/>
    </xf>
    <xf numFmtId="0" fontId="65" fillId="51" borderId="115" xfId="12" applyFont="1" applyFill="1" applyBorder="1" applyAlignment="1" applyProtection="1">
      <alignment horizontal="center" vertical="center" wrapText="1"/>
    </xf>
    <xf numFmtId="0" fontId="65" fillId="51" borderId="116" xfId="12" applyFont="1" applyFill="1" applyBorder="1" applyAlignment="1" applyProtection="1">
      <alignment horizontal="center" vertical="center" wrapText="1"/>
    </xf>
    <xf numFmtId="0" fontId="79" fillId="0" borderId="0" xfId="12" applyFont="1" applyAlignment="1">
      <alignment vertical="center"/>
    </xf>
    <xf numFmtId="0" fontId="63" fillId="0" borderId="118" xfId="12" applyFont="1" applyBorder="1" applyAlignment="1" applyProtection="1">
      <alignment vertical="center"/>
    </xf>
    <xf numFmtId="0" fontId="78" fillId="0" borderId="0" xfId="12" applyFont="1" applyAlignment="1">
      <alignment horizontal="left" vertical="center"/>
    </xf>
    <xf numFmtId="0" fontId="78" fillId="48" borderId="119" xfId="12" applyFont="1" applyFill="1" applyBorder="1" applyAlignment="1" applyProtection="1">
      <alignment horizontal="center" vertical="center"/>
    </xf>
    <xf numFmtId="0" fontId="63" fillId="53" borderId="120" xfId="12" applyFont="1" applyFill="1" applyBorder="1" applyAlignment="1" applyProtection="1">
      <alignment horizontal="center" vertical="center"/>
      <protection locked="0"/>
    </xf>
    <xf numFmtId="0" fontId="63" fillId="0" borderId="120" xfId="12" applyFont="1" applyBorder="1" applyAlignment="1" applyProtection="1">
      <alignment horizontal="center" vertical="center"/>
      <protection locked="0"/>
    </xf>
    <xf numFmtId="0" fontId="78" fillId="54" borderId="120" xfId="12" applyFont="1" applyFill="1" applyBorder="1" applyAlignment="1">
      <alignment horizontal="center" vertical="center"/>
    </xf>
    <xf numFmtId="0" fontId="78" fillId="52" borderId="120" xfId="12" applyFont="1" applyFill="1" applyBorder="1" applyAlignment="1">
      <alignment horizontal="center" vertical="center"/>
    </xf>
    <xf numFmtId="0" fontId="78" fillId="54" borderId="121" xfId="12" applyFont="1" applyFill="1" applyBorder="1" applyAlignment="1">
      <alignment horizontal="center" vertical="center"/>
    </xf>
    <xf numFmtId="0" fontId="78" fillId="0" borderId="0" xfId="12" applyFont="1" applyAlignment="1">
      <alignment vertical="center"/>
    </xf>
    <xf numFmtId="0" fontId="78" fillId="0" borderId="0" xfId="12" applyFont="1" applyAlignment="1">
      <alignment horizontal="right" vertical="center"/>
    </xf>
    <xf numFmtId="0" fontId="63" fillId="0" borderId="0" xfId="13" applyFont="1" applyBorder="1" applyAlignment="1">
      <alignment horizontal="center" vertical="center"/>
    </xf>
    <xf numFmtId="0" fontId="63" fillId="0" borderId="1" xfId="13" applyFont="1" applyBorder="1" applyAlignment="1">
      <alignment horizontal="center" vertical="center"/>
    </xf>
    <xf numFmtId="0" fontId="63" fillId="0" borderId="122" xfId="13" applyFont="1" applyBorder="1" applyAlignment="1">
      <alignment horizontal="center" vertical="center"/>
    </xf>
    <xf numFmtId="0" fontId="63" fillId="0" borderId="123" xfId="13" applyFont="1" applyBorder="1" applyAlignment="1">
      <alignment horizontal="center" vertical="center"/>
    </xf>
    <xf numFmtId="0" fontId="63" fillId="54" borderId="1" xfId="13" applyFont="1" applyFill="1" applyBorder="1" applyAlignment="1">
      <alignment horizontal="center" vertical="center"/>
    </xf>
    <xf numFmtId="0" fontId="80" fillId="0" borderId="0" xfId="12" applyFont="1" applyAlignment="1">
      <alignment vertical="center"/>
    </xf>
    <xf numFmtId="0" fontId="77" fillId="55" borderId="30" xfId="12" applyFont="1" applyFill="1" applyBorder="1" applyAlignment="1" applyProtection="1">
      <alignment vertical="center"/>
      <protection locked="0"/>
    </xf>
    <xf numFmtId="0" fontId="63" fillId="55" borderId="125" xfId="13" applyFont="1" applyFill="1" applyBorder="1" applyAlignment="1" applyProtection="1">
      <alignment horizontal="center" vertical="center"/>
      <protection locked="0"/>
    </xf>
    <xf numFmtId="0" fontId="78" fillId="55" borderId="125" xfId="13" applyFont="1" applyFill="1" applyBorder="1" applyAlignment="1" applyProtection="1">
      <alignment horizontal="center" vertical="center"/>
      <protection locked="0"/>
    </xf>
    <xf numFmtId="0" fontId="63" fillId="55" borderId="126" xfId="13" applyFont="1" applyFill="1" applyBorder="1" applyAlignment="1" applyProtection="1">
      <alignment horizontal="center" vertical="center"/>
      <protection locked="0"/>
    </xf>
    <xf numFmtId="0" fontId="174" fillId="0" borderId="12" xfId="12" applyFont="1" applyBorder="1" applyAlignment="1">
      <alignment horizontal="center" vertical="center" textRotation="90"/>
    </xf>
    <xf numFmtId="0" fontId="63" fillId="55" borderId="60" xfId="12" applyFont="1" applyFill="1" applyBorder="1" applyAlignment="1" applyProtection="1">
      <alignment horizontal="center" vertical="center"/>
      <protection locked="0"/>
    </xf>
    <xf numFmtId="0" fontId="63" fillId="55" borderId="59" xfId="12" applyFont="1" applyFill="1" applyBorder="1" applyAlignment="1" applyProtection="1">
      <alignment horizontal="center" vertical="center"/>
      <protection locked="0"/>
    </xf>
    <xf numFmtId="0" fontId="63" fillId="55" borderId="58" xfId="12" applyFont="1" applyFill="1" applyBorder="1" applyAlignment="1" applyProtection="1">
      <alignment horizontal="center" vertical="center"/>
      <protection locked="0"/>
    </xf>
    <xf numFmtId="0" fontId="79" fillId="55" borderId="127" xfId="12" applyFont="1" applyFill="1" applyBorder="1" applyAlignment="1" applyProtection="1">
      <alignment horizontal="center" vertical="center"/>
      <protection locked="0"/>
    </xf>
    <xf numFmtId="0" fontId="199" fillId="0" borderId="0" xfId="12" applyFont="1" applyAlignment="1">
      <alignment horizontal="center" vertical="center" textRotation="90"/>
    </xf>
    <xf numFmtId="0" fontId="74" fillId="0" borderId="34" xfId="12" applyFont="1" applyBorder="1" applyAlignment="1" applyProtection="1">
      <alignment horizontal="left" vertical="center"/>
      <protection locked="0"/>
    </xf>
    <xf numFmtId="0" fontId="74" fillId="0" borderId="3" xfId="12" applyFont="1" applyBorder="1" applyAlignment="1" applyProtection="1">
      <alignment horizontal="left" vertical="center"/>
      <protection locked="0"/>
    </xf>
    <xf numFmtId="0" fontId="63" fillId="0" borderId="3" xfId="13" applyFont="1" applyBorder="1" applyAlignment="1" applyProtection="1">
      <alignment horizontal="center" vertical="center"/>
      <protection locked="0"/>
    </xf>
    <xf numFmtId="0" fontId="78" fillId="0" borderId="3" xfId="13" applyFont="1" applyBorder="1" applyAlignment="1" applyProtection="1">
      <alignment horizontal="center" vertical="center"/>
      <protection locked="0"/>
    </xf>
    <xf numFmtId="0" fontId="63" fillId="0" borderId="57" xfId="13" applyFont="1" applyBorder="1" applyAlignment="1" applyProtection="1">
      <alignment horizontal="center" vertical="center"/>
      <protection locked="0"/>
    </xf>
    <xf numFmtId="0" fontId="63" fillId="0" borderId="34" xfId="13" applyFont="1" applyBorder="1" applyAlignment="1" applyProtection="1">
      <alignment horizontal="center" vertical="center"/>
      <protection locked="0"/>
    </xf>
    <xf numFmtId="0" fontId="63" fillId="0" borderId="3" xfId="12" applyFont="1" applyFill="1" applyBorder="1" applyAlignment="1" applyProtection="1">
      <alignment horizontal="center" vertical="center"/>
      <protection locked="0"/>
    </xf>
    <xf numFmtId="0" fontId="63" fillId="52" borderId="3" xfId="7" applyFont="1" applyFill="1" applyBorder="1" applyAlignment="1" applyProtection="1">
      <alignment horizontal="center" vertical="center"/>
      <protection locked="0"/>
    </xf>
    <xf numFmtId="0" fontId="79" fillId="0" borderId="57" xfId="12" applyFont="1" applyBorder="1" applyAlignment="1" applyProtection="1">
      <alignment horizontal="center" vertical="center"/>
      <protection locked="0"/>
    </xf>
    <xf numFmtId="0" fontId="79" fillId="0" borderId="70" xfId="12" applyFont="1" applyBorder="1" applyAlignment="1" applyProtection="1">
      <alignment horizontal="center" vertical="center"/>
      <protection locked="0"/>
    </xf>
    <xf numFmtId="0" fontId="78" fillId="0" borderId="57" xfId="13" applyFont="1" applyBorder="1" applyAlignment="1" applyProtection="1">
      <alignment horizontal="center" vertical="center"/>
      <protection locked="0"/>
    </xf>
    <xf numFmtId="0" fontId="74" fillId="0" borderId="128" xfId="12" applyFont="1" applyBorder="1" applyAlignment="1" applyProtection="1">
      <alignment horizontal="left" vertical="center"/>
      <protection locked="0"/>
    </xf>
    <xf numFmtId="0" fontId="74" fillId="0" borderId="129" xfId="12" applyFont="1" applyBorder="1" applyAlignment="1" applyProtection="1">
      <alignment horizontal="left" vertical="center"/>
      <protection locked="0"/>
    </xf>
    <xf numFmtId="0" fontId="63" fillId="0" borderId="129" xfId="13" applyFont="1" applyBorder="1" applyAlignment="1" applyProtection="1">
      <alignment horizontal="center" vertical="center"/>
      <protection locked="0"/>
    </xf>
    <xf numFmtId="0" fontId="78" fillId="0" borderId="129" xfId="13" applyFont="1" applyBorder="1" applyAlignment="1" applyProtection="1">
      <alignment horizontal="center" vertical="center"/>
      <protection locked="0"/>
    </xf>
    <xf numFmtId="0" fontId="63" fillId="0" borderId="130" xfId="13" applyFont="1" applyBorder="1" applyAlignment="1" applyProtection="1">
      <alignment horizontal="center" vertical="center"/>
      <protection locked="0"/>
    </xf>
    <xf numFmtId="0" fontId="63" fillId="0" borderId="128" xfId="13" applyFont="1" applyBorder="1" applyAlignment="1" applyProtection="1">
      <alignment horizontal="center" vertical="center"/>
      <protection locked="0"/>
    </xf>
    <xf numFmtId="0" fontId="63" fillId="0" borderId="129" xfId="12" applyFont="1" applyFill="1" applyBorder="1" applyAlignment="1" applyProtection="1">
      <alignment horizontal="center" vertical="center"/>
      <protection locked="0"/>
    </xf>
    <xf numFmtId="0" fontId="63" fillId="52" borderId="129" xfId="7" applyFont="1" applyFill="1" applyBorder="1" applyAlignment="1" applyProtection="1">
      <alignment horizontal="center" vertical="center"/>
      <protection locked="0"/>
    </xf>
    <xf numFmtId="0" fontId="79" fillId="0" borderId="130" xfId="12" applyFont="1" applyBorder="1" applyAlignment="1" applyProtection="1">
      <alignment horizontal="center" vertical="center"/>
      <protection locked="0"/>
    </xf>
    <xf numFmtId="0" fontId="79" fillId="0" borderId="131" xfId="12" applyFont="1" applyBorder="1" applyAlignment="1" applyProtection="1">
      <alignment horizontal="center" vertical="center"/>
      <protection locked="0"/>
    </xf>
    <xf numFmtId="0" fontId="78" fillId="0" borderId="132" xfId="12" applyFont="1" applyBorder="1" applyAlignment="1">
      <alignment horizontal="center" vertical="center"/>
    </xf>
    <xf numFmtId="0" fontId="78" fillId="54" borderId="132" xfId="12" applyFont="1" applyFill="1" applyBorder="1" applyAlignment="1">
      <alignment horizontal="center" vertical="center"/>
    </xf>
    <xf numFmtId="0" fontId="78" fillId="52" borderId="132" xfId="12" applyFont="1" applyFill="1" applyBorder="1" applyAlignment="1">
      <alignment horizontal="center" vertical="center"/>
    </xf>
    <xf numFmtId="0" fontId="78" fillId="0" borderId="133" xfId="12" applyFont="1" applyBorder="1" applyAlignment="1" applyProtection="1">
      <alignment horizontal="center" vertical="center"/>
    </xf>
    <xf numFmtId="0" fontId="78" fillId="0" borderId="0" xfId="12" applyFont="1" applyAlignment="1" applyProtection="1">
      <alignment horizontal="center" vertical="center"/>
    </xf>
    <xf numFmtId="0" fontId="78" fillId="0" borderId="80" xfId="12" applyFont="1" applyBorder="1" applyAlignment="1" applyProtection="1">
      <alignment horizontal="center" vertical="center"/>
    </xf>
    <xf numFmtId="0" fontId="200" fillId="0" borderId="0" xfId="12" applyFont="1" applyAlignment="1">
      <alignment horizontal="center" vertical="center"/>
    </xf>
    <xf numFmtId="0" fontId="63" fillId="54" borderId="117" xfId="13" applyFont="1" applyFill="1" applyBorder="1" applyAlignment="1">
      <alignment horizontal="center" vertical="center"/>
    </xf>
    <xf numFmtId="0" fontId="63" fillId="0" borderId="116" xfId="13" applyFont="1" applyBorder="1" applyAlignment="1">
      <alignment horizontal="center" vertical="center"/>
    </xf>
    <xf numFmtId="0" fontId="63" fillId="0" borderId="73" xfId="13" applyFont="1" applyBorder="1" applyAlignment="1">
      <alignment horizontal="center" vertical="center"/>
    </xf>
    <xf numFmtId="0" fontId="63" fillId="0" borderId="117" xfId="13" applyFont="1" applyBorder="1" applyAlignment="1">
      <alignment horizontal="center" vertical="center"/>
    </xf>
    <xf numFmtId="0" fontId="78" fillId="0" borderId="134" xfId="12" applyFont="1" applyBorder="1" applyAlignment="1">
      <alignment horizontal="center" vertical="center"/>
    </xf>
    <xf numFmtId="0" fontId="78" fillId="0" borderId="135" xfId="12" applyFont="1" applyBorder="1" applyAlignment="1">
      <alignment horizontal="center" vertical="center"/>
    </xf>
    <xf numFmtId="3" fontId="63" fillId="0" borderId="116" xfId="13" applyNumberFormat="1" applyFont="1" applyBorder="1" applyAlignment="1">
      <alignment horizontal="center" vertical="center"/>
    </xf>
    <xf numFmtId="3" fontId="63" fillId="0" borderId="1" xfId="13" applyNumberFormat="1" applyFont="1" applyBorder="1" applyAlignment="1">
      <alignment horizontal="center" vertical="center"/>
    </xf>
    <xf numFmtId="0" fontId="77" fillId="55" borderId="124" xfId="12" applyFont="1" applyFill="1" applyBorder="1" applyAlignment="1" applyProtection="1">
      <alignment vertical="center"/>
      <protection locked="0"/>
    </xf>
    <xf numFmtId="0" fontId="78" fillId="48" borderId="60" xfId="12" applyFont="1" applyFill="1" applyBorder="1" applyAlignment="1" applyProtection="1">
      <alignment horizontal="center" vertical="center"/>
    </xf>
    <xf numFmtId="0" fontId="63" fillId="53" borderId="59" xfId="12" applyFont="1" applyFill="1" applyBorder="1" applyAlignment="1" applyProtection="1">
      <alignment horizontal="center" vertical="center"/>
    </xf>
    <xf numFmtId="0" fontId="63" fillId="52" borderId="59" xfId="7" applyFont="1" applyFill="1" applyBorder="1" applyAlignment="1" applyProtection="1">
      <alignment horizontal="center" vertical="center"/>
    </xf>
    <xf numFmtId="0" fontId="78" fillId="48" borderId="34" xfId="12" applyFont="1" applyFill="1" applyBorder="1" applyAlignment="1" applyProtection="1">
      <alignment horizontal="center" vertical="center"/>
    </xf>
    <xf numFmtId="0" fontId="63" fillId="53" borderId="3" xfId="12" applyFont="1" applyFill="1" applyBorder="1" applyAlignment="1" applyProtection="1">
      <alignment horizontal="center" vertical="center"/>
    </xf>
    <xf numFmtId="0" fontId="63" fillId="0" borderId="3" xfId="12" applyFont="1" applyBorder="1" applyAlignment="1" applyProtection="1">
      <alignment horizontal="center" vertical="center"/>
    </xf>
    <xf numFmtId="0" fontId="63" fillId="52" borderId="3" xfId="7" applyFont="1" applyFill="1" applyBorder="1" applyAlignment="1" applyProtection="1">
      <alignment horizontal="center" vertical="center"/>
    </xf>
    <xf numFmtId="0" fontId="63" fillId="0" borderId="57" xfId="12" applyFont="1" applyBorder="1" applyAlignment="1" applyProtection="1">
      <alignment horizontal="center" vertical="center"/>
    </xf>
    <xf numFmtId="0" fontId="78" fillId="48" borderId="128" xfId="12" applyFont="1" applyFill="1" applyBorder="1" applyAlignment="1" applyProtection="1">
      <alignment horizontal="center" vertical="center"/>
    </xf>
    <xf numFmtId="0" fontId="63" fillId="53" borderId="129" xfId="12" applyFont="1" applyFill="1" applyBorder="1" applyAlignment="1" applyProtection="1">
      <alignment horizontal="center" vertical="center"/>
    </xf>
    <xf numFmtId="0" fontId="63" fillId="0" borderId="129" xfId="12" applyFont="1" applyBorder="1" applyAlignment="1" applyProtection="1">
      <alignment horizontal="center" vertical="center"/>
    </xf>
    <xf numFmtId="0" fontId="63" fillId="52" borderId="129" xfId="7" applyFont="1" applyFill="1" applyBorder="1" applyAlignment="1" applyProtection="1">
      <alignment horizontal="center" vertical="center"/>
    </xf>
    <xf numFmtId="0" fontId="63" fillId="0" borderId="130" xfId="12" applyFont="1" applyBorder="1" applyAlignment="1" applyProtection="1">
      <alignment horizontal="center" vertical="center"/>
    </xf>
    <xf numFmtId="0" fontId="74" fillId="0" borderId="34" xfId="12" applyFont="1" applyBorder="1" applyAlignment="1" applyProtection="1">
      <alignment horizontal="left" vertical="center"/>
    </xf>
    <xf numFmtId="0" fontId="74" fillId="0" borderId="3" xfId="12" applyFont="1" applyBorder="1" applyAlignment="1" applyProtection="1">
      <alignment horizontal="left" vertical="center"/>
    </xf>
    <xf numFmtId="0" fontId="63" fillId="0" borderId="3" xfId="13" applyFont="1" applyBorder="1" applyAlignment="1" applyProtection="1">
      <alignment horizontal="center" vertical="center"/>
    </xf>
    <xf numFmtId="0" fontId="78" fillId="0" borderId="57" xfId="13" applyFont="1" applyBorder="1" applyAlignment="1" applyProtection="1">
      <alignment horizontal="center" vertical="center"/>
    </xf>
    <xf numFmtId="0" fontId="74" fillId="0" borderId="128" xfId="12" applyFont="1" applyBorder="1" applyAlignment="1" applyProtection="1">
      <alignment horizontal="left" vertical="center"/>
    </xf>
    <xf numFmtId="0" fontId="74" fillId="0" borderId="129" xfId="12" applyFont="1" applyBorder="1" applyAlignment="1" applyProtection="1">
      <alignment horizontal="left" vertical="center"/>
    </xf>
    <xf numFmtId="0" fontId="63" fillId="0" borderId="129" xfId="13" applyFont="1" applyBorder="1" applyAlignment="1" applyProtection="1">
      <alignment horizontal="center" vertical="center"/>
    </xf>
    <xf numFmtId="0" fontId="78" fillId="0" borderId="130" xfId="13" applyFont="1" applyBorder="1" applyAlignment="1" applyProtection="1">
      <alignment horizontal="center" vertical="center"/>
    </xf>
    <xf numFmtId="0" fontId="78" fillId="0" borderId="122" xfId="12" applyFont="1" applyBorder="1" applyAlignment="1">
      <alignment horizontal="center" textRotation="90" wrapText="1"/>
    </xf>
    <xf numFmtId="0" fontId="78" fillId="0" borderId="123" xfId="12" applyFont="1" applyBorder="1" applyAlignment="1">
      <alignment horizontal="center" textRotation="90" wrapText="1"/>
    </xf>
    <xf numFmtId="0" fontId="78" fillId="48" borderId="122" xfId="12" applyFont="1" applyFill="1" applyBorder="1" applyAlignment="1" applyProtection="1">
      <alignment horizontal="center" textRotation="90" wrapText="1"/>
    </xf>
    <xf numFmtId="0" fontId="78" fillId="53" borderId="136" xfId="12" applyFont="1" applyFill="1" applyBorder="1" applyAlignment="1">
      <alignment horizontal="center" textRotation="90" wrapText="1"/>
    </xf>
    <xf numFmtId="0" fontId="78" fillId="0" borderId="136" xfId="12" applyFont="1" applyFill="1" applyBorder="1" applyAlignment="1">
      <alignment horizontal="center" textRotation="90" wrapText="1"/>
    </xf>
    <xf numFmtId="0" fontId="78" fillId="0" borderId="136" xfId="13" applyFont="1" applyBorder="1" applyAlignment="1" applyProtection="1">
      <alignment horizontal="center" textRotation="90" wrapText="1"/>
    </xf>
    <xf numFmtId="0" fontId="78" fillId="0" borderId="136" xfId="12" applyFont="1" applyBorder="1" applyAlignment="1">
      <alignment horizontal="center" textRotation="90" wrapText="1"/>
    </xf>
    <xf numFmtId="0" fontId="141" fillId="52" borderId="136" xfId="12" applyFont="1" applyFill="1" applyBorder="1" applyAlignment="1" applyProtection="1">
      <alignment horizontal="center" textRotation="90" wrapText="1"/>
    </xf>
    <xf numFmtId="0" fontId="63" fillId="0" borderId="136" xfId="12" applyFont="1" applyBorder="1" applyAlignment="1" applyProtection="1">
      <alignment horizontal="center" textRotation="90" wrapText="1"/>
    </xf>
    <xf numFmtId="0" fontId="10" fillId="2" borderId="0" xfId="1" applyFill="1"/>
    <xf numFmtId="0" fontId="4" fillId="2" borderId="0" xfId="1" applyFont="1" applyFill="1"/>
    <xf numFmtId="0" fontId="10" fillId="0" borderId="0" xfId="1" applyNumberFormat="1"/>
    <xf numFmtId="0" fontId="63" fillId="2" borderId="0" xfId="1" applyFont="1" applyFill="1"/>
    <xf numFmtId="0" fontId="4" fillId="0" borderId="0" xfId="1" applyFont="1"/>
    <xf numFmtId="0" fontId="10" fillId="0" borderId="0" xfId="1" applyBorder="1"/>
    <xf numFmtId="0" fontId="10" fillId="31" borderId="0" xfId="1" applyFill="1"/>
    <xf numFmtId="0" fontId="4" fillId="7" borderId="0" xfId="1" applyFont="1" applyFill="1"/>
    <xf numFmtId="0" fontId="64" fillId="0" borderId="0" xfId="2" applyFont="1"/>
    <xf numFmtId="0" fontId="3" fillId="0" borderId="0" xfId="0" applyFont="1"/>
    <xf numFmtId="0" fontId="65" fillId="0" borderId="0" xfId="2" applyFont="1" applyAlignment="1">
      <alignment vertical="center"/>
    </xf>
    <xf numFmtId="164" fontId="79" fillId="0" borderId="0" xfId="2" applyNumberFormat="1" applyFont="1" applyAlignment="1">
      <alignment horizontal="center"/>
    </xf>
    <xf numFmtId="0" fontId="79" fillId="0" borderId="0" xfId="2" applyFont="1" applyAlignment="1">
      <alignment vertical="center"/>
    </xf>
    <xf numFmtId="0" fontId="3" fillId="0" borderId="64" xfId="0" applyFont="1" applyBorder="1"/>
    <xf numFmtId="0" fontId="3" fillId="0" borderId="0" xfId="0" applyFont="1" applyAlignment="1">
      <alignment horizontal="left" vertical="top"/>
    </xf>
    <xf numFmtId="0" fontId="3" fillId="0" borderId="22" xfId="0" applyFont="1" applyBorder="1" applyAlignment="1">
      <alignment horizontal="centerContinuous"/>
    </xf>
    <xf numFmtId="0" fontId="3" fillId="0" borderId="46" xfId="0" applyFont="1" applyBorder="1" applyAlignment="1">
      <alignment horizontal="centerContinuous"/>
    </xf>
    <xf numFmtId="0" fontId="3" fillId="0" borderId="23" xfId="0" applyFont="1" applyBorder="1" applyAlignment="1">
      <alignment horizontal="centerContinuous"/>
    </xf>
    <xf numFmtId="0" fontId="65" fillId="0" borderId="0" xfId="0" applyFont="1" applyAlignment="1">
      <alignment horizontal="center"/>
    </xf>
    <xf numFmtId="0" fontId="160" fillId="45" borderId="0" xfId="0" applyFont="1" applyFill="1"/>
    <xf numFmtId="0" fontId="107" fillId="43" borderId="70" xfId="4" applyFont="1" applyFill="1" applyBorder="1" applyAlignment="1" applyProtection="1">
      <alignment horizontal="center"/>
      <protection hidden="1"/>
    </xf>
    <xf numFmtId="0" fontId="3" fillId="44" borderId="0" xfId="0" applyFont="1" applyFill="1"/>
    <xf numFmtId="0" fontId="3" fillId="6" borderId="0" xfId="0" applyFont="1" applyFill="1"/>
    <xf numFmtId="0" fontId="107" fillId="43" borderId="72" xfId="4" applyFont="1" applyFill="1" applyBorder="1" applyAlignment="1" applyProtection="1">
      <alignment horizontal="center"/>
      <protection hidden="1"/>
    </xf>
    <xf numFmtId="0" fontId="87" fillId="0" borderId="0" xfId="2" applyFont="1" applyAlignment="1">
      <alignment horizontal="center"/>
    </xf>
    <xf numFmtId="0" fontId="87" fillId="0" borderId="0" xfId="2" applyFont="1"/>
    <xf numFmtId="0" fontId="3" fillId="34" borderId="0" xfId="0" applyFont="1" applyFill="1"/>
    <xf numFmtId="0" fontId="202" fillId="0" borderId="0" xfId="2" applyFont="1" applyAlignment="1">
      <alignment horizontal="right" vertical="center"/>
    </xf>
    <xf numFmtId="0" fontId="3" fillId="0" borderId="41" xfId="0" applyFont="1" applyBorder="1"/>
    <xf numFmtId="0" fontId="95" fillId="0" borderId="0" xfId="0" applyFont="1" applyAlignment="1">
      <alignment vertical="center"/>
    </xf>
    <xf numFmtId="0" fontId="78" fillId="0" borderId="0" xfId="2" applyFont="1" applyAlignment="1">
      <alignment horizontal="center"/>
    </xf>
    <xf numFmtId="0" fontId="99" fillId="0" borderId="0" xfId="0" applyFont="1"/>
    <xf numFmtId="0" fontId="3" fillId="18" borderId="0" xfId="0" applyFont="1" applyFill="1"/>
    <xf numFmtId="0" fontId="3" fillId="19" borderId="0" xfId="0" applyFont="1" applyFill="1"/>
    <xf numFmtId="0" fontId="101" fillId="0" borderId="0" xfId="0" applyFont="1" applyAlignment="1">
      <alignment horizontal="left"/>
    </xf>
    <xf numFmtId="0" fontId="102" fillId="0" borderId="0" xfId="0" applyFont="1"/>
    <xf numFmtId="0" fontId="101" fillId="3" borderId="0" xfId="0" applyFont="1" applyFill="1" applyAlignment="1">
      <alignment horizontal="left"/>
    </xf>
    <xf numFmtId="0" fontId="157" fillId="0" borderId="0" xfId="1" applyFont="1"/>
    <xf numFmtId="0" fontId="50" fillId="0" borderId="0" xfId="0" applyFont="1" applyFill="1"/>
    <xf numFmtId="0" fontId="77" fillId="55" borderId="60" xfId="12" applyFont="1" applyFill="1" applyBorder="1" applyAlignment="1" applyProtection="1">
      <alignment horizontal="left" vertical="center"/>
    </xf>
    <xf numFmtId="0" fontId="77" fillId="55" borderId="59" xfId="12" applyFont="1" applyFill="1" applyBorder="1" applyAlignment="1" applyProtection="1">
      <alignment horizontal="left" vertical="center"/>
    </xf>
    <xf numFmtId="0" fontId="78" fillId="55" borderId="59" xfId="13" applyFont="1" applyFill="1" applyBorder="1" applyAlignment="1" applyProtection="1">
      <alignment horizontal="center" vertical="center"/>
    </xf>
    <xf numFmtId="0" fontId="74" fillId="55" borderId="58" xfId="12" applyFont="1" applyFill="1" applyBorder="1" applyAlignment="1" applyProtection="1">
      <alignment horizontal="center" vertical="center"/>
    </xf>
    <xf numFmtId="0" fontId="63" fillId="55" borderId="59" xfId="12" applyFont="1" applyFill="1" applyBorder="1" applyAlignment="1" applyProtection="1">
      <alignment horizontal="center" vertical="center"/>
    </xf>
    <xf numFmtId="0" fontId="63" fillId="55" borderId="58" xfId="12" applyFont="1" applyFill="1" applyBorder="1" applyAlignment="1" applyProtection="1">
      <alignment horizontal="center" vertical="center"/>
    </xf>
    <xf numFmtId="0" fontId="78" fillId="48" borderId="70" xfId="12" applyFont="1" applyFill="1" applyBorder="1" applyAlignment="1" applyProtection="1">
      <alignment horizontal="center" vertical="center"/>
    </xf>
    <xf numFmtId="0" fontId="78" fillId="48" borderId="127" xfId="12" applyFont="1" applyFill="1" applyBorder="1" applyAlignment="1" applyProtection="1">
      <alignment horizontal="center" vertical="center"/>
    </xf>
    <xf numFmtId="0" fontId="63" fillId="49" borderId="82" xfId="13" applyFont="1" applyFill="1" applyBorder="1" applyAlignment="1" applyProtection="1">
      <alignment horizontal="center" vertical="center"/>
      <protection locked="0"/>
    </xf>
    <xf numFmtId="0" fontId="63" fillId="49" borderId="87" xfId="13" applyFont="1" applyFill="1" applyBorder="1" applyAlignment="1" applyProtection="1">
      <alignment horizontal="center" vertical="center"/>
      <protection locked="0"/>
    </xf>
    <xf numFmtId="0" fontId="63" fillId="49" borderId="137" xfId="13" applyFont="1" applyFill="1" applyBorder="1" applyAlignment="1" applyProtection="1">
      <alignment horizontal="center" vertical="center"/>
      <protection locked="0"/>
    </xf>
    <xf numFmtId="0" fontId="2" fillId="0" borderId="60" xfId="0" applyFont="1" applyBorder="1"/>
    <xf numFmtId="0" fontId="2" fillId="3" borderId="58"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xf numFmtId="0" fontId="2" fillId="0" borderId="58" xfId="0" applyFont="1" applyFill="1" applyBorder="1" applyAlignment="1" applyProtection="1">
      <alignment horizontal="center"/>
      <protection locked="0"/>
    </xf>
    <xf numFmtId="0" fontId="2" fillId="0" borderId="34" xfId="0" applyFont="1" applyBorder="1"/>
    <xf numFmtId="0" fontId="2" fillId="3" borderId="57" xfId="0" applyFont="1" applyFill="1" applyBorder="1" applyAlignment="1" applyProtection="1">
      <alignment horizontal="center"/>
      <protection locked="0"/>
    </xf>
    <xf numFmtId="0" fontId="2" fillId="0" borderId="34" xfId="0" applyFont="1" applyBorder="1" applyProtection="1">
      <protection locked="0"/>
    </xf>
    <xf numFmtId="0" fontId="2" fillId="0" borderId="37" xfId="0" applyFont="1" applyBorder="1"/>
    <xf numFmtId="0" fontId="2" fillId="3" borderId="54" xfId="0" applyFont="1" applyFill="1" applyBorder="1" applyAlignment="1" applyProtection="1">
      <alignment horizontal="center"/>
      <protection locked="0"/>
    </xf>
    <xf numFmtId="0" fontId="2" fillId="0" borderId="37" xfId="0" applyFont="1" applyBorder="1" applyProtection="1">
      <protection locked="0"/>
    </xf>
    <xf numFmtId="0" fontId="78" fillId="49" borderId="140" xfId="13" applyFont="1" applyFill="1" applyBorder="1" applyAlignment="1" applyProtection="1">
      <alignment horizontal="center" vertical="center"/>
    </xf>
    <xf numFmtId="0" fontId="78" fillId="49" borderId="141" xfId="13" applyFont="1" applyFill="1" applyBorder="1" applyAlignment="1" applyProtection="1">
      <alignment horizontal="center" vertical="center"/>
    </xf>
    <xf numFmtId="0" fontId="78" fillId="49" borderId="142" xfId="13" applyFont="1" applyFill="1" applyBorder="1" applyAlignment="1" applyProtection="1">
      <alignment horizontal="center" vertical="center"/>
    </xf>
    <xf numFmtId="0" fontId="78" fillId="48" borderId="143" xfId="12" applyFont="1" applyFill="1" applyBorder="1" applyAlignment="1">
      <alignment horizontal="center" vertical="center"/>
    </xf>
    <xf numFmtId="0" fontId="203" fillId="0" borderId="144" xfId="12" applyFont="1" applyBorder="1" applyAlignment="1">
      <alignment vertical="center"/>
    </xf>
    <xf numFmtId="0" fontId="203" fillId="0" borderId="145" xfId="12" applyFont="1" applyBorder="1" applyAlignment="1">
      <alignment vertical="center"/>
    </xf>
    <xf numFmtId="0" fontId="63" fillId="0" borderId="145" xfId="12" applyFont="1" applyBorder="1" applyAlignment="1">
      <alignment vertical="center"/>
    </xf>
    <xf numFmtId="0" fontId="78" fillId="0" borderId="146" xfId="12" applyFont="1" applyBorder="1" applyAlignment="1">
      <alignment horizontal="center" vertical="center"/>
    </xf>
    <xf numFmtId="0" fontId="78" fillId="48" borderId="131" xfId="12" applyFont="1" applyFill="1" applyBorder="1" applyAlignment="1" applyProtection="1">
      <alignment horizontal="center" vertical="center"/>
    </xf>
    <xf numFmtId="0" fontId="1" fillId="0" borderId="0" xfId="0" applyFont="1"/>
    <xf numFmtId="0" fontId="78" fillId="0" borderId="122" xfId="12" applyFont="1" applyBorder="1" applyAlignment="1" applyProtection="1">
      <alignment horizontal="center" textRotation="90" wrapText="1"/>
    </xf>
    <xf numFmtId="0" fontId="63" fillId="0" borderId="0" xfId="12" applyFont="1" applyAlignment="1">
      <alignment horizontal="right" vertical="center"/>
    </xf>
    <xf numFmtId="0" fontId="78" fillId="54" borderId="1" xfId="13" applyFont="1" applyFill="1" applyBorder="1" applyAlignment="1">
      <alignment horizontal="center" vertical="center"/>
    </xf>
    <xf numFmtId="0" fontId="63" fillId="0" borderId="11" xfId="12" applyFont="1" applyBorder="1" applyAlignment="1">
      <alignment vertical="center"/>
    </xf>
    <xf numFmtId="0" fontId="63" fillId="0" borderId="11" xfId="12" applyFont="1" applyBorder="1" applyAlignment="1">
      <alignment horizontal="center" vertical="center"/>
    </xf>
    <xf numFmtId="0" fontId="63" fillId="0" borderId="11" xfId="12" applyFont="1" applyBorder="1" applyAlignment="1">
      <alignment horizontal="left" vertical="center"/>
    </xf>
    <xf numFmtId="0" fontId="63" fillId="0" borderId="11" xfId="12" applyFont="1" applyBorder="1" applyAlignment="1" applyProtection="1">
      <alignment vertical="center"/>
    </xf>
    <xf numFmtId="0" fontId="63" fillId="0" borderId="11" xfId="12" applyFont="1" applyBorder="1" applyAlignment="1" applyProtection="1">
      <alignment horizontal="center" vertical="center"/>
    </xf>
    <xf numFmtId="0" fontId="78" fillId="0" borderId="0" xfId="12" applyFont="1" applyBorder="1" applyAlignment="1">
      <alignment horizontal="right" vertical="center"/>
    </xf>
    <xf numFmtId="0" fontId="63" fillId="0" borderId="48" xfId="12" applyFont="1" applyBorder="1" applyAlignment="1">
      <alignment vertical="center"/>
    </xf>
    <xf numFmtId="0" fontId="63" fillId="0" borderId="48" xfId="12" applyFont="1" applyBorder="1" applyAlignment="1">
      <alignment horizontal="center" vertical="center"/>
    </xf>
    <xf numFmtId="0" fontId="63" fillId="0" borderId="48" xfId="12" applyFont="1" applyBorder="1" applyAlignment="1">
      <alignment horizontal="left" vertical="center"/>
    </xf>
    <xf numFmtId="0" fontId="63" fillId="0" borderId="48" xfId="12" applyFont="1" applyBorder="1" applyAlignment="1" applyProtection="1">
      <alignment vertical="center"/>
    </xf>
    <xf numFmtId="0" fontId="63" fillId="0" borderId="48" xfId="12" applyFont="1" applyBorder="1" applyAlignment="1" applyProtection="1">
      <alignment horizontal="center" vertical="center"/>
    </xf>
    <xf numFmtId="165" fontId="20" fillId="8" borderId="0" xfId="0" quotePrefix="1" applyNumberFormat="1" applyFont="1" applyFill="1" applyBorder="1" applyAlignment="1">
      <alignment horizontal="center"/>
    </xf>
    <xf numFmtId="0" fontId="33" fillId="22" borderId="0" xfId="0" applyFont="1" applyFill="1" applyAlignment="1" applyProtection="1">
      <alignment horizontal="left" vertical="top" wrapText="1"/>
      <protection locked="0"/>
    </xf>
    <xf numFmtId="0" fontId="115" fillId="0" borderId="0" xfId="0" applyFont="1" applyAlignment="1">
      <alignment horizontal="center" vertical="top" wrapText="1"/>
    </xf>
    <xf numFmtId="0" fontId="16" fillId="0" borderId="0" xfId="0" applyFont="1" applyAlignment="1">
      <alignment horizontal="left" indent="2"/>
    </xf>
    <xf numFmtId="0" fontId="8" fillId="22" borderId="0" xfId="0" applyFont="1" applyFill="1" applyAlignment="1" applyProtection="1">
      <alignment horizontal="left" vertical="top" wrapText="1"/>
      <protection locked="0"/>
    </xf>
    <xf numFmtId="0" fontId="24" fillId="0" borderId="0" xfId="0" applyFont="1" applyAlignment="1" applyProtection="1">
      <alignment horizontal="left" vertical="top" wrapText="1" indent="1"/>
      <protection hidden="1"/>
    </xf>
    <xf numFmtId="0" fontId="36" fillId="0" borderId="0" xfId="0" applyFont="1" applyBorder="1" applyAlignment="1">
      <alignment horizontal="center" vertical="center"/>
    </xf>
    <xf numFmtId="0" fontId="42" fillId="10" borderId="0" xfId="0" applyFont="1" applyFill="1" applyAlignment="1">
      <alignment horizontal="center" vertical="center"/>
    </xf>
    <xf numFmtId="0" fontId="38" fillId="0" borderId="0" xfId="0" applyFont="1" applyBorder="1" applyAlignment="1">
      <alignment horizontal="right" vertical="top" wrapText="1" indent="2"/>
    </xf>
    <xf numFmtId="0" fontId="38" fillId="0" borderId="11" xfId="0" applyFont="1" applyBorder="1" applyAlignment="1">
      <alignment horizontal="right" vertical="top" wrapText="1" indent="2"/>
    </xf>
    <xf numFmtId="0" fontId="31" fillId="0" borderId="0" xfId="0" applyFont="1" applyAlignment="1">
      <alignment horizontal="right" wrapText="1" indent="1"/>
    </xf>
    <xf numFmtId="0" fontId="45" fillId="0" borderId="0" xfId="0" applyFont="1" applyFill="1" applyAlignment="1">
      <alignment horizontal="left" indent="1"/>
    </xf>
    <xf numFmtId="0" fontId="7" fillId="3" borderId="43" xfId="0" applyFont="1" applyFill="1" applyBorder="1" applyAlignment="1" applyProtection="1">
      <alignment horizontal="left" vertical="center" indent="1"/>
      <protection locked="0"/>
    </xf>
    <xf numFmtId="0" fontId="7" fillId="3" borderId="4" xfId="0" applyFont="1" applyFill="1" applyBorder="1" applyAlignment="1" applyProtection="1">
      <alignment horizontal="left" vertical="center" indent="1"/>
      <protection locked="0"/>
    </xf>
    <xf numFmtId="0" fontId="7" fillId="3" borderId="44" xfId="0" applyFont="1" applyFill="1" applyBorder="1" applyAlignment="1" applyProtection="1">
      <alignment horizontal="left" vertical="center" indent="1"/>
      <protection locked="0"/>
    </xf>
    <xf numFmtId="0" fontId="147" fillId="0" borderId="0" xfId="0" applyFont="1" applyFill="1" applyAlignment="1">
      <alignment horizontal="right" vertical="top" wrapText="1" indent="1"/>
    </xf>
    <xf numFmtId="0" fontId="77" fillId="27" borderId="13" xfId="2" applyFont="1" applyFill="1" applyBorder="1" applyAlignment="1" applyProtection="1">
      <alignment horizontal="center" vertical="center"/>
      <protection locked="0"/>
    </xf>
    <xf numFmtId="0" fontId="77" fillId="27" borderId="14" xfId="2" applyFont="1" applyFill="1" applyBorder="1" applyAlignment="1" applyProtection="1">
      <alignment horizontal="center" vertical="center"/>
      <protection locked="0"/>
    </xf>
    <xf numFmtId="0" fontId="78" fillId="0" borderId="41" xfId="0" applyFont="1" applyBorder="1" applyAlignment="1">
      <alignment horizontal="center" vertical="top"/>
    </xf>
    <xf numFmtId="0" fontId="158" fillId="43" borderId="65" xfId="0" applyFont="1" applyFill="1" applyBorder="1" applyAlignment="1">
      <alignment horizontal="center" vertical="center" textRotation="90" wrapText="1"/>
    </xf>
    <xf numFmtId="0" fontId="158" fillId="43" borderId="25" xfId="0" applyFont="1" applyFill="1" applyBorder="1" applyAlignment="1">
      <alignment horizontal="center" vertical="center" textRotation="90"/>
    </xf>
    <xf numFmtId="0" fontId="158" fillId="43" borderId="33" xfId="0" applyFont="1" applyFill="1" applyBorder="1" applyAlignment="1">
      <alignment horizontal="center" vertical="center" textRotation="90"/>
    </xf>
    <xf numFmtId="0" fontId="85" fillId="0" borderId="5" xfId="2" applyFont="1" applyBorder="1" applyAlignment="1">
      <alignment horizontal="left" vertical="center" indent="1"/>
    </xf>
    <xf numFmtId="0" fontId="85" fillId="0" borderId="6" xfId="2" applyFont="1" applyBorder="1" applyAlignment="1">
      <alignment horizontal="left" vertical="center" indent="1"/>
    </xf>
    <xf numFmtId="0" fontId="85" fillId="0" borderId="24" xfId="2" applyFont="1" applyBorder="1" applyAlignment="1">
      <alignment horizontal="left" vertical="center" indent="1"/>
    </xf>
    <xf numFmtId="0" fontId="85" fillId="0" borderId="25" xfId="2" applyFont="1" applyBorder="1" applyAlignment="1">
      <alignment horizontal="left" vertical="center" indent="1"/>
    </xf>
    <xf numFmtId="0" fontId="159" fillId="43" borderId="66" xfId="4" applyFont="1" applyFill="1" applyBorder="1" applyAlignment="1" applyProtection="1">
      <alignment horizontal="center" wrapText="1"/>
      <protection hidden="1"/>
    </xf>
    <xf numFmtId="0" fontId="159" fillId="43" borderId="67" xfId="4" applyFont="1" applyFill="1" applyBorder="1" applyAlignment="1" applyProtection="1">
      <alignment horizontal="center" wrapText="1"/>
      <protection hidden="1"/>
    </xf>
    <xf numFmtId="0" fontId="159" fillId="43" borderId="68" xfId="4" applyFont="1" applyFill="1" applyBorder="1" applyAlignment="1" applyProtection="1">
      <alignment horizontal="center" wrapText="1"/>
      <protection hidden="1"/>
    </xf>
    <xf numFmtId="0" fontId="159" fillId="43" borderId="69" xfId="4" applyFont="1" applyFill="1" applyBorder="1" applyAlignment="1" applyProtection="1">
      <alignment horizontal="center" wrapText="1"/>
      <protection hidden="1"/>
    </xf>
    <xf numFmtId="0" fontId="3" fillId="0" borderId="0" xfId="0" applyFont="1" applyAlignment="1">
      <alignment horizontal="center"/>
    </xf>
    <xf numFmtId="0" fontId="3" fillId="6" borderId="0" xfId="0" applyFont="1" applyFill="1" applyAlignment="1">
      <alignment horizontal="center"/>
    </xf>
    <xf numFmtId="1" fontId="201" fillId="0" borderId="11" xfId="0" applyNumberFormat="1" applyFont="1" applyBorder="1" applyAlignment="1">
      <alignment horizontal="center" vertical="center" wrapText="1"/>
    </xf>
    <xf numFmtId="0" fontId="0" fillId="0" borderId="11" xfId="0" applyBorder="1" applyAlignment="1">
      <alignment horizontal="center" vertical="center"/>
    </xf>
    <xf numFmtId="0" fontId="77" fillId="3" borderId="0" xfId="0" applyFont="1" applyFill="1" applyAlignment="1" applyProtection="1">
      <alignment vertical="center" wrapText="1"/>
      <protection locked="0"/>
    </xf>
    <xf numFmtId="0" fontId="59" fillId="0" borderId="0" xfId="3" applyAlignment="1" applyProtection="1">
      <alignment horizontal="center" vertical="center"/>
    </xf>
    <xf numFmtId="0" fontId="164" fillId="0" borderId="0" xfId="0" applyFont="1" applyAlignment="1">
      <alignment horizontal="center" vertical="center" wrapText="1"/>
    </xf>
    <xf numFmtId="0" fontId="65" fillId="56" borderId="0" xfId="0" applyFont="1" applyFill="1" applyAlignment="1">
      <alignment horizontal="center" vertical="center" wrapText="1"/>
    </xf>
    <xf numFmtId="0" fontId="96" fillId="0" borderId="0" xfId="0" applyFont="1" applyAlignment="1">
      <alignment horizontal="center"/>
    </xf>
    <xf numFmtId="0" fontId="96" fillId="0" borderId="0" xfId="4" applyFont="1" applyAlignment="1" applyProtection="1">
      <alignment horizontal="center"/>
      <protection hidden="1"/>
    </xf>
    <xf numFmtId="14" fontId="202" fillId="0" borderId="0" xfId="0" applyNumberFormat="1" applyFont="1" applyAlignment="1" applyProtection="1">
      <alignment horizontal="left" vertical="center"/>
      <protection locked="0"/>
    </xf>
    <xf numFmtId="0" fontId="202" fillId="0" borderId="0" xfId="0" applyFont="1" applyAlignment="1" applyProtection="1">
      <alignment horizontal="left" vertical="center"/>
      <protection locked="0"/>
    </xf>
    <xf numFmtId="172" fontId="96" fillId="0" borderId="0" xfId="0" applyNumberFormat="1" applyFont="1" applyAlignment="1">
      <alignment horizontal="center" vertical="center"/>
    </xf>
    <xf numFmtId="0" fontId="63" fillId="3" borderId="0" xfId="7" applyFont="1" applyFill="1" applyAlignment="1" applyProtection="1">
      <alignment horizontal="left" vertical="top" wrapText="1"/>
      <protection locked="0"/>
    </xf>
    <xf numFmtId="0" fontId="63" fillId="30" borderId="42" xfId="7" applyFont="1" applyFill="1" applyBorder="1" applyAlignment="1">
      <alignment horizontal="center" textRotation="90" wrapText="1"/>
    </xf>
    <xf numFmtId="0" fontId="63" fillId="30" borderId="47" xfId="7" applyFont="1" applyFill="1" applyBorder="1" applyAlignment="1">
      <alignment horizontal="center" textRotation="90"/>
    </xf>
    <xf numFmtId="0" fontId="63" fillId="30" borderId="49" xfId="7" applyFont="1" applyFill="1" applyBorder="1" applyAlignment="1">
      <alignment horizontal="center" textRotation="90"/>
    </xf>
    <xf numFmtId="0" fontId="79" fillId="0" borderId="42" xfId="7" applyFont="1" applyBorder="1" applyAlignment="1">
      <alignment horizontal="right" textRotation="90" wrapText="1"/>
    </xf>
    <xf numFmtId="0" fontId="79" fillId="0" borderId="47" xfId="7" applyFont="1" applyBorder="1" applyAlignment="1">
      <alignment horizontal="right" textRotation="90"/>
    </xf>
    <xf numFmtId="0" fontId="79" fillId="0" borderId="49" xfId="7" applyFont="1" applyBorder="1" applyAlignment="1">
      <alignment horizontal="right" textRotation="90"/>
    </xf>
    <xf numFmtId="0" fontId="63" fillId="0" borderId="0" xfId="7" applyFont="1" applyBorder="1" applyAlignment="1">
      <alignment horizontal="center" vertical="center"/>
    </xf>
    <xf numFmtId="0" fontId="63" fillId="0" borderId="48" xfId="7" applyFont="1" applyBorder="1" applyAlignment="1">
      <alignment horizontal="center" vertical="center"/>
    </xf>
    <xf numFmtId="3" fontId="25" fillId="0" borderId="34" xfId="10" applyNumberFormat="1" applyFont="1" applyBorder="1" applyAlignment="1" applyProtection="1">
      <alignment horizontal="center" vertical="center"/>
    </xf>
    <xf numFmtId="3" fontId="25" fillId="0" borderId="3" xfId="10" applyNumberFormat="1" applyFont="1" applyBorder="1" applyAlignment="1" applyProtection="1">
      <alignment horizontal="center" vertical="center"/>
    </xf>
    <xf numFmtId="0" fontId="136" fillId="37" borderId="0" xfId="10" applyFont="1" applyFill="1" applyAlignment="1">
      <alignment vertical="center"/>
    </xf>
    <xf numFmtId="3" fontId="25" fillId="0" borderId="60" xfId="10" applyNumberFormat="1" applyFont="1" applyBorder="1" applyAlignment="1" applyProtection="1">
      <alignment horizontal="center" vertical="center"/>
    </xf>
    <xf numFmtId="3" fontId="25" fillId="0" borderId="59" xfId="10" applyNumberFormat="1" applyFont="1" applyBorder="1" applyAlignment="1" applyProtection="1">
      <alignment horizontal="center" vertical="center"/>
    </xf>
    <xf numFmtId="3" fontId="25" fillId="0" borderId="37" xfId="10" applyNumberFormat="1" applyFont="1" applyBorder="1" applyAlignment="1" applyProtection="1">
      <alignment horizontal="center" vertical="center"/>
    </xf>
    <xf numFmtId="3" fontId="25" fillId="0" borderId="55" xfId="10" applyNumberFormat="1" applyFont="1" applyBorder="1" applyAlignment="1" applyProtection="1">
      <alignment horizontal="center" vertical="center"/>
    </xf>
    <xf numFmtId="0" fontId="190" fillId="50" borderId="93" xfId="0" applyFont="1" applyFill="1" applyBorder="1" applyAlignment="1">
      <alignment horizontal="center" vertical="center"/>
    </xf>
    <xf numFmtId="0" fontId="190" fillId="50" borderId="48" xfId="0" applyFont="1" applyFill="1" applyBorder="1" applyAlignment="1">
      <alignment horizontal="center" vertical="center"/>
    </xf>
    <xf numFmtId="0" fontId="188" fillId="50" borderId="0" xfId="3" applyFont="1" applyFill="1" applyAlignment="1" applyProtection="1">
      <alignment horizontal="center" vertical="center"/>
    </xf>
    <xf numFmtId="0" fontId="169" fillId="0" borderId="73" xfId="12" applyFont="1" applyFill="1" applyBorder="1" applyAlignment="1">
      <alignment horizontal="center" vertical="center" wrapText="1"/>
    </xf>
    <xf numFmtId="0" fontId="169" fillId="0" borderId="0" xfId="12" applyFont="1" applyFill="1" applyBorder="1" applyAlignment="1">
      <alignment horizontal="center" vertical="center" wrapText="1"/>
    </xf>
    <xf numFmtId="0" fontId="78" fillId="49" borderId="138" xfId="13" applyFont="1" applyFill="1" applyBorder="1" applyAlignment="1">
      <alignment horizontal="center" vertical="center" textRotation="90" wrapText="1"/>
    </xf>
    <xf numFmtId="0" fontId="78" fillId="49" borderId="139" xfId="13" applyFont="1" applyFill="1" applyBorder="1" applyAlignment="1">
      <alignment horizontal="center" vertical="center" textRotation="90" wrapText="1"/>
    </xf>
    <xf numFmtId="0" fontId="73" fillId="3" borderId="76" xfId="13" applyFont="1" applyFill="1" applyBorder="1" applyAlignment="1" applyProtection="1">
      <alignment horizontal="center" vertical="top" wrapText="1"/>
      <protection locked="0"/>
    </xf>
    <xf numFmtId="0" fontId="73" fillId="3" borderId="11" xfId="13" applyFont="1" applyFill="1" applyBorder="1" applyAlignment="1" applyProtection="1">
      <alignment horizontal="center" vertical="top" wrapText="1"/>
      <protection locked="0"/>
    </xf>
    <xf numFmtId="0" fontId="73" fillId="3" borderId="29" xfId="13" applyFont="1" applyFill="1" applyBorder="1" applyAlignment="1" applyProtection="1">
      <alignment horizontal="center" vertical="top" wrapText="1"/>
      <protection locked="0"/>
    </xf>
    <xf numFmtId="0" fontId="73" fillId="3" borderId="73" xfId="13" applyFont="1" applyFill="1" applyBorder="1" applyAlignment="1" applyProtection="1">
      <alignment horizontal="center" vertical="top" wrapText="1"/>
      <protection locked="0"/>
    </xf>
    <xf numFmtId="0" fontId="73" fillId="3" borderId="0" xfId="13" applyFont="1" applyFill="1" applyBorder="1" applyAlignment="1" applyProtection="1">
      <alignment horizontal="center" vertical="top" wrapText="1"/>
      <protection locked="0"/>
    </xf>
    <xf numFmtId="0" fontId="73" fillId="3" borderId="12" xfId="13" applyFont="1" applyFill="1" applyBorder="1" applyAlignment="1" applyProtection="1">
      <alignment horizontal="center" vertical="top" wrapText="1"/>
      <protection locked="0"/>
    </xf>
    <xf numFmtId="0" fontId="73" fillId="3" borderId="93" xfId="13" applyFont="1" applyFill="1" applyBorder="1" applyAlignment="1" applyProtection="1">
      <alignment horizontal="center" vertical="top" wrapText="1"/>
      <protection locked="0"/>
    </xf>
    <xf numFmtId="0" fontId="73" fillId="3" borderId="48" xfId="13" applyFont="1" applyFill="1" applyBorder="1" applyAlignment="1" applyProtection="1">
      <alignment horizontal="center" vertical="top" wrapText="1"/>
      <protection locked="0"/>
    </xf>
    <xf numFmtId="0" fontId="73" fillId="3" borderId="94" xfId="13" applyFont="1" applyFill="1" applyBorder="1" applyAlignment="1" applyProtection="1">
      <alignment horizontal="center" vertical="top" wrapText="1"/>
      <protection locked="0"/>
    </xf>
    <xf numFmtId="0" fontId="78" fillId="49" borderId="96" xfId="13" applyFont="1" applyFill="1" applyBorder="1" applyAlignment="1">
      <alignment horizontal="center" vertical="center" textRotation="90" wrapText="1"/>
    </xf>
    <xf numFmtId="0" fontId="78" fillId="49" borderId="98" xfId="13" applyFont="1" applyFill="1" applyBorder="1" applyAlignment="1">
      <alignment horizontal="center" vertical="center" textRotation="90" wrapText="1"/>
    </xf>
    <xf numFmtId="0" fontId="78" fillId="48" borderId="95" xfId="13" applyFont="1" applyFill="1" applyBorder="1" applyAlignment="1">
      <alignment horizontal="center" vertical="center" textRotation="90" wrapText="1"/>
    </xf>
    <xf numFmtId="0" fontId="78" fillId="48" borderId="97" xfId="13" applyFont="1" applyFill="1" applyBorder="1" applyAlignment="1">
      <alignment horizontal="center" vertical="center" textRotation="90" wrapText="1"/>
    </xf>
    <xf numFmtId="0" fontId="78" fillId="48" borderId="96" xfId="13" applyFont="1" applyFill="1" applyBorder="1" applyAlignment="1">
      <alignment horizontal="center" vertical="center" textRotation="90" wrapText="1"/>
    </xf>
    <xf numFmtId="0" fontId="78" fillId="48" borderId="98" xfId="13" applyFont="1" applyFill="1" applyBorder="1" applyAlignment="1">
      <alignment horizontal="center" vertical="center" textRotation="90" wrapText="1"/>
    </xf>
    <xf numFmtId="0" fontId="78" fillId="49" borderId="95" xfId="13" applyFont="1" applyFill="1" applyBorder="1" applyAlignment="1">
      <alignment horizontal="center" vertical="center" textRotation="90" wrapText="1"/>
    </xf>
    <xf numFmtId="0" fontId="78" fillId="49" borderId="97" xfId="13" applyFont="1" applyFill="1" applyBorder="1" applyAlignment="1">
      <alignment horizontal="center" vertical="center" textRotation="90" wrapText="1"/>
    </xf>
    <xf numFmtId="0" fontId="74" fillId="0" borderId="109" xfId="13" applyFont="1" applyBorder="1" applyAlignment="1" applyProtection="1">
      <alignment horizontal="left" vertical="center" indent="1"/>
      <protection locked="0"/>
    </xf>
    <xf numFmtId="0" fontId="74" fillId="0" borderId="88" xfId="13" applyFont="1" applyBorder="1" applyAlignment="1" applyProtection="1">
      <alignment horizontal="left" vertical="center" indent="1"/>
      <protection locked="0"/>
    </xf>
    <xf numFmtId="0" fontId="74" fillId="0" borderId="110" xfId="13" applyFont="1" applyBorder="1" applyAlignment="1" applyProtection="1">
      <alignment horizontal="left" vertical="center" indent="1"/>
      <protection locked="0"/>
    </xf>
    <xf numFmtId="0" fontId="74" fillId="0" borderId="111" xfId="13" applyFont="1" applyBorder="1" applyAlignment="1" applyProtection="1">
      <alignment horizontal="left" vertical="center" indent="1"/>
      <protection locked="0"/>
    </xf>
    <xf numFmtId="0" fontId="63" fillId="3" borderId="76" xfId="13" applyFont="1" applyFill="1" applyBorder="1" applyAlignment="1" applyProtection="1">
      <alignment horizontal="left" vertical="top"/>
      <protection locked="0"/>
    </xf>
    <xf numFmtId="0" fontId="63" fillId="3" borderId="11" xfId="13" applyFont="1" applyFill="1" applyBorder="1" applyAlignment="1" applyProtection="1">
      <alignment horizontal="left" vertical="top"/>
      <protection locked="0"/>
    </xf>
    <xf numFmtId="0" fontId="63" fillId="3" borderId="29" xfId="13" applyFont="1" applyFill="1" applyBorder="1" applyAlignment="1" applyProtection="1">
      <alignment horizontal="left" vertical="top"/>
      <protection locked="0"/>
    </xf>
    <xf numFmtId="0" fontId="63" fillId="3" borderId="73" xfId="13" applyFont="1" applyFill="1" applyBorder="1" applyAlignment="1" applyProtection="1">
      <alignment horizontal="left" vertical="top"/>
      <protection locked="0"/>
    </xf>
    <xf numFmtId="0" fontId="63" fillId="3" borderId="0" xfId="13" applyFont="1" applyFill="1" applyBorder="1" applyAlignment="1" applyProtection="1">
      <alignment horizontal="left" vertical="top"/>
      <protection locked="0"/>
    </xf>
    <xf numFmtId="0" fontId="63" fillId="3" borderId="12" xfId="13" applyFont="1" applyFill="1" applyBorder="1" applyAlignment="1" applyProtection="1">
      <alignment horizontal="left" vertical="top"/>
      <protection locked="0"/>
    </xf>
    <xf numFmtId="0" fontId="63" fillId="3" borderId="93" xfId="13" applyFont="1" applyFill="1" applyBorder="1" applyAlignment="1" applyProtection="1">
      <alignment horizontal="left" vertical="top"/>
      <protection locked="0"/>
    </xf>
    <xf numFmtId="0" fontId="63" fillId="3" borderId="48" xfId="13" applyFont="1" applyFill="1" applyBorder="1" applyAlignment="1" applyProtection="1">
      <alignment horizontal="left" vertical="top"/>
      <protection locked="0"/>
    </xf>
    <xf numFmtId="0" fontId="63" fillId="3" borderId="94" xfId="13" applyFont="1" applyFill="1" applyBorder="1" applyAlignment="1" applyProtection="1">
      <alignment horizontal="left" vertical="top"/>
      <protection locked="0"/>
    </xf>
    <xf numFmtId="0" fontId="179" fillId="46" borderId="105" xfId="13" applyFont="1" applyFill="1" applyBorder="1" applyAlignment="1">
      <alignment horizontal="center" vertical="top" wrapText="1"/>
    </xf>
    <xf numFmtId="0" fontId="179" fillId="46" borderId="0" xfId="13" applyFont="1" applyFill="1" applyBorder="1" applyAlignment="1">
      <alignment horizontal="center" vertical="top"/>
    </xf>
    <xf numFmtId="0" fontId="74" fillId="0" borderId="108" xfId="13" applyFont="1" applyBorder="1" applyAlignment="1" applyProtection="1">
      <alignment horizontal="left" vertical="center" indent="1"/>
      <protection locked="0"/>
    </xf>
    <xf numFmtId="0" fontId="74" fillId="0" borderId="83" xfId="13" applyFont="1" applyBorder="1" applyAlignment="1" applyProtection="1">
      <alignment horizontal="left" vertical="center" indent="1"/>
      <protection locked="0"/>
    </xf>
    <xf numFmtId="0" fontId="191" fillId="46" borderId="0" xfId="13" applyFont="1" applyFill="1" applyBorder="1" applyAlignment="1">
      <alignment horizontal="left" vertical="center" wrapText="1"/>
    </xf>
    <xf numFmtId="0" fontId="191" fillId="46" borderId="0" xfId="13" applyFont="1" applyFill="1" applyBorder="1" applyAlignment="1">
      <alignment horizontal="left" vertical="center"/>
    </xf>
    <xf numFmtId="0" fontId="74" fillId="0" borderId="82" xfId="12" applyFont="1" applyBorder="1" applyAlignment="1" applyProtection="1">
      <alignment horizontal="left" vertical="center" indent="1"/>
      <protection locked="0"/>
    </xf>
    <xf numFmtId="0" fontId="74" fillId="0" borderId="83" xfId="12" applyFont="1" applyBorder="1" applyAlignment="1" applyProtection="1">
      <alignment horizontal="left" vertical="center" indent="1"/>
      <protection locked="0"/>
    </xf>
    <xf numFmtId="0" fontId="74" fillId="0" borderId="84" xfId="12" applyFont="1" applyBorder="1" applyAlignment="1" applyProtection="1">
      <alignment horizontal="left" vertical="center" indent="1"/>
      <protection locked="0"/>
    </xf>
    <xf numFmtId="0" fontId="74" fillId="0" borderId="87" xfId="12" applyFont="1" applyBorder="1" applyAlignment="1" applyProtection="1">
      <alignment horizontal="left" vertical="center" indent="1"/>
      <protection locked="0"/>
    </xf>
    <xf numFmtId="0" fontId="74" fillId="0" borderId="88" xfId="12" applyFont="1" applyBorder="1" applyAlignment="1" applyProtection="1">
      <alignment horizontal="left" vertical="center" indent="1"/>
      <protection locked="0"/>
    </xf>
    <xf numFmtId="0" fontId="74" fillId="0" borderId="89" xfId="12" applyFont="1" applyBorder="1" applyAlignment="1" applyProtection="1">
      <alignment horizontal="left" vertical="center" indent="1"/>
      <protection locked="0"/>
    </xf>
    <xf numFmtId="0" fontId="194" fillId="46" borderId="0" xfId="13" applyFont="1" applyFill="1" applyBorder="1" applyAlignment="1">
      <alignment horizontal="left" vertical="center" wrapText="1"/>
    </xf>
  </cellXfs>
  <cellStyles count="15">
    <cellStyle name="Link" xfId="3" builtinId="8"/>
    <cellStyle name="Prozent" xfId="8" builtinId="5"/>
    <cellStyle name="Standard" xfId="0" builtinId="0"/>
    <cellStyle name="Standard 2" xfId="1"/>
    <cellStyle name="Standard 2 2" xfId="9"/>
    <cellStyle name="Standard 2 2 2" xfId="10"/>
    <cellStyle name="Standard 3" xfId="7"/>
    <cellStyle name="Standard 6" xfId="14"/>
    <cellStyle name="Standard__2006_H" xfId="2"/>
    <cellStyle name="Standard__2006_Vg" xfId="11"/>
    <cellStyle name="Standard_2007_Vk" xfId="4"/>
    <cellStyle name="Standard_Bed_V" xfId="13"/>
    <cellStyle name="Standard_h1E_ohne'BN" xfId="6"/>
    <cellStyle name="Standard_neu" xfId="5"/>
    <cellStyle name="Standard_Seit 2+" xfId="12"/>
  </cellStyles>
  <dxfs count="127">
    <dxf>
      <font>
        <color rgb="FF9C0006"/>
      </font>
      <fill>
        <patternFill>
          <bgColor rgb="FFFFC7CE"/>
        </patternFill>
      </fill>
    </dxf>
    <dxf>
      <font>
        <color rgb="FF9C0006"/>
      </font>
      <fill>
        <patternFill>
          <bgColor rgb="FFFFC7CE"/>
        </patternFill>
      </fill>
    </dxf>
    <dxf>
      <fill>
        <gradientFill>
          <stop position="0">
            <color rgb="FF9E0B0E"/>
          </stop>
          <stop position="1">
            <color rgb="FFFF0000"/>
          </stop>
        </gradientFill>
      </fill>
      <border>
        <left style="hair">
          <color auto="1"/>
        </left>
        <right style="hair">
          <color auto="1"/>
        </right>
        <bottom style="hair">
          <color auto="1"/>
        </bottom>
      </border>
    </dxf>
    <dxf>
      <fill>
        <patternFill>
          <bgColor rgb="FFFF66CC"/>
        </patternFill>
      </fill>
    </dxf>
    <dxf>
      <fill>
        <patternFill>
          <bgColor indexed="14"/>
        </patternFill>
      </fill>
    </dxf>
    <dxf>
      <fill>
        <patternFill>
          <bgColor theme="3" tint="0.79998168889431442"/>
        </patternFill>
      </fill>
    </dxf>
    <dxf>
      <fill>
        <patternFill>
          <bgColor theme="0"/>
        </patternFill>
      </fill>
      <border>
        <left/>
        <right/>
        <bottom/>
        <vertical/>
        <horizontal/>
      </border>
    </dxf>
    <dxf>
      <fill>
        <patternFill patternType="solid">
          <fgColor rgb="FFFFFFCC"/>
          <bgColor rgb="FFFF99FF"/>
        </patternFill>
      </fill>
    </dxf>
    <dxf>
      <fill>
        <patternFill>
          <bgColor theme="9" tint="0.59996337778862885"/>
        </patternFill>
      </fill>
    </dxf>
    <dxf>
      <fill>
        <patternFill>
          <bgColor theme="0"/>
        </patternFill>
      </fill>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fill>
        <patternFill patternType="mediumGray">
          <fgColor indexed="10"/>
          <bgColor indexed="65"/>
        </patternFill>
      </fill>
    </dxf>
    <dxf>
      <fill>
        <patternFill patternType="darkUp">
          <fgColor rgb="FFFFC000"/>
        </patternFill>
      </fill>
    </dxf>
    <dxf>
      <fill>
        <gradientFill>
          <stop position="0">
            <color theme="0"/>
          </stop>
          <stop position="1">
            <color rgb="FF66FFCC"/>
          </stop>
        </gradientFill>
      </fill>
      <border>
        <bottom style="hair">
          <color auto="1"/>
        </bottom>
      </border>
    </dxf>
    <dxf>
      <fill>
        <patternFill>
          <bgColor indexed="10"/>
        </patternFill>
      </fill>
    </dxf>
    <dxf>
      <fill>
        <patternFill>
          <bgColor rgb="FF66FFCC"/>
        </patternFill>
      </fill>
      <border>
        <left/>
        <right style="hair">
          <color auto="1"/>
        </right>
        <bottom style="hair">
          <color auto="1"/>
        </bottom>
        <vertical/>
        <horizontal/>
      </border>
    </dxf>
    <dxf>
      <font>
        <name val="Cambria"/>
        <scheme val="none"/>
      </font>
      <fill>
        <patternFill patternType="gray0625"/>
      </fill>
      <border>
        <left style="thin">
          <color indexed="64"/>
        </left>
        <right style="thin">
          <color indexed="64"/>
        </right>
        <top style="thin">
          <color indexed="64"/>
        </top>
        <bottom style="thin">
          <color indexed="64"/>
        </bottom>
      </border>
    </dxf>
    <dxf>
      <fill>
        <gradientFill>
          <stop position="0">
            <color theme="0"/>
          </stop>
          <stop position="1">
            <color rgb="FF66FFCC"/>
          </stop>
        </gradientFill>
      </fill>
      <border>
        <bottom style="hair">
          <color auto="1"/>
        </bottom>
      </border>
    </dxf>
    <dxf>
      <fill>
        <patternFill patternType="mediumGray">
          <fgColor indexed="10"/>
          <bgColor indexed="65"/>
        </patternFill>
      </fill>
    </dxf>
    <dxf>
      <fill>
        <patternFill patternType="darkUp">
          <fgColor rgb="FFFFC000"/>
        </patternFill>
      </fill>
    </dxf>
    <dxf>
      <fill>
        <patternFill patternType="solid">
          <fgColor indexed="64"/>
          <bgColor indexed="26"/>
        </patternFill>
      </fill>
    </dxf>
    <dxf>
      <fill>
        <patternFill patternType="mediumGray">
          <fgColor indexed="10"/>
          <bgColor indexed="65"/>
        </patternFill>
      </fill>
    </dxf>
    <dxf>
      <fill>
        <patternFill patternType="darkUp">
          <fgColor rgb="FFFFC000"/>
        </patternFill>
      </fill>
    </dxf>
    <dxf>
      <fill>
        <patternFill>
          <bgColor theme="9" tint="0.39994506668294322"/>
        </patternFill>
      </fill>
    </dxf>
    <dxf>
      <fill>
        <patternFill>
          <bgColor rgb="FFFF0000"/>
        </patternFill>
      </fill>
    </dxf>
    <dxf>
      <fill>
        <patternFill>
          <bgColor rgb="FF66FFCC"/>
        </patternFill>
      </fill>
      <border>
        <left/>
        <right style="hair">
          <color auto="1"/>
        </right>
        <bottom style="hair">
          <color auto="1"/>
        </bottom>
        <vertical/>
        <horizontal/>
      </border>
    </dxf>
    <dxf>
      <font>
        <name val="Cambria"/>
        <scheme val="none"/>
      </font>
      <fill>
        <patternFill patternType="gray0625"/>
      </fill>
      <border>
        <left style="thin">
          <color indexed="64"/>
        </left>
        <right style="thin">
          <color indexed="64"/>
        </right>
        <top style="thin">
          <color indexed="64"/>
        </top>
        <bottom style="thin">
          <color indexed="64"/>
        </bottom>
      </border>
    </dxf>
    <dxf>
      <fill>
        <gradientFill>
          <stop position="0">
            <color theme="0"/>
          </stop>
          <stop position="1">
            <color rgb="FF66FFCC"/>
          </stop>
        </gradientFill>
      </fill>
      <border>
        <bottom style="hair">
          <color auto="1"/>
        </bottom>
      </border>
    </dxf>
    <dxf>
      <fill>
        <patternFill patternType="mediumGray">
          <fgColor indexed="10"/>
          <bgColor indexed="65"/>
        </patternFill>
      </fill>
    </dxf>
    <dxf>
      <fill>
        <patternFill patternType="darkUp">
          <fgColor rgb="FFFFC000"/>
        </patternFill>
      </fill>
    </dxf>
    <dxf>
      <fill>
        <patternFill patternType="solid">
          <fgColor indexed="64"/>
          <bgColor indexed="26"/>
        </patternFill>
      </fill>
    </dxf>
    <dxf>
      <fill>
        <patternFill patternType="mediumGray">
          <fgColor indexed="10"/>
          <bgColor indexed="65"/>
        </patternFill>
      </fill>
    </dxf>
    <dxf>
      <fill>
        <patternFill patternType="darkUp">
          <fgColor rgb="FFFFC000"/>
        </patternFill>
      </fill>
    </dxf>
    <dxf>
      <fill>
        <patternFill>
          <bgColor rgb="FF66FFCC"/>
        </patternFill>
      </fill>
      <border>
        <left style="hair">
          <color indexed="64"/>
        </left>
        <right style="hair">
          <color indexed="64"/>
        </right>
        <top style="hair">
          <color indexed="64"/>
        </top>
        <bottom style="hair">
          <color indexed="64"/>
        </bottom>
      </border>
    </dxf>
    <dxf>
      <fill>
        <patternFill>
          <bgColor rgb="FF66FFCC"/>
        </patternFill>
      </fill>
      <border>
        <left/>
        <right style="hair">
          <color auto="1"/>
        </right>
        <bottom style="hair">
          <color auto="1"/>
        </bottom>
        <vertical/>
        <horizontal/>
      </border>
    </dxf>
    <dxf>
      <font>
        <name val="Cambria"/>
        <scheme val="none"/>
      </font>
      <fill>
        <patternFill patternType="gray0625"/>
      </fill>
      <border>
        <left style="thin">
          <color indexed="64"/>
        </left>
        <right style="thin">
          <color indexed="64"/>
        </right>
        <top style="thin">
          <color indexed="64"/>
        </top>
        <bottom style="thin">
          <color indexed="64"/>
        </bottom>
      </border>
    </dxf>
    <dxf>
      <fill>
        <patternFill>
          <bgColor rgb="FF1AFFFF"/>
        </patternFill>
      </fill>
    </dxf>
    <dxf>
      <fill>
        <patternFill patternType="mediumGray">
          <fgColor indexed="10"/>
          <bgColor indexed="65"/>
        </patternFill>
      </fill>
    </dxf>
    <dxf>
      <fill>
        <patternFill patternType="darkUp">
          <fgColor rgb="FFFFC000"/>
        </patternFill>
      </fill>
    </dxf>
    <dxf>
      <fill>
        <gradientFill>
          <stop position="0">
            <color theme="0"/>
          </stop>
          <stop position="1">
            <color rgb="FF66FFCC"/>
          </stop>
        </gradientFill>
      </fill>
      <border>
        <bottom style="hair">
          <color auto="1"/>
        </bottom>
      </border>
    </dxf>
    <dxf>
      <fill>
        <patternFill patternType="mediumGray">
          <fgColor indexed="10"/>
          <bgColor indexed="65"/>
        </patternFill>
      </fill>
    </dxf>
    <dxf>
      <fill>
        <patternFill patternType="darkUp">
          <fgColor rgb="FFFFC000"/>
        </patternFill>
      </fill>
    </dxf>
    <dxf>
      <fill>
        <patternFill patternType="solid">
          <fgColor indexed="64"/>
          <bgColor indexed="26"/>
        </patternFill>
      </fill>
    </dxf>
    <dxf>
      <fill>
        <patternFill patternType="mediumGray">
          <fgColor indexed="10"/>
          <bgColor indexed="65"/>
        </patternFill>
      </fill>
    </dxf>
    <dxf>
      <fill>
        <patternFill patternType="darkUp">
          <fgColor rgb="FFFFC000"/>
        </patternFill>
      </fill>
    </dxf>
    <dxf>
      <fill>
        <patternFill>
          <bgColor rgb="FFFF8181"/>
        </patternFill>
      </fill>
    </dxf>
    <dxf>
      <fill>
        <patternFill>
          <bgColor rgb="FF66FFCC"/>
        </patternFill>
      </fill>
      <border>
        <left/>
        <right style="hair">
          <color auto="1"/>
        </right>
        <bottom style="hair">
          <color auto="1"/>
        </bottom>
        <vertical/>
        <horizontal/>
      </border>
    </dxf>
    <dxf>
      <font>
        <name val="Cambria"/>
        <scheme val="none"/>
      </font>
      <fill>
        <patternFill patternType="gray0625"/>
      </fill>
      <border>
        <left style="thin">
          <color indexed="64"/>
        </left>
        <right style="thin">
          <color indexed="64"/>
        </right>
        <top style="thin">
          <color indexed="64"/>
        </top>
        <bottom style="thin">
          <color indexed="64"/>
        </bottom>
      </border>
    </dxf>
    <dxf>
      <fill>
        <gradientFill>
          <stop position="0">
            <color theme="0"/>
          </stop>
          <stop position="1">
            <color rgb="FF66FFCC"/>
          </stop>
        </gradientFill>
      </fill>
      <border>
        <bottom style="hair">
          <color auto="1"/>
        </bottom>
      </border>
    </dxf>
    <dxf>
      <fill>
        <patternFill patternType="mediumGray">
          <fgColor indexed="10"/>
          <bgColor indexed="65"/>
        </patternFill>
      </fill>
    </dxf>
    <dxf>
      <fill>
        <patternFill patternType="darkUp">
          <fgColor rgb="FFFFC000"/>
        </patternFill>
      </fill>
    </dxf>
    <dxf>
      <fill>
        <patternFill patternType="solid">
          <fgColor indexed="64"/>
          <bgColor indexed="26"/>
        </patternFill>
      </fill>
    </dxf>
    <dxf>
      <fill>
        <patternFill patternType="mediumGray">
          <fgColor indexed="10"/>
          <bgColor indexed="65"/>
        </patternFill>
      </fill>
    </dxf>
    <dxf>
      <fill>
        <patternFill patternType="darkUp">
          <fgColor rgb="FFFFC000"/>
        </patternFill>
      </fill>
    </dxf>
    <dxf>
      <font>
        <name val="Cambria"/>
        <scheme val="none"/>
      </font>
      <fill>
        <patternFill patternType="gray0625"/>
      </fill>
      <border>
        <left style="thin">
          <color indexed="64"/>
        </left>
        <right style="thin">
          <color indexed="64"/>
        </right>
        <top style="thin">
          <color indexed="64"/>
        </top>
        <bottom style="thin">
          <color indexed="64"/>
        </bottom>
      </border>
    </dxf>
    <dxf>
      <fill>
        <patternFill>
          <bgColor rgb="FF66FFCC"/>
        </patternFill>
      </fill>
      <border>
        <left/>
        <right style="hair">
          <color auto="1"/>
        </right>
        <bottom style="hair">
          <color auto="1"/>
        </bottom>
        <vertical/>
        <horizontal/>
      </border>
    </dxf>
    <dxf>
      <font>
        <name val="Cambria"/>
        <scheme val="none"/>
      </font>
      <fill>
        <patternFill patternType="gray0625"/>
      </fill>
      <border>
        <left style="thin">
          <color indexed="64"/>
        </left>
        <right style="thin">
          <color indexed="64"/>
        </right>
        <top style="thin">
          <color indexed="64"/>
        </top>
        <bottom style="thin">
          <color indexed="64"/>
        </bottom>
      </border>
    </dxf>
    <dxf>
      <fill>
        <patternFill patternType="solid">
          <fgColor indexed="64"/>
          <bgColor indexed="26"/>
        </patternFill>
      </fill>
    </dxf>
    <dxf>
      <fill>
        <patternFill patternType="mediumGray">
          <fgColor indexed="10"/>
          <bgColor indexed="65"/>
        </patternFill>
      </fill>
    </dxf>
    <dxf>
      <fill>
        <patternFill patternType="darkUp">
          <fgColor rgb="FFFFC000"/>
        </patternFill>
      </fill>
    </dxf>
    <dxf>
      <font>
        <color theme="1"/>
      </font>
      <fill>
        <patternFill patternType="solid">
          <fgColor rgb="FFFFFFFF"/>
          <bgColor rgb="FFFF8181"/>
        </patternFill>
      </fill>
    </dxf>
    <dxf>
      <fill>
        <patternFill>
          <bgColor rgb="FFCCFFFF"/>
        </patternFill>
      </fill>
      <border>
        <left style="thin">
          <color indexed="64"/>
        </left>
        <right style="thin">
          <color indexed="64"/>
        </right>
        <top style="thin">
          <color indexed="64"/>
        </top>
        <bottom style="thin">
          <color indexed="64"/>
        </bottom>
      </border>
    </dxf>
    <dxf>
      <fill>
        <patternFill patternType="lightGray">
          <fgColor theme="0"/>
          <bgColor rgb="FFFFC000"/>
        </patternFill>
      </fill>
      <border>
        <left style="thin">
          <color auto="1"/>
        </left>
        <right style="thin">
          <color auto="1"/>
        </right>
        <top style="thin">
          <color auto="1"/>
        </top>
        <bottom style="thin">
          <color auto="1"/>
        </bottom>
      </border>
    </dxf>
    <dxf>
      <fill>
        <patternFill>
          <bgColor rgb="FFCCFFFF"/>
        </patternFill>
      </fill>
      <border>
        <left style="thin">
          <color indexed="64"/>
        </left>
        <right style="thin">
          <color indexed="64"/>
        </right>
        <top style="thin">
          <color indexed="64"/>
        </top>
        <bottom style="thin">
          <color indexed="64"/>
        </bottom>
      </border>
    </dxf>
    <dxf>
      <fill>
        <gradientFill>
          <stop position="0">
            <color rgb="FF9E0B0E"/>
          </stop>
          <stop position="1">
            <color rgb="FFFF0000"/>
          </stop>
        </gradientFill>
      </fill>
      <border>
        <left style="hair">
          <color auto="1"/>
        </left>
        <right style="hair">
          <color auto="1"/>
        </right>
        <bottom style="hair">
          <color auto="1"/>
        </bottom>
      </border>
    </dxf>
    <dxf>
      <fill>
        <patternFill>
          <bgColor rgb="FFFF0000"/>
        </patternFill>
      </fill>
    </dxf>
    <dxf>
      <fill>
        <patternFill>
          <bgColor indexed="26"/>
        </patternFill>
      </fill>
    </dxf>
    <dxf>
      <font>
        <color theme="5" tint="0.39994506668294322"/>
      </font>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fill>
        <patternFill>
          <bgColor rgb="FFFF99FF"/>
        </patternFill>
      </fill>
    </dxf>
    <dxf>
      <border>
        <left style="thin">
          <color auto="1"/>
        </left>
        <right style="thin">
          <color auto="1"/>
        </right>
        <top style="thin">
          <color auto="1"/>
        </top>
        <bottom style="thin">
          <color auto="1"/>
        </bottom>
        <vertical/>
        <horizontal/>
      </border>
    </dxf>
    <dxf>
      <fill>
        <patternFill>
          <bgColor rgb="FFFF99FF"/>
        </patternFill>
      </fill>
      <border>
        <left style="hair">
          <color auto="1"/>
        </left>
        <right style="hair">
          <color auto="1"/>
        </right>
        <top style="hair">
          <color auto="1"/>
        </top>
        <bottom style="hair">
          <color auto="1"/>
        </bottom>
      </border>
    </dxf>
    <dxf>
      <fill>
        <patternFill>
          <bgColor rgb="FFFF99FF"/>
        </patternFill>
      </fill>
    </dxf>
    <dxf>
      <fill>
        <patternFill>
          <bgColor rgb="FFFFFF00"/>
        </patternFill>
      </fill>
    </dxf>
    <dxf>
      <border>
        <left style="dashed">
          <color auto="1"/>
        </left>
        <right style="dashed">
          <color auto="1"/>
        </right>
        <top style="dashed">
          <color auto="1"/>
        </top>
        <bottom style="dashed">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color theme="0" tint="-0.24994659260841701"/>
      </font>
    </dxf>
    <dxf>
      <font>
        <color theme="5" tint="0.39994506668294322"/>
      </font>
    </dxf>
    <dxf>
      <border>
        <left style="hair">
          <color auto="1"/>
        </left>
        <right style="hair">
          <color auto="1"/>
        </right>
        <top/>
        <bottom style="hair">
          <color auto="1"/>
        </bottom>
        <vertical/>
        <horizontal/>
      </border>
    </dxf>
    <dxf>
      <fill>
        <patternFill>
          <bgColor rgb="FF66FFCC"/>
        </patternFill>
      </fill>
    </dxf>
    <dxf>
      <fill>
        <patternFill>
          <bgColor theme="5" tint="0.59996337778862885"/>
        </patternFill>
      </fill>
      <border>
        <left style="hair">
          <color indexed="64"/>
        </left>
        <right style="hair">
          <color indexed="64"/>
        </right>
        <top style="hair">
          <color indexed="64"/>
        </top>
        <bottom style="hair">
          <color indexed="64"/>
        </bottom>
      </border>
    </dxf>
    <dxf>
      <fill>
        <patternFill>
          <bgColor theme="5" tint="0.59996337778862885"/>
        </patternFill>
      </fill>
      <border>
        <left style="hair">
          <color indexed="64"/>
        </left>
        <right style="hair">
          <color indexed="64"/>
        </right>
        <top style="hair">
          <color indexed="64"/>
        </top>
        <bottom style="hair">
          <color indexed="64"/>
        </bottom>
      </border>
    </dxf>
    <dxf>
      <fill>
        <patternFill>
          <bgColor theme="5" tint="0.59996337778862885"/>
        </patternFill>
      </fill>
      <border>
        <left style="hair">
          <color indexed="64"/>
        </left>
        <right style="hair">
          <color indexed="64"/>
        </right>
        <top style="hair">
          <color indexed="64"/>
        </top>
        <bottom style="hair">
          <color indexed="64"/>
        </bottom>
      </border>
    </dxf>
    <dxf>
      <fill>
        <patternFill>
          <bgColor rgb="FF66FFCC"/>
        </patternFill>
      </fill>
      <border>
        <left style="hair">
          <color auto="1"/>
        </left>
        <right style="hair">
          <color auto="1"/>
        </right>
        <top style="hair">
          <color auto="1"/>
        </top>
        <bottom style="hair">
          <color auto="1"/>
        </bottom>
        <vertical/>
        <horizontal/>
      </border>
    </dxf>
    <dxf>
      <fill>
        <patternFill>
          <bgColor theme="5" tint="0.59996337778862885"/>
        </patternFill>
      </fill>
      <border>
        <left style="hair">
          <color indexed="64"/>
        </left>
        <right style="hair">
          <color indexed="64"/>
        </right>
        <top style="hair">
          <color indexed="64"/>
        </top>
        <bottom style="hair">
          <color indexed="64"/>
        </bottom>
      </border>
    </dxf>
    <dxf>
      <fill>
        <patternFill>
          <bgColor theme="5" tint="0.59996337778862885"/>
        </patternFill>
      </fill>
      <border>
        <left style="hair">
          <color indexed="64"/>
        </left>
        <right style="hair">
          <color indexed="64"/>
        </right>
        <top style="hair">
          <color indexed="64"/>
        </top>
        <bottom style="hair">
          <color indexed="64"/>
        </bottom>
      </border>
    </dxf>
    <dxf>
      <fill>
        <patternFill>
          <bgColor theme="5" tint="0.59996337778862885"/>
        </patternFill>
      </fill>
      <border>
        <left style="hair">
          <color indexed="64"/>
        </left>
        <right style="hair">
          <color indexed="64"/>
        </right>
        <top style="hair">
          <color indexed="64"/>
        </top>
        <bottom style="hair">
          <color indexed="64"/>
        </bottom>
      </border>
    </dxf>
    <dxf>
      <fill>
        <patternFill>
          <bgColor rgb="FF66FFCC"/>
        </patternFill>
      </fill>
      <border>
        <left style="hair">
          <color auto="1"/>
        </left>
        <right style="hair">
          <color auto="1"/>
        </right>
        <top style="hair">
          <color auto="1"/>
        </top>
        <bottom style="hair">
          <color auto="1"/>
        </bottom>
      </border>
    </dxf>
    <dxf>
      <fill>
        <patternFill>
          <bgColor rgb="FF66FFCC"/>
        </patternFill>
      </fill>
    </dxf>
    <dxf>
      <font>
        <color theme="5" tint="0.39994506668294322"/>
      </font>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patternType="none">
          <bgColor indexed="65"/>
        </patternFill>
      </fill>
    </dxf>
    <dxf>
      <font>
        <color auto="1"/>
      </font>
      <fill>
        <patternFill>
          <bgColor rgb="FF00FFCC"/>
        </patternFill>
      </fill>
    </dxf>
    <dxf>
      <font>
        <color theme="0" tint="-0.34998626667073579"/>
      </font>
    </dxf>
    <dxf>
      <fill>
        <patternFill>
          <bgColor rgb="FF00FFCC"/>
        </patternFill>
      </fill>
    </dxf>
    <dxf>
      <border>
        <left style="thin">
          <color auto="1"/>
        </left>
        <right style="thin">
          <color auto="1"/>
        </right>
        <top style="thin">
          <color auto="1"/>
        </top>
        <bottom style="thin">
          <color auto="1"/>
        </bottom>
        <vertical/>
        <horizontal/>
      </border>
    </dxf>
    <dxf>
      <fill>
        <patternFill>
          <bgColor rgb="FFFFFF00"/>
        </patternFill>
      </fill>
    </dxf>
    <dxf>
      <fill>
        <patternFill>
          <bgColor rgb="FF65D7FF"/>
        </patternFill>
      </fill>
      <border>
        <left style="thin">
          <color auto="1"/>
        </left>
        <right style="thin">
          <color auto="1"/>
        </right>
        <top/>
        <bottom style="thin">
          <color auto="1"/>
        </bottom>
      </border>
    </dxf>
  </dxfs>
  <tableStyles count="0" defaultTableStyle="TableStyleMedium2" defaultPivotStyle="PivotStyleLight16"/>
  <colors>
    <mruColors>
      <color rgb="FFDDFFF4"/>
      <color rgb="FFFFF2CC"/>
      <color rgb="FF9E000E"/>
      <color rgb="FFFF0000"/>
      <color rgb="FFEFF9FF"/>
      <color rgb="FFE6B4CD"/>
      <color rgb="FF9E0529"/>
      <color rgb="FFCDACE6"/>
      <color rgb="FFB889D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314325</xdr:colOff>
      <xdr:row>86</xdr:row>
      <xdr:rowOff>153058</xdr:rowOff>
    </xdr:to>
    <xdr:sp macro="" textlink="">
      <xdr:nvSpPr>
        <xdr:cNvPr id="5" name="Textfeld 4"/>
        <xdr:cNvSpPr txBox="1"/>
      </xdr:nvSpPr>
      <xdr:spPr>
        <a:xfrm>
          <a:off x="0" y="0"/>
          <a:ext cx="8924925" cy="165360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AT" sz="2000" b="1">
            <a:solidFill>
              <a:schemeClr val="dk1"/>
            </a:solidFill>
            <a:effectLst/>
            <a:latin typeface="+mn-lt"/>
            <a:ea typeface="+mn-ea"/>
            <a:cs typeface="+mn-cs"/>
          </a:endParaRPr>
        </a:p>
        <a:p>
          <a:r>
            <a:rPr lang="de-AT" sz="2000" b="1">
              <a:solidFill>
                <a:schemeClr val="dk1"/>
              </a:solidFill>
              <a:effectLst/>
              <a:latin typeface="+mn-lt"/>
              <a:ea typeface="+mn-ea"/>
              <a:cs typeface="+mn-cs"/>
            </a:rPr>
            <a:t>Informationen und Begriffsbestimmungen</a:t>
          </a:r>
        </a:p>
        <a:p>
          <a:r>
            <a:rPr lang="de-AT" sz="1400">
              <a:solidFill>
                <a:schemeClr val="dk1"/>
              </a:solidFill>
              <a:effectLst/>
              <a:latin typeface="+mn-lt"/>
              <a:ea typeface="+mn-ea"/>
              <a:cs typeface="+mn-cs"/>
            </a:rPr>
            <a:t> </a:t>
          </a:r>
        </a:p>
        <a:p>
          <a:r>
            <a:rPr lang="de-AT" sz="1400">
              <a:solidFill>
                <a:schemeClr val="dk1"/>
              </a:solidFill>
              <a:effectLst/>
              <a:latin typeface="+mn-lt"/>
              <a:ea typeface="+mn-ea"/>
              <a:cs typeface="+mn-cs"/>
            </a:rPr>
            <a:t>Hier in diesem Tabellenblatt sind die maßgeblichen Kriterien und Faktoren zusammengefasst.</a:t>
          </a:r>
          <a:br>
            <a:rPr lang="de-AT" sz="1400">
              <a:solidFill>
                <a:schemeClr val="dk1"/>
              </a:solidFill>
              <a:effectLst/>
              <a:latin typeface="+mn-lt"/>
              <a:ea typeface="+mn-ea"/>
              <a:cs typeface="+mn-cs"/>
            </a:rPr>
          </a:br>
          <a:r>
            <a:rPr lang="de-AT" sz="1400">
              <a:solidFill>
                <a:schemeClr val="dk1"/>
              </a:solidFill>
              <a:effectLst/>
              <a:latin typeface="+mn-lt"/>
              <a:ea typeface="+mn-ea"/>
              <a:cs typeface="+mn-cs"/>
            </a:rPr>
            <a:t>Das nächstfolgende Tabellenblatt dieser Mappe ist für die konkreten Berechnungen vorgesehen, </a:t>
          </a:r>
          <a:br>
            <a:rPr lang="de-AT" sz="1400">
              <a:solidFill>
                <a:schemeClr val="dk1"/>
              </a:solidFill>
              <a:effectLst/>
              <a:latin typeface="+mn-lt"/>
              <a:ea typeface="+mn-ea"/>
              <a:cs typeface="+mn-cs"/>
            </a:rPr>
          </a:br>
          <a:r>
            <a:rPr lang="de-AT" sz="1400">
              <a:solidFill>
                <a:schemeClr val="dk1"/>
              </a:solidFill>
              <a:effectLst/>
              <a:latin typeface="+mn-lt"/>
              <a:ea typeface="+mn-ea"/>
              <a:cs typeface="+mn-cs"/>
            </a:rPr>
            <a:t>wobei gegebenenfalls ergänzende Einträge in den weiteren Blättern &lt;Assistenz&gt; und &lt;GTS&gt; vorzunehmen sind. </a:t>
          </a:r>
        </a:p>
        <a:p>
          <a:r>
            <a:rPr lang="de-AT" sz="1400">
              <a:solidFill>
                <a:schemeClr val="dk1"/>
              </a:solidFill>
              <a:effectLst/>
              <a:latin typeface="+mn-lt"/>
              <a:ea typeface="+mn-ea"/>
              <a:cs typeface="+mn-cs"/>
            </a:rPr>
            <a:t> </a:t>
          </a:r>
        </a:p>
        <a:p>
          <a:r>
            <a:rPr lang="de-AT" sz="1400" b="1">
              <a:solidFill>
                <a:schemeClr val="dk1"/>
              </a:solidFill>
              <a:effectLst/>
              <a:latin typeface="+mn-lt"/>
              <a:ea typeface="+mn-ea"/>
              <a:cs typeface="+mn-cs"/>
            </a:rPr>
            <a:t>Kopfquote:</a:t>
          </a:r>
        </a:p>
        <a:p>
          <a:r>
            <a:rPr lang="de-AT" sz="1400">
              <a:solidFill>
                <a:schemeClr val="dk1"/>
              </a:solidFill>
              <a:effectLst/>
              <a:latin typeface="+mn-lt"/>
              <a:ea typeface="+mn-ea"/>
              <a:cs typeface="+mn-cs"/>
            </a:rPr>
            <a:t>Für die Berechnung der Stundenkontingente wurde eine Pro-Kopfquote eingeführt. </a:t>
          </a:r>
        </a:p>
        <a:p>
          <a:r>
            <a:rPr lang="de-AT" sz="1400">
              <a:solidFill>
                <a:schemeClr val="dk1"/>
              </a:solidFill>
              <a:effectLst/>
              <a:latin typeface="+mn-lt"/>
              <a:ea typeface="+mn-ea"/>
              <a:cs typeface="+mn-cs"/>
            </a:rPr>
            <a:t> </a:t>
          </a:r>
        </a:p>
        <a:p>
          <a:r>
            <a:rPr lang="de-AT" sz="1400" b="1">
              <a:solidFill>
                <a:schemeClr val="dk1"/>
              </a:solidFill>
              <a:effectLst/>
              <a:latin typeface="+mn-lt"/>
              <a:ea typeface="+mn-ea"/>
              <a:cs typeface="+mn-cs"/>
            </a:rPr>
            <a:t>Klassenzahl: </a:t>
          </a:r>
        </a:p>
        <a:p>
          <a:r>
            <a:rPr lang="de-AT" sz="1400">
              <a:solidFill>
                <a:schemeClr val="dk1"/>
              </a:solidFill>
              <a:effectLst/>
              <a:latin typeface="+mn-lt"/>
              <a:ea typeface="+mn-ea"/>
              <a:cs typeface="+mn-cs"/>
            </a:rPr>
            <a:t>Die Anzahl der Klassen ist nicht mehr unmittelbarer Auslöser für die Zuweisung von Kontingenten an die Schule und spielt (nach Einführung der Stundenressourcen über eine Kopfquote) nur mehr in Spezialfällen eine Rolle. </a:t>
          </a:r>
        </a:p>
        <a:p>
          <a:r>
            <a:rPr lang="de-AT" sz="1400">
              <a:solidFill>
                <a:schemeClr val="dk1"/>
              </a:solidFill>
              <a:effectLst/>
              <a:latin typeface="+mn-lt"/>
              <a:ea typeface="+mn-ea"/>
              <a:cs typeface="+mn-cs"/>
            </a:rPr>
            <a:t> </a:t>
          </a:r>
        </a:p>
        <a:p>
          <a:r>
            <a:rPr lang="de-AT" sz="1400" b="1">
              <a:solidFill>
                <a:schemeClr val="dk1"/>
              </a:solidFill>
              <a:effectLst/>
              <a:latin typeface="+mn-lt"/>
              <a:ea typeface="+mn-ea"/>
              <a:cs typeface="+mn-cs"/>
            </a:rPr>
            <a:t>Klassenvorstandschaft: </a:t>
          </a:r>
        </a:p>
        <a:p>
          <a:r>
            <a:rPr lang="de-AT" sz="1400">
              <a:solidFill>
                <a:schemeClr val="dk1"/>
              </a:solidFill>
              <a:effectLst/>
              <a:latin typeface="+mn-lt"/>
              <a:ea typeface="+mn-ea"/>
              <a:cs typeface="+mn-cs"/>
            </a:rPr>
            <a:t>Für jede gesondert eingerichtete Klasse besteht Anspruch auf Vergütung der Klassenvorstandschaft, also auch wenn am Standort autonom zusätzliche Klassen gebildet werden. An Schulen, an denen der Unterricht durch Fachlehrer erteilt wird, hat der Schulleiter für jede Klasse </a:t>
          </a:r>
          <a:r>
            <a:rPr lang="de-AT" sz="1400" b="1" u="sng">
              <a:solidFill>
                <a:schemeClr val="dk1"/>
              </a:solidFill>
              <a:effectLst/>
              <a:latin typeface="+mn-lt"/>
              <a:ea typeface="+mn-ea"/>
              <a:cs typeface="+mn-cs"/>
            </a:rPr>
            <a:t>eine</a:t>
          </a:r>
          <a:r>
            <a:rPr lang="de-AT" sz="1400">
              <a:solidFill>
                <a:schemeClr val="dk1"/>
              </a:solidFill>
              <a:effectLst/>
              <a:latin typeface="+mn-lt"/>
              <a:ea typeface="+mn-ea"/>
              <a:cs typeface="+mn-cs"/>
            </a:rPr>
            <a:t> Lehrperson (ausgenommen Lehrbeauftragte) dieser Klasse als Klassenvorstand zu bestellen.</a:t>
          </a:r>
        </a:p>
        <a:p>
          <a:r>
            <a:rPr lang="de-AT" sz="1400">
              <a:solidFill>
                <a:schemeClr val="dk1"/>
              </a:solidFill>
              <a:effectLst/>
              <a:latin typeface="+mn-lt"/>
              <a:ea typeface="+mn-ea"/>
              <a:cs typeface="+mn-cs"/>
            </a:rPr>
            <a:t>An Schulen mit Klassenlehrersystem kommen die Aufgaben des Klassenvorstandes dem Klassenlehrer zu.</a:t>
          </a:r>
        </a:p>
        <a:p>
          <a:endParaRPr lang="de-AT" sz="1400">
            <a:solidFill>
              <a:schemeClr val="dk1"/>
            </a:solidFill>
            <a:effectLst/>
            <a:latin typeface="+mn-lt"/>
            <a:ea typeface="+mn-ea"/>
            <a:cs typeface="+mn-cs"/>
          </a:endParaRPr>
        </a:p>
        <a:p>
          <a:r>
            <a:rPr lang="de-AT" sz="1400">
              <a:solidFill>
                <a:schemeClr val="dk1"/>
              </a:solidFill>
              <a:effectLst/>
              <a:latin typeface="+mn-lt"/>
              <a:ea typeface="+mn-ea"/>
              <a:cs typeface="+mn-cs"/>
            </a:rPr>
            <a:t>Eine „Deutschförderklasse“ ist zwar als Klasse bezeichnet, jedoch nicht organisatorisch eigenständig geführt. Somit kann für dieses Förderprogramm keine KV-Vergütung bezahlt werden.</a:t>
          </a:r>
        </a:p>
        <a:p>
          <a:r>
            <a:rPr lang="de-AT" sz="1400">
              <a:solidFill>
                <a:schemeClr val="dk1"/>
              </a:solidFill>
              <a:effectLst/>
              <a:latin typeface="+mn-lt"/>
              <a:ea typeface="+mn-ea"/>
              <a:cs typeface="+mn-cs"/>
            </a:rPr>
            <a:t> </a:t>
          </a:r>
        </a:p>
        <a:p>
          <a:r>
            <a:rPr lang="de-AT" sz="1400" b="1">
              <a:solidFill>
                <a:schemeClr val="dk1"/>
              </a:solidFill>
              <a:effectLst/>
              <a:latin typeface="+mn-lt"/>
              <a:ea typeface="+mn-ea"/>
              <a:cs typeface="+mn-cs"/>
            </a:rPr>
            <a:t>Was ist organisatorisch als „Klasse“ zu verstehen? </a:t>
          </a:r>
        </a:p>
        <a:p>
          <a:r>
            <a:rPr lang="de-AT" sz="1400">
              <a:solidFill>
                <a:schemeClr val="dk1"/>
              </a:solidFill>
              <a:effectLst/>
              <a:latin typeface="+mn-lt"/>
              <a:ea typeface="+mn-ea"/>
              <a:cs typeface="+mn-cs"/>
            </a:rPr>
            <a:t>Alle Pflichtgegenstände werden grundsätzlich im Klassenverband unterrichtet, eine Zusammenlegung bzw ein gemeinsames Führen mit SuS aus verschiedenen Klassen ist nur in Ausnahmefällen unter Vorlage eines pädagogischen Konzeptes an das zuständige Schulpartnerschaftsgremium und dessen Beschluss acht Wochen vor Ende des vorangehenden Unterrichtsjahres (§ 8a SchOG) vorgesehen. Ausgenommen davon sind die alternativen Pflichtgegenstände, die gesondert zusammengesetzten Unterrichtsgruppen zur gezielten Leistungsförderung zB in Hauptfächern an der MS, sowie der Religionsunterricht (wegen der Möglichkeit/Notwendigkeit zur Bildung von klassenübergreifenden Unterrichtsgruppen).</a:t>
          </a:r>
        </a:p>
        <a:p>
          <a:r>
            <a:rPr lang="de-AT" sz="1400">
              <a:solidFill>
                <a:schemeClr val="dk1"/>
              </a:solidFill>
              <a:effectLst/>
              <a:latin typeface="+mn-lt"/>
              <a:ea typeface="+mn-ea"/>
              <a:cs typeface="+mn-cs"/>
            </a:rPr>
            <a:t> </a:t>
          </a:r>
        </a:p>
        <a:p>
          <a:r>
            <a:rPr lang="de-AT" sz="1400" b="1">
              <a:solidFill>
                <a:schemeClr val="dk1"/>
              </a:solidFill>
              <a:effectLst/>
              <a:latin typeface="+mn-lt"/>
              <a:ea typeface="+mn-ea"/>
              <a:cs typeface="+mn-cs"/>
            </a:rPr>
            <a:t>Im Rahmen des Gesamtkonzeptes möglich sind ..</a:t>
          </a:r>
        </a:p>
        <a:p>
          <a:r>
            <a:rPr lang="de-AT" sz="1400">
              <a:solidFill>
                <a:schemeClr val="dk1"/>
              </a:solidFill>
              <a:effectLst/>
              <a:latin typeface="+mn-lt"/>
              <a:ea typeface="+mn-ea"/>
              <a:cs typeface="+mn-cs"/>
            </a:rPr>
            <a:t>die Teilung einer Klasse für einzelne Gegenstände in mehrere Unterrichtsgruppen, </a:t>
          </a:r>
          <a:br>
            <a:rPr lang="de-AT" sz="1400">
              <a:solidFill>
                <a:schemeClr val="dk1"/>
              </a:solidFill>
              <a:effectLst/>
              <a:latin typeface="+mn-lt"/>
              <a:ea typeface="+mn-ea"/>
              <a:cs typeface="+mn-cs"/>
            </a:rPr>
          </a:br>
          <a:r>
            <a:rPr lang="de-AT" sz="1400">
              <a:solidFill>
                <a:schemeClr val="dk1"/>
              </a:solidFill>
              <a:effectLst/>
              <a:latin typeface="+mn-lt"/>
              <a:ea typeface="+mn-ea"/>
              <a:cs typeface="+mn-cs"/>
            </a:rPr>
            <a:t>die Einrichtung von Freigegenständen und Unverbindlichen Übungen sowie Förderunterricht, </a:t>
          </a:r>
        </a:p>
        <a:p>
          <a:r>
            <a:rPr lang="de-AT" sz="1400">
              <a:solidFill>
                <a:schemeClr val="dk1"/>
              </a:solidFill>
              <a:effectLst/>
              <a:latin typeface="+mn-lt"/>
              <a:ea typeface="+mn-ea"/>
              <a:cs typeface="+mn-cs"/>
            </a:rPr>
            <a:t>die Förderung im Klassenverband durch eine Zusatzlehrperson im Team-Teaching. </a:t>
          </a:r>
        </a:p>
        <a:p>
          <a:r>
            <a:rPr lang="de-AT" sz="1400">
              <a:solidFill>
                <a:schemeClr val="dk1"/>
              </a:solidFill>
              <a:effectLst/>
              <a:latin typeface="+mn-lt"/>
              <a:ea typeface="+mn-ea"/>
              <a:cs typeface="+mn-cs"/>
            </a:rPr>
            <a:t> </a:t>
          </a:r>
        </a:p>
        <a:p>
          <a:r>
            <a:rPr lang="de-AT" sz="1400" b="1">
              <a:solidFill>
                <a:schemeClr val="dk1"/>
              </a:solidFill>
              <a:effectLst/>
              <a:latin typeface="+mn-lt"/>
              <a:ea typeface="+mn-ea"/>
              <a:cs typeface="+mn-cs"/>
            </a:rPr>
            <a:t>Autonome Bildung von Klassen: </a:t>
          </a:r>
        </a:p>
        <a:p>
          <a:r>
            <a:rPr lang="de-AT" sz="1400">
              <a:solidFill>
                <a:schemeClr val="dk1"/>
              </a:solidFill>
              <a:effectLst/>
              <a:latin typeface="+mn-lt"/>
              <a:ea typeface="+mn-ea"/>
              <a:cs typeface="+mn-cs"/>
            </a:rPr>
            <a:t>Im Rahmen der schulautonomen Gestaltungsmöglichkeiten können am Standort Klassen in einer Zahl eingerichtet werden, die von der durch die Behörde nach Schülerzahlen und Zusammensetzung fiktiv berechneten Anzahl der Klassen abweicht. Daraus ergibt sich die Leitereinrechnung bzw Leiter-Freistellung nach Dienstrecht-Alt.</a:t>
          </a:r>
        </a:p>
        <a:p>
          <a:r>
            <a:rPr lang="de-AT" sz="1400">
              <a:solidFill>
                <a:schemeClr val="dk1"/>
              </a:solidFill>
              <a:effectLst/>
              <a:latin typeface="+mn-lt"/>
              <a:ea typeface="+mn-ea"/>
              <a:cs typeface="+mn-cs"/>
            </a:rPr>
            <a:t> </a:t>
          </a:r>
        </a:p>
        <a:p>
          <a:r>
            <a:rPr lang="de-AT" sz="1400" b="1">
              <a:solidFill>
                <a:schemeClr val="dk1"/>
              </a:solidFill>
              <a:effectLst/>
              <a:latin typeface="+mn-lt"/>
              <a:ea typeface="+mn-ea"/>
              <a:cs typeface="+mn-cs"/>
            </a:rPr>
            <a:t>Stichtag für die Ressourcen und die Schulorganisation:</a:t>
          </a:r>
        </a:p>
        <a:p>
          <a:pPr marL="0" marR="0" lvl="0" indent="0" defTabSz="914400" eaLnBrk="1" fontAlgn="auto" latinLnBrk="0" hangingPunct="1">
            <a:lnSpc>
              <a:spcPct val="100000"/>
            </a:lnSpc>
            <a:spcBef>
              <a:spcPts val="0"/>
            </a:spcBef>
            <a:spcAft>
              <a:spcPts val="0"/>
            </a:spcAft>
            <a:buClrTx/>
            <a:buSzTx/>
            <a:buFontTx/>
            <a:buNone/>
            <a:tabLst/>
            <a:defRPr/>
          </a:pPr>
          <a:r>
            <a:rPr lang="de-AT" sz="1400">
              <a:solidFill>
                <a:schemeClr val="dk1"/>
              </a:solidFill>
              <a:effectLst/>
              <a:latin typeface="+mn-lt"/>
              <a:ea typeface="+mn-ea"/>
              <a:cs typeface="+mn-cs"/>
            </a:rPr>
            <a:t>Als Stichtag für die verbindliche Berechnung der Stundenressourcen ist der 2. Montag im Unterrichtsjahr maßgeblich. Sprengelfremde SchülerInnen werden dabei ohne Einschränkungen in die Berechnung einbezogen. </a:t>
          </a:r>
          <a:br>
            <a:rPr lang="de-AT" sz="1400">
              <a:solidFill>
                <a:schemeClr val="dk1"/>
              </a:solidFill>
              <a:effectLst/>
              <a:latin typeface="+mn-lt"/>
              <a:ea typeface="+mn-ea"/>
              <a:cs typeface="+mn-cs"/>
            </a:rPr>
          </a:br>
          <a:r>
            <a:rPr lang="de-AT" sz="1400">
              <a:solidFill>
                <a:schemeClr val="dk1"/>
              </a:solidFill>
              <a:effectLst/>
              <a:latin typeface="+mn-lt"/>
              <a:ea typeface="+mn-ea"/>
              <a:cs typeface="+mn-cs"/>
            </a:rPr>
            <a:t/>
          </a:r>
          <a:br>
            <a:rPr lang="de-AT" sz="1400">
              <a:solidFill>
                <a:schemeClr val="dk1"/>
              </a:solidFill>
              <a:effectLst/>
              <a:latin typeface="+mn-lt"/>
              <a:ea typeface="+mn-ea"/>
              <a:cs typeface="+mn-cs"/>
            </a:rPr>
          </a:br>
          <a:r>
            <a:rPr lang="de-AT" sz="1400" b="1">
              <a:solidFill>
                <a:schemeClr val="dk1"/>
              </a:solidFill>
              <a:effectLst/>
              <a:latin typeface="+mn-lt"/>
              <a:ea typeface="+mn-ea"/>
              <a:cs typeface="+mn-cs"/>
            </a:rPr>
            <a:t>IT - Mobile Device Management für PDler</a:t>
          </a:r>
          <a:r>
            <a:rPr lang="de-AT" sz="1400">
              <a:solidFill>
                <a:schemeClr val="dk1"/>
              </a:solidFill>
              <a:effectLst/>
              <a:latin typeface="+mn-lt"/>
              <a:ea typeface="+mn-ea"/>
              <a:cs typeface="+mn-cs"/>
            </a:rPr>
            <a:t/>
          </a:r>
          <a:br>
            <a:rPr lang="de-AT" sz="1400">
              <a:solidFill>
                <a:schemeClr val="dk1"/>
              </a:solidFill>
              <a:effectLst/>
              <a:latin typeface="+mn-lt"/>
              <a:ea typeface="+mn-ea"/>
              <a:cs typeface="+mn-cs"/>
            </a:rPr>
          </a:br>
          <a:r>
            <a:rPr lang="de-AT" sz="1400">
              <a:solidFill>
                <a:schemeClr val="dk1"/>
              </a:solidFill>
              <a:effectLst/>
              <a:latin typeface="+mn-lt"/>
              <a:ea typeface="+mn-ea"/>
              <a:cs typeface="+mn-cs"/>
            </a:rPr>
            <a:t>An der Stammschule ist eine Einrechnung von insgesamt max. 3 Stunden für IT-Betreuung, MDM pädagogisch oder Bibliothek möglich. Wenn ausschließlich IT-Betreuung (inklusive MDM pädagogisch) übernommen wird, kann an bis zu 3 Standorten max. 3 Stunden – somit maximal gesamt 9 Stunden – eingerechnet werden.</a:t>
          </a:r>
        </a:p>
        <a:p>
          <a:endParaRPr lang="de-AT" sz="1400">
            <a:solidFill>
              <a:schemeClr val="dk1"/>
            </a:solidFill>
            <a:effectLst/>
            <a:latin typeface="+mn-lt"/>
            <a:ea typeface="+mn-ea"/>
            <a:cs typeface="+mn-cs"/>
          </a:endParaRPr>
        </a:p>
        <a:p>
          <a:endParaRPr lang="de-AT" sz="1400">
            <a:solidFill>
              <a:schemeClr val="dk1"/>
            </a:solidFill>
            <a:effectLst/>
            <a:latin typeface="+mn-lt"/>
            <a:ea typeface="+mn-ea"/>
            <a:cs typeface="+mn-cs"/>
          </a:endParaRPr>
        </a:p>
        <a:p>
          <a:r>
            <a:rPr lang="de-AT" sz="1400" b="1">
              <a:solidFill>
                <a:schemeClr val="dk1"/>
              </a:solidFill>
              <a:effectLst/>
              <a:latin typeface="+mn-lt"/>
              <a:ea typeface="+mn-ea"/>
              <a:cs typeface="+mn-cs"/>
            </a:rPr>
            <a:t>Änderungen während des Schuljahres: </a:t>
          </a:r>
        </a:p>
        <a:p>
          <a:r>
            <a:rPr lang="de-AT" sz="1400">
              <a:solidFill>
                <a:schemeClr val="dk1"/>
              </a:solidFill>
              <a:effectLst/>
              <a:latin typeface="+mn-lt"/>
              <a:ea typeface="+mn-ea"/>
              <a:cs typeface="+mn-cs"/>
            </a:rPr>
            <a:t>Der Schulwechsel eines Schülers bewirkt grundsätzlich keine Verschiebung der Stundenressourcen bzw löst keine Mitnahme von Stunden aus, mit Ausnahme bei SuS mit SPF, wo die Stunden für den Unterricht (= mindestens 2,0) und auch für die Assistenz grundsätzlich mit dem Schüler mitgehen. </a:t>
          </a:r>
        </a:p>
        <a:p>
          <a:r>
            <a:rPr lang="de-AT" sz="1400">
              <a:solidFill>
                <a:schemeClr val="dk1"/>
              </a:solidFill>
              <a:effectLst/>
              <a:latin typeface="+mn-lt"/>
              <a:ea typeface="+mn-ea"/>
              <a:cs typeface="+mn-cs"/>
            </a:rPr>
            <a:t>Bei unterrichtlicher Notwendigkeit oder bei Status ao-u kann die aufnehmende Schule beim SQM eine Prüfung der Situation beantragen. Sinkt eine DFöKL unter acht SuS, kann diese bis zum Ende des Semesters weitergeführt werden.</a:t>
          </a:r>
        </a:p>
        <a:p>
          <a:r>
            <a:rPr lang="de-AT" sz="1400">
              <a:solidFill>
                <a:schemeClr val="dk1"/>
              </a:solidFill>
              <a:effectLst/>
              <a:latin typeface="+mn-lt"/>
              <a:ea typeface="+mn-ea"/>
              <a:cs typeface="+mn-cs"/>
            </a:rPr>
            <a:t> </a:t>
          </a:r>
        </a:p>
        <a:p>
          <a:r>
            <a:rPr lang="de-AT" sz="1400">
              <a:solidFill>
                <a:schemeClr val="dk1"/>
              </a:solidFill>
              <a:effectLst/>
              <a:latin typeface="+mn-lt"/>
              <a:ea typeface="+mn-ea"/>
              <a:cs typeface="+mn-cs"/>
            </a:rPr>
            <a:t> </a:t>
          </a:r>
        </a:p>
        <a:p>
          <a:r>
            <a:rPr lang="de-AT" sz="1400">
              <a:solidFill>
                <a:schemeClr val="dk1"/>
              </a:solidFill>
              <a:effectLst/>
              <a:latin typeface="+mn-lt"/>
              <a:ea typeface="+mn-ea"/>
              <a:cs typeface="+mn-cs"/>
            </a:rPr>
            <a:t>Was im schülerkopf-bezogenen Stundenkontingent NICHT enthalten ist: </a:t>
          </a:r>
        </a:p>
        <a:p>
          <a:r>
            <a:rPr lang="de-AT" sz="1400">
              <a:solidFill>
                <a:schemeClr val="dk1"/>
              </a:solidFill>
              <a:effectLst/>
              <a:latin typeface="+mn-lt"/>
              <a:ea typeface="+mn-ea"/>
              <a:cs typeface="+mn-cs"/>
            </a:rPr>
            <a:t> </a:t>
          </a:r>
        </a:p>
        <a:p>
          <a:r>
            <a:rPr lang="de-AT" sz="1400">
              <a:solidFill>
                <a:schemeClr val="dk1"/>
              </a:solidFill>
              <a:effectLst/>
              <a:latin typeface="+mn-lt"/>
              <a:ea typeface="+mn-ea"/>
              <a:cs typeface="+mn-cs"/>
            </a:rPr>
            <a:t>Einrechnungen für Schulleitung, Bibliothek, IT usw. </a:t>
          </a:r>
        </a:p>
        <a:p>
          <a:r>
            <a:rPr lang="de-AT" sz="1400">
              <a:solidFill>
                <a:schemeClr val="dk1"/>
              </a:solidFill>
              <a:effectLst/>
              <a:latin typeface="+mn-lt"/>
              <a:ea typeface="+mn-ea"/>
              <a:cs typeface="+mn-cs"/>
            </a:rPr>
            <a:t>Diese Einrechnungen werden in den auf die Stundenkontingente für die Unterrichtserteilung folgenden Zeilen gesondert ermittelt bzw von der Schule für die anstehende Bedarfsplanung beantragt. </a:t>
          </a:r>
        </a:p>
        <a:p>
          <a:r>
            <a:rPr lang="de-AT" sz="1400">
              <a:solidFill>
                <a:schemeClr val="dk1"/>
              </a:solidFill>
              <a:effectLst/>
              <a:latin typeface="+mn-lt"/>
              <a:ea typeface="+mn-ea"/>
              <a:cs typeface="+mn-cs"/>
            </a:rPr>
            <a:t> </a:t>
          </a:r>
        </a:p>
        <a:p>
          <a:r>
            <a:rPr lang="de-AT" sz="1400">
              <a:solidFill>
                <a:schemeClr val="dk1"/>
              </a:solidFill>
              <a:effectLst/>
              <a:latin typeface="+mn-lt"/>
              <a:ea typeface="+mn-ea"/>
              <a:cs typeface="+mn-cs"/>
            </a:rPr>
            <a:t>Aus spezifischen Stundentöpfen und jedenfalls außerhalb des berechneten Schulkontingents werden gesondert Stunden zugewiesen </a:t>
          </a:r>
        </a:p>
        <a:p>
          <a:r>
            <a:rPr lang="de-AT" sz="1400">
              <a:solidFill>
                <a:schemeClr val="dk1"/>
              </a:solidFill>
              <a:effectLst/>
              <a:latin typeface="+mn-lt"/>
              <a:ea typeface="+mn-ea"/>
              <a:cs typeface="+mn-cs"/>
            </a:rPr>
            <a:t>für den Religionsunterricht (alle Bekenntnisse), für den Muttersprach-lichen Unterricht, sowie für andere Mobile Lehrpersonen.</a:t>
          </a:r>
        </a:p>
        <a:p>
          <a:r>
            <a:rPr lang="de-AT" sz="1400">
              <a:solidFill>
                <a:schemeClr val="dk1"/>
              </a:solidFill>
              <a:effectLst/>
              <a:latin typeface="+mn-lt"/>
              <a:ea typeface="+mn-ea"/>
              <a:cs typeface="+mn-cs"/>
            </a:rPr>
            <a:t/>
          </a:r>
          <a:br>
            <a:rPr lang="de-AT" sz="1400">
              <a:solidFill>
                <a:schemeClr val="dk1"/>
              </a:solidFill>
              <a:effectLst/>
              <a:latin typeface="+mn-lt"/>
              <a:ea typeface="+mn-ea"/>
              <a:cs typeface="+mn-cs"/>
            </a:rPr>
          </a:br>
          <a:r>
            <a:rPr lang="de-AT" sz="1400">
              <a:solidFill>
                <a:schemeClr val="dk1"/>
              </a:solidFill>
              <a:effectLst/>
              <a:latin typeface="+mn-lt"/>
              <a:ea typeface="+mn-ea"/>
              <a:cs typeface="+mn-cs"/>
            </a:rPr>
            <a:t>Für röm</a:t>
          </a:r>
          <a:r>
            <a:rPr lang="de-AT" sz="1400" i="1">
              <a:solidFill>
                <a:schemeClr val="dk1"/>
              </a:solidFill>
              <a:effectLst/>
              <a:latin typeface="+mn-lt"/>
              <a:ea typeface="+mn-ea"/>
              <a:cs typeface="+mn-cs"/>
            </a:rPr>
            <a:t>.-kath. Religion ist jedoch ein eigenes Tabellenblatt zur Meldung bzw Beantragung der Unterrichtsressourcen aufgenommen. </a:t>
          </a:r>
          <a:endParaRPr lang="de-AT" sz="1400">
            <a:solidFill>
              <a:schemeClr val="dk1"/>
            </a:solidFill>
            <a:effectLst/>
            <a:latin typeface="+mn-lt"/>
            <a:ea typeface="+mn-ea"/>
            <a:cs typeface="+mn-cs"/>
          </a:endParaRPr>
        </a:p>
        <a:p>
          <a:r>
            <a:rPr lang="de-AT" sz="1400">
              <a:solidFill>
                <a:schemeClr val="dk1"/>
              </a:solidFill>
              <a:effectLst/>
              <a:latin typeface="+mn-lt"/>
              <a:ea typeface="+mn-ea"/>
              <a:cs typeface="+mn-cs"/>
            </a:rPr>
            <a:t> </a:t>
          </a:r>
        </a:p>
        <a:p>
          <a:r>
            <a:rPr lang="de-AT" sz="1400">
              <a:solidFill>
                <a:schemeClr val="dk1"/>
              </a:solidFill>
              <a:effectLst/>
              <a:latin typeface="+mn-lt"/>
              <a:ea typeface="+mn-ea"/>
              <a:cs typeface="+mn-cs"/>
            </a:rPr>
            <a:t>Schulische Assistenz:  Die zur individuellen Unterstützung erforderlichen genehmigten Stunden sind über das Tabellenblatt &lt;Assistenz&gt; bekannt zu geben, und zwar im gesamten Ausmaß und in weiterer Folge, welches Personal dafür eingesetzt wird (SAF oder Bildi). Lehrpersonen, welche Assistenzstunden abgedecken, müssen zwingend einen Dienstvertrag haben welcher auf „Stütz- und BegleitlehrerIn“ lautet. Für diese Lehrpersonen sind die entsprechenden Stunden im Blatt &lt;Lehrpersonen&gt; zuzuteilen. </a:t>
          </a:r>
        </a:p>
        <a:p>
          <a:endParaRPr lang="de-AT" sz="14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2</xdr:col>
      <xdr:colOff>370284</xdr:colOff>
      <xdr:row>16</xdr:row>
      <xdr:rowOff>65942</xdr:rowOff>
    </xdr:from>
    <xdr:to>
      <xdr:col>2</xdr:col>
      <xdr:colOff>370284</xdr:colOff>
      <xdr:row>19</xdr:row>
      <xdr:rowOff>56417</xdr:rowOff>
    </xdr:to>
    <xdr:cxnSp macro="">
      <xdr:nvCxnSpPr>
        <xdr:cNvPr id="5" name="Gerade Verbindung mit Pfeil 4">
          <a:extLst>
            <a:ext uri="{FF2B5EF4-FFF2-40B4-BE49-F238E27FC236}">
              <a16:creationId xmlns:a16="http://schemas.microsoft.com/office/drawing/2014/main" id="{00000000-0008-0000-0200-000005000000}"/>
            </a:ext>
          </a:extLst>
        </xdr:cNvPr>
        <xdr:cNvCxnSpPr/>
      </xdr:nvCxnSpPr>
      <xdr:spPr>
        <a:xfrm>
          <a:off x="1220207" y="3531577"/>
          <a:ext cx="0" cy="371475"/>
        </a:xfrm>
        <a:prstGeom prst="straightConnector1">
          <a:avLst/>
        </a:prstGeom>
        <a:ln w="3175">
          <a:solidFill>
            <a:srgbClr val="00B050"/>
          </a:solidFill>
          <a:prstDash val="sysDot"/>
          <a:headEnd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566487</xdr:colOff>
      <xdr:row>18</xdr:row>
      <xdr:rowOff>61662</xdr:rowOff>
    </xdr:from>
    <xdr:to>
      <xdr:col>5</xdr:col>
      <xdr:colOff>0</xdr:colOff>
      <xdr:row>18</xdr:row>
      <xdr:rowOff>61663</xdr:rowOff>
    </xdr:to>
    <xdr:cxnSp macro="">
      <xdr:nvCxnSpPr>
        <xdr:cNvPr id="37" name="Gerader Verbinder 36">
          <a:extLst>
            <a:ext uri="{FF2B5EF4-FFF2-40B4-BE49-F238E27FC236}">
              <a16:creationId xmlns:a16="http://schemas.microsoft.com/office/drawing/2014/main" id="{00000000-0008-0000-0200-000025000000}"/>
            </a:ext>
          </a:extLst>
        </xdr:cNvPr>
        <xdr:cNvCxnSpPr/>
      </xdr:nvCxnSpPr>
      <xdr:spPr>
        <a:xfrm flipH="1">
          <a:off x="1411831" y="3907381"/>
          <a:ext cx="1552825" cy="1"/>
        </a:xfrm>
        <a:prstGeom prst="line">
          <a:avLst/>
        </a:prstGeom>
        <a:ln w="3175">
          <a:solidFill>
            <a:srgbClr val="00B050"/>
          </a:solidFill>
          <a:prstDash val="sysDot"/>
          <a:headEnd w="med" len="sm"/>
          <a:tailEnd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571500</xdr:colOff>
      <xdr:row>18</xdr:row>
      <xdr:rowOff>65484</xdr:rowOff>
    </xdr:from>
    <xdr:to>
      <xdr:col>2</xdr:col>
      <xdr:colOff>571500</xdr:colOff>
      <xdr:row>19</xdr:row>
      <xdr:rowOff>66675</xdr:rowOff>
    </xdr:to>
    <xdr:cxnSp macro="">
      <xdr:nvCxnSpPr>
        <xdr:cNvPr id="40" name="Gerade Verbindung mit Pfeil 39">
          <a:extLst>
            <a:ext uri="{FF2B5EF4-FFF2-40B4-BE49-F238E27FC236}">
              <a16:creationId xmlns:a16="http://schemas.microsoft.com/office/drawing/2014/main" id="{00000000-0008-0000-0200-000028000000}"/>
            </a:ext>
          </a:extLst>
        </xdr:cNvPr>
        <xdr:cNvCxnSpPr/>
      </xdr:nvCxnSpPr>
      <xdr:spPr>
        <a:xfrm>
          <a:off x="1416844" y="3911203"/>
          <a:ext cx="0" cy="191691"/>
        </a:xfrm>
        <a:prstGeom prst="straightConnector1">
          <a:avLst/>
        </a:prstGeom>
        <a:ln w="3175">
          <a:solidFill>
            <a:srgbClr val="00B050"/>
          </a:solidFill>
          <a:prstDash val="sysDot"/>
          <a:headEnd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533400</xdr:colOff>
      <xdr:row>26</xdr:row>
      <xdr:rowOff>142875</xdr:rowOff>
    </xdr:from>
    <xdr:to>
      <xdr:col>5</xdr:col>
      <xdr:colOff>273326</xdr:colOff>
      <xdr:row>29</xdr:row>
      <xdr:rowOff>173935</xdr:rowOff>
    </xdr:to>
    <xdr:cxnSp macro="">
      <xdr:nvCxnSpPr>
        <xdr:cNvPr id="51" name="Gerader Verbinder 50">
          <a:extLst>
            <a:ext uri="{FF2B5EF4-FFF2-40B4-BE49-F238E27FC236}">
              <a16:creationId xmlns:a16="http://schemas.microsoft.com/office/drawing/2014/main" id="{00000000-0008-0000-0200-000033000000}"/>
            </a:ext>
          </a:extLst>
        </xdr:cNvPr>
        <xdr:cNvCxnSpPr/>
      </xdr:nvCxnSpPr>
      <xdr:spPr>
        <a:xfrm>
          <a:off x="2140226" y="5319505"/>
          <a:ext cx="1098274" cy="610843"/>
        </a:xfrm>
        <a:prstGeom prst="line">
          <a:avLst/>
        </a:prstGeom>
        <a:ln w="3175">
          <a:solidFill>
            <a:srgbClr val="00B050"/>
          </a:solidFill>
          <a:prstDash val="sysDot"/>
          <a:headEnd w="med" len="sm"/>
          <a:tailEnd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12426</xdr:colOff>
      <xdr:row>34</xdr:row>
      <xdr:rowOff>101048</xdr:rowOff>
    </xdr:from>
    <xdr:to>
      <xdr:col>5</xdr:col>
      <xdr:colOff>446171</xdr:colOff>
      <xdr:row>34</xdr:row>
      <xdr:rowOff>105276</xdr:rowOff>
    </xdr:to>
    <xdr:cxnSp macro="">
      <xdr:nvCxnSpPr>
        <xdr:cNvPr id="53" name="Gerade Verbindung mit Pfeil 52">
          <a:extLst>
            <a:ext uri="{FF2B5EF4-FFF2-40B4-BE49-F238E27FC236}">
              <a16:creationId xmlns:a16="http://schemas.microsoft.com/office/drawing/2014/main" id="{00000000-0008-0000-0200-000035000000}"/>
            </a:ext>
          </a:extLst>
        </xdr:cNvPr>
        <xdr:cNvCxnSpPr/>
      </xdr:nvCxnSpPr>
      <xdr:spPr>
        <a:xfrm flipH="1" flipV="1">
          <a:off x="2975202" y="6853772"/>
          <a:ext cx="433745" cy="4228"/>
        </a:xfrm>
        <a:prstGeom prst="straightConnector1">
          <a:avLst/>
        </a:prstGeom>
        <a:ln w="3175">
          <a:solidFill>
            <a:srgbClr val="00B050"/>
          </a:solidFill>
          <a:prstDash val="sysDot"/>
          <a:headEnd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309843</xdr:colOff>
      <xdr:row>16</xdr:row>
      <xdr:rowOff>57150</xdr:rowOff>
    </xdr:from>
    <xdr:to>
      <xdr:col>5</xdr:col>
      <xdr:colOff>309843</xdr:colOff>
      <xdr:row>19</xdr:row>
      <xdr:rowOff>47625</xdr:rowOff>
    </xdr:to>
    <xdr:cxnSp macro="">
      <xdr:nvCxnSpPr>
        <xdr:cNvPr id="61" name="Gerade Verbindung mit Pfeil 60">
          <a:extLst>
            <a:ext uri="{FF2B5EF4-FFF2-40B4-BE49-F238E27FC236}">
              <a16:creationId xmlns:a16="http://schemas.microsoft.com/office/drawing/2014/main" id="{00000000-0008-0000-0200-00003D000000}"/>
            </a:ext>
          </a:extLst>
        </xdr:cNvPr>
        <xdr:cNvCxnSpPr/>
      </xdr:nvCxnSpPr>
      <xdr:spPr>
        <a:xfrm>
          <a:off x="3268196" y="3530974"/>
          <a:ext cx="0" cy="561975"/>
        </a:xfrm>
        <a:prstGeom prst="straightConnector1">
          <a:avLst/>
        </a:prstGeom>
        <a:ln w="3175">
          <a:solidFill>
            <a:srgbClr val="00B050"/>
          </a:solidFill>
          <a:prstDash val="sysDot"/>
          <a:headEnd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82152</xdr:colOff>
      <xdr:row>7</xdr:row>
      <xdr:rowOff>21917</xdr:rowOff>
    </xdr:from>
    <xdr:to>
      <xdr:col>8</xdr:col>
      <xdr:colOff>508326</xdr:colOff>
      <xdr:row>38</xdr:row>
      <xdr:rowOff>40099</xdr:rowOff>
    </xdr:to>
    <xdr:sp macro="" textlink="">
      <xdr:nvSpPr>
        <xdr:cNvPr id="63" name="Bogen 62">
          <a:extLst>
            <a:ext uri="{FF2B5EF4-FFF2-40B4-BE49-F238E27FC236}">
              <a16:creationId xmlns:a16="http://schemas.microsoft.com/office/drawing/2014/main" id="{00000000-0008-0000-0200-00003F000000}"/>
            </a:ext>
          </a:extLst>
        </xdr:cNvPr>
        <xdr:cNvSpPr/>
      </xdr:nvSpPr>
      <xdr:spPr>
        <a:xfrm rot="21242196">
          <a:off x="4044552" y="1650692"/>
          <a:ext cx="902424" cy="5704607"/>
        </a:xfrm>
        <a:prstGeom prst="arc">
          <a:avLst>
            <a:gd name="adj1" fmla="val 16260339"/>
            <a:gd name="adj2" fmla="val 5478009"/>
          </a:avLst>
        </a:prstGeom>
        <a:ln w="3175">
          <a:solidFill>
            <a:srgbClr val="C00000"/>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AT" sz="1100"/>
        </a:p>
      </xdr:txBody>
    </xdr:sp>
    <xdr:clientData/>
  </xdr:twoCellAnchor>
  <xdr:twoCellAnchor>
    <xdr:from>
      <xdr:col>7</xdr:col>
      <xdr:colOff>0</xdr:colOff>
      <xdr:row>16</xdr:row>
      <xdr:rowOff>53068</xdr:rowOff>
    </xdr:from>
    <xdr:to>
      <xdr:col>7</xdr:col>
      <xdr:colOff>0</xdr:colOff>
      <xdr:row>19</xdr:row>
      <xdr:rowOff>43543</xdr:rowOff>
    </xdr:to>
    <xdr:cxnSp macro="">
      <xdr:nvCxnSpPr>
        <xdr:cNvPr id="12" name="Gerade Verbindung mit Pfeil 11">
          <a:extLst>
            <a:ext uri="{FF2B5EF4-FFF2-40B4-BE49-F238E27FC236}">
              <a16:creationId xmlns:a16="http://schemas.microsoft.com/office/drawing/2014/main" id="{00000000-0008-0000-0200-00000C000000}"/>
            </a:ext>
          </a:extLst>
        </xdr:cNvPr>
        <xdr:cNvCxnSpPr/>
      </xdr:nvCxnSpPr>
      <xdr:spPr>
        <a:xfrm>
          <a:off x="5148943" y="3514725"/>
          <a:ext cx="0" cy="371475"/>
        </a:xfrm>
        <a:prstGeom prst="straightConnector1">
          <a:avLst/>
        </a:prstGeom>
        <a:ln w="3175">
          <a:solidFill>
            <a:srgbClr val="00B050"/>
          </a:solidFill>
          <a:prstDash val="sysDot"/>
          <a:headEnd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6464</xdr:colOff>
      <xdr:row>16</xdr:row>
      <xdr:rowOff>59872</xdr:rowOff>
    </xdr:from>
    <xdr:to>
      <xdr:col>5</xdr:col>
      <xdr:colOff>146957</xdr:colOff>
      <xdr:row>18</xdr:row>
      <xdr:rowOff>65484</xdr:rowOff>
    </xdr:to>
    <xdr:cxnSp macro="">
      <xdr:nvCxnSpPr>
        <xdr:cNvPr id="13" name="Gerader Verbinder 12">
          <a:extLst>
            <a:ext uri="{FF2B5EF4-FFF2-40B4-BE49-F238E27FC236}">
              <a16:creationId xmlns:a16="http://schemas.microsoft.com/office/drawing/2014/main" id="{00000000-0008-0000-0200-00000D000000}"/>
            </a:ext>
          </a:extLst>
        </xdr:cNvPr>
        <xdr:cNvCxnSpPr/>
      </xdr:nvCxnSpPr>
      <xdr:spPr>
        <a:xfrm flipH="1">
          <a:off x="2967378" y="3521529"/>
          <a:ext cx="140493" cy="386612"/>
        </a:xfrm>
        <a:prstGeom prst="line">
          <a:avLst/>
        </a:prstGeom>
        <a:ln w="3175">
          <a:solidFill>
            <a:srgbClr val="00B050"/>
          </a:solidFill>
          <a:prstDash val="sysDot"/>
          <a:headEnd w="med" len="sm"/>
          <a:tailEnd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265043</xdr:colOff>
      <xdr:row>29</xdr:row>
      <xdr:rowOff>182217</xdr:rowOff>
    </xdr:from>
    <xdr:to>
      <xdr:col>5</xdr:col>
      <xdr:colOff>438978</xdr:colOff>
      <xdr:row>34</xdr:row>
      <xdr:rowOff>107674</xdr:rowOff>
    </xdr:to>
    <xdr:cxnSp macro="">
      <xdr:nvCxnSpPr>
        <xdr:cNvPr id="15" name="Gerader Verbinder 14">
          <a:extLst>
            <a:ext uri="{FF2B5EF4-FFF2-40B4-BE49-F238E27FC236}">
              <a16:creationId xmlns:a16="http://schemas.microsoft.com/office/drawing/2014/main" id="{00000000-0008-0000-0200-00000F000000}"/>
            </a:ext>
          </a:extLst>
        </xdr:cNvPr>
        <xdr:cNvCxnSpPr/>
      </xdr:nvCxnSpPr>
      <xdr:spPr>
        <a:xfrm>
          <a:off x="3230217" y="5938630"/>
          <a:ext cx="173935" cy="927653"/>
        </a:xfrm>
        <a:prstGeom prst="line">
          <a:avLst/>
        </a:prstGeom>
        <a:ln w="3175">
          <a:solidFill>
            <a:srgbClr val="00B050"/>
          </a:solidFill>
          <a:prstDash val="sysDot"/>
          <a:headEnd w="med" len="sm"/>
          <a:tailEnd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47625</xdr:colOff>
      <xdr:row>93</xdr:row>
      <xdr:rowOff>19050</xdr:rowOff>
    </xdr:from>
    <xdr:to>
      <xdr:col>18</xdr:col>
      <xdr:colOff>495300</xdr:colOff>
      <xdr:row>96</xdr:row>
      <xdr:rowOff>211193</xdr:rowOff>
    </xdr:to>
    <xdr:pic>
      <xdr:nvPicPr>
        <xdr:cNvPr id="18" name="Grafik 17">
          <a:extLst>
            <a:ext uri="{FF2B5EF4-FFF2-40B4-BE49-F238E27FC236}">
              <a16:creationId xmlns:a16="http://schemas.microsoft.com/office/drawing/2014/main" id="{00000000-0008-0000-0200-000012000000}"/>
            </a:ext>
          </a:extLst>
        </xdr:cNvPr>
        <xdr:cNvPicPr>
          <a:picLocks noChangeAspect="1"/>
        </xdr:cNvPicPr>
      </xdr:nvPicPr>
      <xdr:blipFill rotWithShape="1">
        <a:blip xmlns:r="http://schemas.openxmlformats.org/officeDocument/2006/relationships" r:embed="rId1"/>
        <a:srcRect t="5338" b="6219"/>
        <a:stretch/>
      </xdr:blipFill>
      <xdr:spPr>
        <a:xfrm>
          <a:off x="5876925" y="14973300"/>
          <a:ext cx="4152900" cy="763643"/>
        </a:xfrm>
        <a:prstGeom prst="rect">
          <a:avLst/>
        </a:prstGeom>
        <a:noFill/>
        <a:effectLst>
          <a:innerShdw blurRad="228600">
            <a:schemeClr val="accent4">
              <a:lumMod val="75000"/>
            </a:schemeClr>
          </a:innerShdw>
        </a:effec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495300</xdr:colOff>
      <xdr:row>21</xdr:row>
      <xdr:rowOff>85725</xdr:rowOff>
    </xdr:from>
    <xdr:ext cx="4010025" cy="601980"/>
    <xdr:sp macro="" textlink="">
      <xdr:nvSpPr>
        <xdr:cNvPr id="2" name="Text Box 12">
          <a:extLst>
            <a:ext uri="{FF2B5EF4-FFF2-40B4-BE49-F238E27FC236}">
              <a16:creationId xmlns:a16="http://schemas.microsoft.com/office/drawing/2014/main" id="{00000000-0008-0000-0300-000002000000}"/>
            </a:ext>
          </a:extLst>
        </xdr:cNvPr>
        <xdr:cNvSpPr txBox="1">
          <a:spLocks noChangeArrowheads="1"/>
        </xdr:cNvSpPr>
      </xdr:nvSpPr>
      <xdr:spPr bwMode="auto">
        <a:xfrm>
          <a:off x="2438400" y="4371975"/>
          <a:ext cx="4010025" cy="601980"/>
        </a:xfrm>
        <a:prstGeom prst="rect">
          <a:avLst/>
        </a:prstGeom>
        <a:solidFill>
          <a:schemeClr val="accent4">
            <a:lumMod val="40000"/>
            <a:lumOff val="60000"/>
          </a:schemeClr>
        </a:solidFill>
        <a:ln w="635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27432" rIns="36576" bIns="27432" anchor="ctr" upright="1"/>
        <a:lstStyle/>
        <a:p>
          <a:pPr algn="ctr" rtl="0">
            <a:defRPr sz="1000"/>
          </a:pPr>
          <a:r>
            <a:rPr lang="de-AT" sz="1000" b="0" i="1" u="none" strike="noStrike" baseline="0">
              <a:solidFill>
                <a:srgbClr val="000000"/>
              </a:solidFill>
              <a:latin typeface="Arial"/>
              <a:cs typeface="Arial"/>
            </a:rPr>
            <a:t>wenn mehr Zeilen benötigt werden:  mit gedrückter Maustaste </a:t>
          </a:r>
          <a:br>
            <a:rPr lang="de-AT" sz="1000" b="0" i="1" u="none" strike="noStrike" baseline="0">
              <a:solidFill>
                <a:srgbClr val="000000"/>
              </a:solidFill>
              <a:latin typeface="Arial"/>
              <a:cs typeface="Arial"/>
            </a:rPr>
          </a:br>
          <a:r>
            <a:rPr lang="de-AT" sz="1000" b="0" i="1" u="none" strike="noStrike" baseline="0">
              <a:solidFill>
                <a:srgbClr val="000000"/>
              </a:solidFill>
              <a:latin typeface="Arial"/>
              <a:cs typeface="Arial"/>
            </a:rPr>
            <a:t>links die Zeilen(nummern) 22 und 55 gemeinsam markieren, </a:t>
          </a:r>
        </a:p>
        <a:p>
          <a:pPr algn="ctr" rtl="0">
            <a:defRPr sz="1000"/>
          </a:pPr>
          <a:r>
            <a:rPr lang="de-AT" sz="1000" b="0" i="1" u="none" strike="noStrike" baseline="0">
              <a:solidFill>
                <a:srgbClr val="000000"/>
              </a:solidFill>
              <a:latin typeface="Arial"/>
              <a:cs typeface="Arial"/>
            </a:rPr>
            <a:t>danach rechts Mausklicken, Einblenden auswählen</a:t>
          </a:r>
          <a:endParaRPr lang="de-AT" i="1"/>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8</xdr:col>
      <xdr:colOff>1316935</xdr:colOff>
      <xdr:row>10</xdr:row>
      <xdr:rowOff>157370</xdr:rowOff>
    </xdr:from>
    <xdr:ext cx="2340915" cy="1718475"/>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5665305" y="2981740"/>
          <a:ext cx="2340915" cy="1718475"/>
        </a:xfrm>
        <a:prstGeom prst="rect">
          <a:avLst/>
        </a:prstGeom>
        <a:solidFill>
          <a:srgbClr val="6FF141">
            <a:alpha val="8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de-AT" sz="1200" b="1" u="none" baseline="0"/>
            <a:t/>
          </a:r>
          <a:br>
            <a:rPr lang="de-AT" sz="1200" b="1" u="none" baseline="0"/>
          </a:br>
          <a:r>
            <a:rPr lang="de-AT" sz="1200" b="1" u="none" baseline="0"/>
            <a:t>Hier sollen jetzt schon die Unterrichtsgruppen in der voraussichtlichen Einteilung eingetragen </a:t>
          </a:r>
          <a:r>
            <a:rPr lang="de-AT" sz="1200" b="0" u="none" baseline="0"/>
            <a:t>und </a:t>
          </a:r>
          <a:r>
            <a:rPr lang="de-AT" sz="1100" b="0" baseline="0">
              <a:solidFill>
                <a:schemeClr val="dk1"/>
              </a:solidFill>
              <a:effectLst/>
              <a:latin typeface="+mn-lt"/>
              <a:ea typeface="+mn-ea"/>
              <a:cs typeface="+mn-cs"/>
            </a:rPr>
            <a:t>möglichst </a:t>
          </a:r>
          <a:br>
            <a:rPr lang="de-AT" sz="1100" b="0" baseline="0">
              <a:solidFill>
                <a:schemeClr val="dk1"/>
              </a:solidFill>
              <a:effectLst/>
              <a:latin typeface="+mn-lt"/>
              <a:ea typeface="+mn-ea"/>
              <a:cs typeface="+mn-cs"/>
            </a:rPr>
          </a:br>
          <a:r>
            <a:rPr lang="de-AT" sz="1100" b="0" baseline="0">
              <a:solidFill>
                <a:schemeClr val="dk1"/>
              </a:solidFill>
              <a:effectLst/>
              <a:latin typeface="+mn-lt"/>
              <a:ea typeface="+mn-ea"/>
              <a:cs typeface="+mn-cs"/>
            </a:rPr>
            <a:t>auch </a:t>
          </a:r>
          <a:r>
            <a:rPr lang="de-AT" sz="1200" b="0" u="none" baseline="0"/>
            <a:t>die eventuell vorgesehenen bzw. gewünschten Lehrpersonen namentlich angeführt werden.</a:t>
          </a:r>
        </a:p>
        <a:p>
          <a:pPr>
            <a:lnSpc>
              <a:spcPts val="1100"/>
            </a:lnSpc>
          </a:pPr>
          <a:r>
            <a:rPr lang="de-AT" sz="1200" b="0" u="none" baseline="0"/>
            <a:t> </a:t>
          </a:r>
          <a:br>
            <a:rPr lang="de-AT" sz="1200" b="0" u="none" baseline="0"/>
          </a:br>
          <a:r>
            <a:rPr lang="de-AT" sz="800" b="0" i="1" u="none" baseline="0"/>
            <a:t>Nach Anklicken kann dieses Textfeld verschoben oder entfernt werden ...</a:t>
          </a:r>
          <a:endParaRPr lang="de-AT" sz="900" b="0" i="1" u="none"/>
        </a:p>
      </xdr:txBody>
    </xdr:sp>
    <xdr:clientData fLocksWithSheet="0" fPrintsWithSheet="0"/>
  </xdr:oneCellAnchor>
  <xdr:oneCellAnchor>
    <xdr:from>
      <xdr:col>4</xdr:col>
      <xdr:colOff>281609</xdr:colOff>
      <xdr:row>19</xdr:row>
      <xdr:rowOff>182217</xdr:rowOff>
    </xdr:from>
    <xdr:ext cx="4010025" cy="601980"/>
    <xdr:sp macro="" textlink="">
      <xdr:nvSpPr>
        <xdr:cNvPr id="3" name="Text Box 12">
          <a:extLst>
            <a:ext uri="{FF2B5EF4-FFF2-40B4-BE49-F238E27FC236}">
              <a16:creationId xmlns:a16="http://schemas.microsoft.com/office/drawing/2014/main" id="{00000000-0008-0000-0500-000003000000}"/>
            </a:ext>
          </a:extLst>
        </xdr:cNvPr>
        <xdr:cNvSpPr txBox="1">
          <a:spLocks noChangeArrowheads="1"/>
        </xdr:cNvSpPr>
      </xdr:nvSpPr>
      <xdr:spPr bwMode="auto">
        <a:xfrm>
          <a:off x="2575892" y="5242891"/>
          <a:ext cx="4010025" cy="601980"/>
        </a:xfrm>
        <a:prstGeom prst="rect">
          <a:avLst/>
        </a:prstGeom>
        <a:solidFill>
          <a:schemeClr val="accent4">
            <a:lumMod val="40000"/>
            <a:lumOff val="60000"/>
          </a:schemeClr>
        </a:solidFill>
        <a:ln w="635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27432" rIns="36576" bIns="27432" anchor="ctr" upright="1"/>
        <a:lstStyle/>
        <a:p>
          <a:pPr algn="ctr" rtl="0">
            <a:defRPr sz="1000"/>
          </a:pPr>
          <a:r>
            <a:rPr lang="de-AT" sz="1000" b="0" i="1" u="none" strike="noStrike" baseline="0">
              <a:solidFill>
                <a:srgbClr val="000000"/>
              </a:solidFill>
              <a:latin typeface="Arial"/>
              <a:cs typeface="Arial"/>
            </a:rPr>
            <a:t>wenn mehr Zeilen benötigt werden:  mit gedrückter Maustaste </a:t>
          </a:r>
          <a:br>
            <a:rPr lang="de-AT" sz="1000" b="0" i="1" u="none" strike="noStrike" baseline="0">
              <a:solidFill>
                <a:srgbClr val="000000"/>
              </a:solidFill>
              <a:latin typeface="Arial"/>
              <a:cs typeface="Arial"/>
            </a:rPr>
          </a:br>
          <a:r>
            <a:rPr lang="de-AT" sz="1000" b="0" i="1" u="none" strike="noStrike" baseline="0">
              <a:solidFill>
                <a:srgbClr val="000000"/>
              </a:solidFill>
              <a:latin typeface="Arial"/>
              <a:cs typeface="Arial"/>
            </a:rPr>
            <a:t>links die Zeilen(nummern) 20 und 35 gemeinsam markieren, </a:t>
          </a:r>
        </a:p>
        <a:p>
          <a:pPr algn="ctr" rtl="0">
            <a:defRPr sz="1000"/>
          </a:pPr>
          <a:r>
            <a:rPr lang="de-AT" sz="1000" b="0" i="1" u="none" strike="noStrike" baseline="0">
              <a:solidFill>
                <a:srgbClr val="000000"/>
              </a:solidFill>
              <a:latin typeface="Arial"/>
              <a:cs typeface="Arial"/>
            </a:rPr>
            <a:t>danach rechts Mausklicken, Einblenden auswählen</a:t>
          </a:r>
          <a:endParaRPr lang="de-AT" i="1"/>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6</xdr:col>
      <xdr:colOff>666750</xdr:colOff>
      <xdr:row>3</xdr:row>
      <xdr:rowOff>11385</xdr:rowOff>
    </xdr:from>
    <xdr:ext cx="2716268" cy="313764"/>
    <xdr:sp macro="" textlink="">
      <xdr:nvSpPr>
        <xdr:cNvPr id="11" name="Text 111">
          <a:extLst>
            <a:ext uri="{FF2B5EF4-FFF2-40B4-BE49-F238E27FC236}">
              <a16:creationId xmlns:a16="http://schemas.microsoft.com/office/drawing/2014/main" id="{45783DCE-77DE-46D9-BC69-9926AB884924}"/>
            </a:ext>
          </a:extLst>
        </xdr:cNvPr>
        <xdr:cNvSpPr txBox="1">
          <a:spLocks noChangeArrowheads="1"/>
        </xdr:cNvSpPr>
      </xdr:nvSpPr>
      <xdr:spPr bwMode="auto">
        <a:xfrm>
          <a:off x="6143625" y="1001985"/>
          <a:ext cx="2716268" cy="31376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de-AT" sz="1100" b="1" i="0" u="none" strike="noStrike" baseline="0">
              <a:solidFill>
                <a:srgbClr val="000000"/>
              </a:solidFill>
              <a:latin typeface="+mn-lt"/>
              <a:cs typeface="Arial"/>
            </a:rPr>
            <a:t>Anzahl der Stunden in</a:t>
          </a:r>
          <a:endParaRPr lang="de-AT" sz="1100" b="1">
            <a:latin typeface="+mn-lt"/>
          </a:endParaRPr>
        </a:p>
      </xdr:txBody>
    </xdr:sp>
    <xdr:clientData/>
  </xdr:oneCellAnchor>
  <xdr:twoCellAnchor>
    <xdr:from>
      <xdr:col>16</xdr:col>
      <xdr:colOff>345520</xdr:colOff>
      <xdr:row>2</xdr:row>
      <xdr:rowOff>342900</xdr:rowOff>
    </xdr:from>
    <xdr:to>
      <xdr:col>16</xdr:col>
      <xdr:colOff>345556</xdr:colOff>
      <xdr:row>3</xdr:row>
      <xdr:rowOff>349</xdr:rowOff>
    </xdr:to>
    <xdr:cxnSp macro="">
      <xdr:nvCxnSpPr>
        <xdr:cNvPr id="18" name="Gerade Verbindung mit Pfeil 17"/>
        <xdr:cNvCxnSpPr/>
      </xdr:nvCxnSpPr>
      <xdr:spPr>
        <a:xfrm flipH="1">
          <a:off x="3679270" y="914400"/>
          <a:ext cx="36" cy="776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340482</xdr:colOff>
      <xdr:row>2</xdr:row>
      <xdr:rowOff>344097</xdr:rowOff>
    </xdr:from>
    <xdr:to>
      <xdr:col>6</xdr:col>
      <xdr:colOff>340518</xdr:colOff>
      <xdr:row>2</xdr:row>
      <xdr:rowOff>417567</xdr:rowOff>
    </xdr:to>
    <xdr:cxnSp macro="">
      <xdr:nvCxnSpPr>
        <xdr:cNvPr id="23" name="Gerade Verbindung mit Pfeil 22"/>
        <xdr:cNvCxnSpPr/>
      </xdr:nvCxnSpPr>
      <xdr:spPr>
        <a:xfrm flipH="1" flipV="1">
          <a:off x="5817357" y="915597"/>
          <a:ext cx="36" cy="734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339871</xdr:colOff>
      <xdr:row>2</xdr:row>
      <xdr:rowOff>163636</xdr:rowOff>
    </xdr:from>
    <xdr:to>
      <xdr:col>6</xdr:col>
      <xdr:colOff>339929</xdr:colOff>
      <xdr:row>2</xdr:row>
      <xdr:rowOff>372196</xdr:rowOff>
    </xdr:to>
    <xdr:cxnSp macro="">
      <xdr:nvCxnSpPr>
        <xdr:cNvPr id="35" name="Gerader Verbinder 34"/>
        <xdr:cNvCxnSpPr/>
      </xdr:nvCxnSpPr>
      <xdr:spPr>
        <a:xfrm flipH="1">
          <a:off x="5816746" y="735136"/>
          <a:ext cx="58" cy="20856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16</xdr:col>
      <xdr:colOff>345515</xdr:colOff>
      <xdr:row>2</xdr:row>
      <xdr:rowOff>155620</xdr:rowOff>
    </xdr:from>
    <xdr:to>
      <xdr:col>16</xdr:col>
      <xdr:colOff>346529</xdr:colOff>
      <xdr:row>2</xdr:row>
      <xdr:rowOff>334618</xdr:rowOff>
    </xdr:to>
    <xdr:cxnSp macro="">
      <xdr:nvCxnSpPr>
        <xdr:cNvPr id="37" name="Gerader Verbinder 36"/>
        <xdr:cNvCxnSpPr/>
      </xdr:nvCxnSpPr>
      <xdr:spPr>
        <a:xfrm>
          <a:off x="3679265" y="727120"/>
          <a:ext cx="1014" cy="178998"/>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340482</xdr:colOff>
      <xdr:row>2</xdr:row>
      <xdr:rowOff>344097</xdr:rowOff>
    </xdr:from>
    <xdr:to>
      <xdr:col>7</xdr:col>
      <xdr:colOff>340518</xdr:colOff>
      <xdr:row>2</xdr:row>
      <xdr:rowOff>417567</xdr:rowOff>
    </xdr:to>
    <xdr:cxnSp macro="">
      <xdr:nvCxnSpPr>
        <xdr:cNvPr id="38" name="Gerade Verbindung mit Pfeil 37"/>
        <xdr:cNvCxnSpPr/>
      </xdr:nvCxnSpPr>
      <xdr:spPr>
        <a:xfrm flipH="1" flipV="1">
          <a:off x="5827811" y="915597"/>
          <a:ext cx="36" cy="734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339871</xdr:colOff>
      <xdr:row>2</xdr:row>
      <xdr:rowOff>163636</xdr:rowOff>
    </xdr:from>
    <xdr:to>
      <xdr:col>7</xdr:col>
      <xdr:colOff>339929</xdr:colOff>
      <xdr:row>2</xdr:row>
      <xdr:rowOff>372196</xdr:rowOff>
    </xdr:to>
    <xdr:cxnSp macro="">
      <xdr:nvCxnSpPr>
        <xdr:cNvPr id="39" name="Gerader Verbinder 38"/>
        <xdr:cNvCxnSpPr/>
      </xdr:nvCxnSpPr>
      <xdr:spPr>
        <a:xfrm flipH="1">
          <a:off x="5827200" y="735136"/>
          <a:ext cx="58" cy="20856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8</xdr:col>
      <xdr:colOff>340482</xdr:colOff>
      <xdr:row>2</xdr:row>
      <xdr:rowOff>344097</xdr:rowOff>
    </xdr:from>
    <xdr:to>
      <xdr:col>8</xdr:col>
      <xdr:colOff>340518</xdr:colOff>
      <xdr:row>2</xdr:row>
      <xdr:rowOff>417567</xdr:rowOff>
    </xdr:to>
    <xdr:cxnSp macro="">
      <xdr:nvCxnSpPr>
        <xdr:cNvPr id="40" name="Gerade Verbindung mit Pfeil 39"/>
        <xdr:cNvCxnSpPr/>
      </xdr:nvCxnSpPr>
      <xdr:spPr>
        <a:xfrm flipH="1" flipV="1">
          <a:off x="5827811" y="915597"/>
          <a:ext cx="36" cy="734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339871</xdr:colOff>
      <xdr:row>2</xdr:row>
      <xdr:rowOff>163636</xdr:rowOff>
    </xdr:from>
    <xdr:to>
      <xdr:col>8</xdr:col>
      <xdr:colOff>339929</xdr:colOff>
      <xdr:row>2</xdr:row>
      <xdr:rowOff>372196</xdr:rowOff>
    </xdr:to>
    <xdr:cxnSp macro="">
      <xdr:nvCxnSpPr>
        <xdr:cNvPr id="41" name="Gerader Verbinder 40"/>
        <xdr:cNvCxnSpPr/>
      </xdr:nvCxnSpPr>
      <xdr:spPr>
        <a:xfrm flipH="1">
          <a:off x="5827200" y="735136"/>
          <a:ext cx="58" cy="20856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340482</xdr:colOff>
      <xdr:row>2</xdr:row>
      <xdr:rowOff>344097</xdr:rowOff>
    </xdr:from>
    <xdr:to>
      <xdr:col>9</xdr:col>
      <xdr:colOff>340518</xdr:colOff>
      <xdr:row>2</xdr:row>
      <xdr:rowOff>417567</xdr:rowOff>
    </xdr:to>
    <xdr:cxnSp macro="">
      <xdr:nvCxnSpPr>
        <xdr:cNvPr id="42" name="Gerade Verbindung mit Pfeil 41"/>
        <xdr:cNvCxnSpPr/>
      </xdr:nvCxnSpPr>
      <xdr:spPr>
        <a:xfrm flipH="1" flipV="1">
          <a:off x="5827811" y="915597"/>
          <a:ext cx="36" cy="734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339871</xdr:colOff>
      <xdr:row>2</xdr:row>
      <xdr:rowOff>163636</xdr:rowOff>
    </xdr:from>
    <xdr:to>
      <xdr:col>9</xdr:col>
      <xdr:colOff>339929</xdr:colOff>
      <xdr:row>2</xdr:row>
      <xdr:rowOff>372196</xdr:rowOff>
    </xdr:to>
    <xdr:cxnSp macro="">
      <xdr:nvCxnSpPr>
        <xdr:cNvPr id="43" name="Gerader Verbinder 42"/>
        <xdr:cNvCxnSpPr/>
      </xdr:nvCxnSpPr>
      <xdr:spPr>
        <a:xfrm flipH="1">
          <a:off x="5827200" y="735136"/>
          <a:ext cx="58" cy="20856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10</xdr:col>
      <xdr:colOff>340482</xdr:colOff>
      <xdr:row>2</xdr:row>
      <xdr:rowOff>344097</xdr:rowOff>
    </xdr:from>
    <xdr:to>
      <xdr:col>10</xdr:col>
      <xdr:colOff>340518</xdr:colOff>
      <xdr:row>2</xdr:row>
      <xdr:rowOff>417567</xdr:rowOff>
    </xdr:to>
    <xdr:cxnSp macro="">
      <xdr:nvCxnSpPr>
        <xdr:cNvPr id="44" name="Gerade Verbindung mit Pfeil 43"/>
        <xdr:cNvCxnSpPr/>
      </xdr:nvCxnSpPr>
      <xdr:spPr>
        <a:xfrm flipH="1" flipV="1">
          <a:off x="5827811" y="915597"/>
          <a:ext cx="36" cy="734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339871</xdr:colOff>
      <xdr:row>2</xdr:row>
      <xdr:rowOff>163636</xdr:rowOff>
    </xdr:from>
    <xdr:to>
      <xdr:col>10</xdr:col>
      <xdr:colOff>339929</xdr:colOff>
      <xdr:row>2</xdr:row>
      <xdr:rowOff>372196</xdr:rowOff>
    </xdr:to>
    <xdr:cxnSp macro="">
      <xdr:nvCxnSpPr>
        <xdr:cNvPr id="45" name="Gerader Verbinder 44"/>
        <xdr:cNvCxnSpPr/>
      </xdr:nvCxnSpPr>
      <xdr:spPr>
        <a:xfrm flipH="1">
          <a:off x="5827200" y="735136"/>
          <a:ext cx="58" cy="20856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11</xdr:col>
      <xdr:colOff>340482</xdr:colOff>
      <xdr:row>2</xdr:row>
      <xdr:rowOff>344097</xdr:rowOff>
    </xdr:from>
    <xdr:to>
      <xdr:col>11</xdr:col>
      <xdr:colOff>340518</xdr:colOff>
      <xdr:row>2</xdr:row>
      <xdr:rowOff>417567</xdr:rowOff>
    </xdr:to>
    <xdr:cxnSp macro="">
      <xdr:nvCxnSpPr>
        <xdr:cNvPr id="46" name="Gerade Verbindung mit Pfeil 45"/>
        <xdr:cNvCxnSpPr/>
      </xdr:nvCxnSpPr>
      <xdr:spPr>
        <a:xfrm flipH="1" flipV="1">
          <a:off x="5827811" y="915597"/>
          <a:ext cx="36" cy="734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339871</xdr:colOff>
      <xdr:row>2</xdr:row>
      <xdr:rowOff>163636</xdr:rowOff>
    </xdr:from>
    <xdr:to>
      <xdr:col>11</xdr:col>
      <xdr:colOff>339929</xdr:colOff>
      <xdr:row>2</xdr:row>
      <xdr:rowOff>372196</xdr:rowOff>
    </xdr:to>
    <xdr:cxnSp macro="">
      <xdr:nvCxnSpPr>
        <xdr:cNvPr id="47" name="Gerader Verbinder 46"/>
        <xdr:cNvCxnSpPr/>
      </xdr:nvCxnSpPr>
      <xdr:spPr>
        <a:xfrm flipH="1">
          <a:off x="5827200" y="735136"/>
          <a:ext cx="58" cy="20856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12</xdr:col>
      <xdr:colOff>340482</xdr:colOff>
      <xdr:row>2</xdr:row>
      <xdr:rowOff>344097</xdr:rowOff>
    </xdr:from>
    <xdr:to>
      <xdr:col>12</xdr:col>
      <xdr:colOff>340518</xdr:colOff>
      <xdr:row>2</xdr:row>
      <xdr:rowOff>417567</xdr:rowOff>
    </xdr:to>
    <xdr:cxnSp macro="">
      <xdr:nvCxnSpPr>
        <xdr:cNvPr id="48" name="Gerade Verbindung mit Pfeil 47"/>
        <xdr:cNvCxnSpPr/>
      </xdr:nvCxnSpPr>
      <xdr:spPr>
        <a:xfrm flipH="1" flipV="1">
          <a:off x="5827811" y="915597"/>
          <a:ext cx="36" cy="734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339871</xdr:colOff>
      <xdr:row>2</xdr:row>
      <xdr:rowOff>163636</xdr:rowOff>
    </xdr:from>
    <xdr:to>
      <xdr:col>12</xdr:col>
      <xdr:colOff>339929</xdr:colOff>
      <xdr:row>2</xdr:row>
      <xdr:rowOff>372196</xdr:rowOff>
    </xdr:to>
    <xdr:cxnSp macro="">
      <xdr:nvCxnSpPr>
        <xdr:cNvPr id="49" name="Gerader Verbinder 48"/>
        <xdr:cNvCxnSpPr/>
      </xdr:nvCxnSpPr>
      <xdr:spPr>
        <a:xfrm flipH="1">
          <a:off x="5827200" y="735136"/>
          <a:ext cx="58" cy="20856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14</xdr:col>
      <xdr:colOff>340482</xdr:colOff>
      <xdr:row>2</xdr:row>
      <xdr:rowOff>344097</xdr:rowOff>
    </xdr:from>
    <xdr:to>
      <xdr:col>14</xdr:col>
      <xdr:colOff>340518</xdr:colOff>
      <xdr:row>2</xdr:row>
      <xdr:rowOff>417567</xdr:rowOff>
    </xdr:to>
    <xdr:cxnSp macro="">
      <xdr:nvCxnSpPr>
        <xdr:cNvPr id="50" name="Gerade Verbindung mit Pfeil 49"/>
        <xdr:cNvCxnSpPr/>
      </xdr:nvCxnSpPr>
      <xdr:spPr>
        <a:xfrm flipH="1" flipV="1">
          <a:off x="5827811" y="915597"/>
          <a:ext cx="36" cy="734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339871</xdr:colOff>
      <xdr:row>2</xdr:row>
      <xdr:rowOff>163636</xdr:rowOff>
    </xdr:from>
    <xdr:to>
      <xdr:col>14</xdr:col>
      <xdr:colOff>339929</xdr:colOff>
      <xdr:row>2</xdr:row>
      <xdr:rowOff>372196</xdr:rowOff>
    </xdr:to>
    <xdr:cxnSp macro="">
      <xdr:nvCxnSpPr>
        <xdr:cNvPr id="51" name="Gerader Verbinder 50"/>
        <xdr:cNvCxnSpPr/>
      </xdr:nvCxnSpPr>
      <xdr:spPr>
        <a:xfrm flipH="1">
          <a:off x="5827200" y="735136"/>
          <a:ext cx="58" cy="20856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6</xdr:col>
      <xdr:colOff>341586</xdr:colOff>
      <xdr:row>2</xdr:row>
      <xdr:rowOff>151086</xdr:rowOff>
    </xdr:from>
    <xdr:to>
      <xdr:col>16</xdr:col>
      <xdr:colOff>348156</xdr:colOff>
      <xdr:row>2</xdr:row>
      <xdr:rowOff>164224</xdr:rowOff>
    </xdr:to>
    <xdr:cxnSp macro="">
      <xdr:nvCxnSpPr>
        <xdr:cNvPr id="52" name="Gerader Verbinder 51"/>
        <xdr:cNvCxnSpPr/>
      </xdr:nvCxnSpPr>
      <xdr:spPr>
        <a:xfrm flipH="1">
          <a:off x="5136931" y="722586"/>
          <a:ext cx="5583622" cy="13138"/>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45720</xdr:colOff>
      <xdr:row>51</xdr:row>
      <xdr:rowOff>0</xdr:rowOff>
    </xdr:from>
    <xdr:to>
      <xdr:col>1</xdr:col>
      <xdr:colOff>0</xdr:colOff>
      <xdr:row>51</xdr:row>
      <xdr:rowOff>0</xdr:rowOff>
    </xdr:to>
    <xdr:sp macro="" textlink="">
      <xdr:nvSpPr>
        <xdr:cNvPr id="2" name="Text 101">
          <a:extLst>
            <a:ext uri="{FF2B5EF4-FFF2-40B4-BE49-F238E27FC236}">
              <a16:creationId xmlns:a16="http://schemas.microsoft.com/office/drawing/2014/main" id="{87F18885-550A-4220-AA53-A162105EACAA}"/>
            </a:ext>
          </a:extLst>
        </xdr:cNvPr>
        <xdr:cNvSpPr txBox="1">
          <a:spLocks noChangeArrowheads="1"/>
        </xdr:cNvSpPr>
      </xdr:nvSpPr>
      <xdr:spPr bwMode="auto">
        <a:xfrm>
          <a:off x="45720" y="16878300"/>
          <a:ext cx="164973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de-AT" sz="600" b="0" i="0" u="none" strike="noStrike" baseline="0">
              <a:solidFill>
                <a:srgbClr val="000000"/>
              </a:solidFill>
              <a:latin typeface="Arial"/>
              <a:cs typeface="Arial"/>
            </a:rPr>
            <a:t>[ Anzahl bzw. allfälligen Namensvorschlag angeben !! ] </a:t>
          </a:r>
          <a:endParaRPr lang="de-AT"/>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178734</xdr:colOff>
      <xdr:row>3</xdr:row>
      <xdr:rowOff>224790</xdr:rowOff>
    </xdr:from>
    <xdr:to>
      <xdr:col>9</xdr:col>
      <xdr:colOff>759760</xdr:colOff>
      <xdr:row>3</xdr:row>
      <xdr:rowOff>666750</xdr:rowOff>
    </xdr:to>
    <xdr:sp macro="" textlink="">
      <xdr:nvSpPr>
        <xdr:cNvPr id="2" name="Text 111">
          <a:extLst>
            <a:ext uri="{FF2B5EF4-FFF2-40B4-BE49-F238E27FC236}">
              <a16:creationId xmlns:a16="http://schemas.microsoft.com/office/drawing/2014/main" id="{8E6C7718-6AD2-48D7-AC70-7F6936155E06}"/>
            </a:ext>
          </a:extLst>
        </xdr:cNvPr>
        <xdr:cNvSpPr txBox="1">
          <a:spLocks noChangeArrowheads="1"/>
        </xdr:cNvSpPr>
      </xdr:nvSpPr>
      <xdr:spPr bwMode="auto">
        <a:xfrm>
          <a:off x="7255809" y="1434465"/>
          <a:ext cx="1428751" cy="4419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de-AT" sz="1000" b="1" i="0" u="none" strike="noStrike" baseline="0">
              <a:solidFill>
                <a:srgbClr val="000000"/>
              </a:solidFill>
              <a:latin typeface="Arial"/>
              <a:cs typeface="Arial"/>
            </a:rPr>
            <a:t>sonstiger </a:t>
          </a:r>
          <a:r>
            <a:rPr lang="de-AT" sz="1000" b="0" i="0" u="none" strike="noStrike" baseline="0">
              <a:solidFill>
                <a:srgbClr val="000000"/>
              </a:solidFill>
              <a:latin typeface="Arial"/>
              <a:cs typeface="Arial"/>
            </a:rPr>
            <a:t>Unterricht</a:t>
          </a:r>
          <a:endParaRPr lang="de-AT"/>
        </a:p>
      </xdr:txBody>
    </xdr:sp>
    <xdr:clientData/>
  </xdr:twoCellAnchor>
  <xdr:oneCellAnchor>
    <xdr:from>
      <xdr:col>0</xdr:col>
      <xdr:colOff>37111</xdr:colOff>
      <xdr:row>37</xdr:row>
      <xdr:rowOff>257404</xdr:rowOff>
    </xdr:from>
    <xdr:ext cx="1407565" cy="342786"/>
    <xdr:sp macro="" textlink="">
      <xdr:nvSpPr>
        <xdr:cNvPr id="3" name="Textfeld 2">
          <a:extLst>
            <a:ext uri="{FF2B5EF4-FFF2-40B4-BE49-F238E27FC236}">
              <a16:creationId xmlns:a16="http://schemas.microsoft.com/office/drawing/2014/main" id="{232F3062-16B9-4C14-8155-263DD31A0BFD}"/>
            </a:ext>
          </a:extLst>
        </xdr:cNvPr>
        <xdr:cNvSpPr txBox="1"/>
      </xdr:nvSpPr>
      <xdr:spPr>
        <a:xfrm>
          <a:off x="37111" y="13011379"/>
          <a:ext cx="1407565" cy="342786"/>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lang="de-AT" sz="1600" i="1" u="sng"/>
            <a:t>Anmerkungen:</a:t>
          </a:r>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5</xdr:col>
      <xdr:colOff>114300</xdr:colOff>
      <xdr:row>5</xdr:row>
      <xdr:rowOff>38100</xdr:rowOff>
    </xdr:from>
    <xdr:ext cx="2851150" cy="436786"/>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1847850" y="1092200"/>
          <a:ext cx="2851150" cy="43678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de-AT" sz="1100"/>
            <a:t> blau in Spalte D  = anders </a:t>
          </a:r>
          <a:r>
            <a:rPr lang="de-AT" sz="1100">
              <a:solidFill>
                <a:schemeClr val="dk1"/>
              </a:solidFill>
              <a:effectLst/>
              <a:latin typeface="+mn-lt"/>
              <a:ea typeface="+mn-ea"/>
              <a:cs typeface="+mn-cs"/>
            </a:rPr>
            <a:t>Bedarf : </a:t>
          </a:r>
          <a:r>
            <a:rPr lang="de-AT" sz="1100" baseline="0">
              <a:solidFill>
                <a:schemeClr val="dk1"/>
              </a:solidFill>
              <a:effectLst/>
              <a:latin typeface="+mn-lt"/>
              <a:ea typeface="+mn-ea"/>
              <a:cs typeface="+mn-cs"/>
            </a:rPr>
            <a:t>Schulstart</a:t>
          </a:r>
          <a:endParaRPr lang="de-AT" sz="1100" baseline="0"/>
        </a:p>
        <a:p>
          <a:r>
            <a:rPr lang="de-AT" sz="1100" baseline="0"/>
            <a:t> gelb in Spalte E  = jährlich prüfen/anpassen</a:t>
          </a:r>
          <a:endParaRPr lang="de-AT"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www2.vobs.at/ftp-pub/allgemein/formulare/GTS.PDF"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bildung-vbg.gv.at/unterricht/paedagogische-themen/Erstsprachenunterricht.html" TargetMode="External"/><Relationship Id="rId1" Type="http://schemas.openxmlformats.org/officeDocument/2006/relationships/hyperlink" Target="mailto:mustafa.can@bildung-vbg.gv.at"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7030A0"/>
    <pageSetUpPr fitToPage="1"/>
  </sheetPr>
  <dimension ref="A1:W296"/>
  <sheetViews>
    <sheetView topLeftCell="D1" workbookViewId="0">
      <selection activeCell="D16" sqref="D16"/>
    </sheetView>
  </sheetViews>
  <sheetFormatPr baseColWidth="10" defaultColWidth="11.42578125" defaultRowHeight="15" x14ac:dyDescent="0.25"/>
  <cols>
    <col min="1" max="1" width="9.140625" style="8" bestFit="1" customWidth="1"/>
    <col min="2" max="2" width="19" style="23" customWidth="1"/>
    <col min="3" max="3" width="7" style="8" bestFit="1" customWidth="1"/>
    <col min="4" max="4" width="49.85546875" style="8" customWidth="1"/>
    <col min="5" max="5" width="9.140625" style="8" customWidth="1"/>
    <col min="6" max="6" width="6.5703125" style="8" customWidth="1"/>
    <col min="7" max="7" width="9.5703125" style="8" bestFit="1" customWidth="1"/>
    <col min="8" max="8" width="13" style="8" bestFit="1" customWidth="1"/>
    <col min="9" max="9" width="9.7109375" style="8" customWidth="1"/>
    <col min="10" max="10" width="31.7109375" style="8" bestFit="1" customWidth="1"/>
    <col min="11" max="11" width="31.7109375" style="8" customWidth="1"/>
    <col min="12" max="12" width="9.140625" style="8" bestFit="1" customWidth="1"/>
    <col min="13" max="14" width="7.85546875" style="8" customWidth="1"/>
    <col min="15" max="16" width="9.7109375" style="8" customWidth="1"/>
    <col min="17" max="16384" width="11.42578125" style="8"/>
  </cols>
  <sheetData>
    <row r="1" spans="1:23" ht="18.75" x14ac:dyDescent="0.3">
      <c r="B1" s="9" t="s">
        <v>14</v>
      </c>
      <c r="D1" s="10">
        <f>SUBTOTAL(103,D4:D223)</f>
        <v>220</v>
      </c>
      <c r="F1" s="11">
        <f>SUBTOTAL(101,F4:F223)</f>
        <v>116.13705457992583</v>
      </c>
      <c r="N1" s="34"/>
      <c r="O1" s="8" t="s">
        <v>272</v>
      </c>
      <c r="P1" s="37">
        <v>108</v>
      </c>
      <c r="S1" s="830" t="s">
        <v>865</v>
      </c>
      <c r="W1" s="118" t="s">
        <v>628</v>
      </c>
    </row>
    <row r="2" spans="1:23" ht="29.25" customHeight="1" x14ac:dyDescent="0.25">
      <c r="A2" s="12" t="s">
        <v>15</v>
      </c>
      <c r="B2" s="12"/>
      <c r="C2" s="12" t="s">
        <v>0</v>
      </c>
      <c r="D2" s="12" t="s">
        <v>16</v>
      </c>
      <c r="E2" s="13" t="s">
        <v>17</v>
      </c>
      <c r="F2" s="14" t="s">
        <v>2</v>
      </c>
      <c r="G2" s="12" t="s">
        <v>18</v>
      </c>
      <c r="H2" s="13" t="s">
        <v>19</v>
      </c>
      <c r="I2" s="13" t="s">
        <v>20</v>
      </c>
      <c r="J2" s="13" t="s">
        <v>735</v>
      </c>
      <c r="K2" s="13" t="s">
        <v>736</v>
      </c>
      <c r="L2" s="12"/>
      <c r="M2" s="13" t="s">
        <v>737</v>
      </c>
      <c r="N2" s="13" t="s">
        <v>738</v>
      </c>
      <c r="O2" s="13" t="s">
        <v>739</v>
      </c>
      <c r="P2" s="35">
        <v>6.3330000000000001E-3</v>
      </c>
      <c r="Q2" s="36" t="s">
        <v>271</v>
      </c>
    </row>
    <row r="3" spans="1:23" x14ac:dyDescent="0.25">
      <c r="A3" s="8" t="s">
        <v>21</v>
      </c>
      <c r="B3" s="15">
        <v>0</v>
      </c>
      <c r="C3" s="8">
        <v>0</v>
      </c>
      <c r="D3" s="8">
        <v>0</v>
      </c>
      <c r="E3" s="8">
        <v>0</v>
      </c>
      <c r="F3" s="16">
        <v>0</v>
      </c>
      <c r="G3" s="8">
        <v>0</v>
      </c>
      <c r="H3" s="8">
        <v>0</v>
      </c>
      <c r="I3" s="8" t="s">
        <v>22</v>
      </c>
    </row>
    <row r="4" spans="1:23" x14ac:dyDescent="0.25">
      <c r="A4" s="8" t="s">
        <v>21</v>
      </c>
      <c r="B4" s="15" t="s">
        <v>23</v>
      </c>
      <c r="C4" s="8">
        <v>801011</v>
      </c>
      <c r="D4" s="8" t="s">
        <v>24</v>
      </c>
      <c r="E4" s="8">
        <v>68</v>
      </c>
      <c r="F4" s="16">
        <v>103.86967000937599</v>
      </c>
      <c r="G4" s="8" t="s">
        <v>25</v>
      </c>
      <c r="H4" s="8" t="s">
        <v>24</v>
      </c>
      <c r="I4" s="8" t="s">
        <v>22</v>
      </c>
      <c r="J4" s="8" t="s">
        <v>740</v>
      </c>
      <c r="K4" s="8" t="s">
        <v>23</v>
      </c>
      <c r="M4" s="8" t="s">
        <v>28</v>
      </c>
    </row>
    <row r="5" spans="1:23" x14ac:dyDescent="0.25">
      <c r="A5" s="8" t="s">
        <v>21</v>
      </c>
      <c r="B5" s="15" t="s">
        <v>23</v>
      </c>
      <c r="C5" s="8">
        <v>801021</v>
      </c>
      <c r="D5" s="8" t="s">
        <v>26</v>
      </c>
      <c r="E5" s="8">
        <v>47</v>
      </c>
      <c r="F5" s="16">
        <v>118.012382655452</v>
      </c>
      <c r="G5" s="8" t="s">
        <v>27</v>
      </c>
      <c r="H5" s="8" t="s">
        <v>24</v>
      </c>
      <c r="I5" s="8" t="s">
        <v>22</v>
      </c>
      <c r="J5" s="8" t="s">
        <v>740</v>
      </c>
      <c r="K5" s="8" t="s">
        <v>741</v>
      </c>
      <c r="M5" s="8" t="s">
        <v>28</v>
      </c>
    </row>
    <row r="6" spans="1:23" x14ac:dyDescent="0.25">
      <c r="A6" s="8" t="s">
        <v>21</v>
      </c>
      <c r="B6" s="15" t="s">
        <v>28</v>
      </c>
      <c r="C6" s="8">
        <v>801022</v>
      </c>
      <c r="D6" s="8" t="s">
        <v>29</v>
      </c>
      <c r="E6" s="8">
        <v>285</v>
      </c>
      <c r="F6" s="16">
        <v>146.05941249530099</v>
      </c>
      <c r="G6" s="8" t="s">
        <v>30</v>
      </c>
      <c r="H6" s="8" t="s">
        <v>31</v>
      </c>
      <c r="I6" s="8" t="s">
        <v>22</v>
      </c>
      <c r="J6" s="8" t="s">
        <v>742</v>
      </c>
      <c r="K6" s="8" t="s">
        <v>28</v>
      </c>
      <c r="M6" s="8" t="s">
        <v>28</v>
      </c>
    </row>
    <row r="7" spans="1:23" x14ac:dyDescent="0.25">
      <c r="A7" s="8" t="s">
        <v>21</v>
      </c>
      <c r="B7" s="15" t="s">
        <v>32</v>
      </c>
      <c r="C7" s="8">
        <v>801032</v>
      </c>
      <c r="D7" s="8" t="s">
        <v>33</v>
      </c>
      <c r="E7" s="8">
        <v>323</v>
      </c>
      <c r="F7" s="16">
        <v>117.18169856855999</v>
      </c>
      <c r="G7" s="8" t="s">
        <v>27</v>
      </c>
      <c r="H7" s="8" t="s">
        <v>31</v>
      </c>
      <c r="I7" s="793" t="s">
        <v>22</v>
      </c>
      <c r="J7" s="794" t="s">
        <v>742</v>
      </c>
      <c r="K7" s="793" t="s">
        <v>32</v>
      </c>
      <c r="L7" s="793"/>
      <c r="M7" s="8" t="s">
        <v>28</v>
      </c>
      <c r="O7" s="793"/>
    </row>
    <row r="8" spans="1:23" x14ac:dyDescent="0.25">
      <c r="A8" s="8" t="s">
        <v>21</v>
      </c>
      <c r="B8" s="15" t="s">
        <v>34</v>
      </c>
      <c r="C8" s="8">
        <v>801042</v>
      </c>
      <c r="D8" s="8" t="s">
        <v>35</v>
      </c>
      <c r="E8" s="8">
        <v>188</v>
      </c>
      <c r="F8" s="16">
        <v>110.956961639509</v>
      </c>
      <c r="G8" s="8" t="s">
        <v>25</v>
      </c>
      <c r="H8" s="8" t="s">
        <v>31</v>
      </c>
      <c r="I8" s="8" t="s">
        <v>22</v>
      </c>
      <c r="J8" s="8" t="s">
        <v>742</v>
      </c>
      <c r="K8" s="8" t="s">
        <v>743</v>
      </c>
      <c r="M8" s="8" t="s">
        <v>28</v>
      </c>
    </row>
    <row r="9" spans="1:23" x14ac:dyDescent="0.25">
      <c r="A9" s="8" t="s">
        <v>21</v>
      </c>
      <c r="B9" s="15" t="s">
        <v>36</v>
      </c>
      <c r="C9" s="8">
        <v>801051</v>
      </c>
      <c r="D9" s="8" t="s">
        <v>24</v>
      </c>
      <c r="E9" s="8">
        <v>14</v>
      </c>
      <c r="F9" s="16">
        <v>108.627327533578</v>
      </c>
      <c r="G9" s="8" t="s">
        <v>25</v>
      </c>
      <c r="H9" s="8" t="s">
        <v>24</v>
      </c>
      <c r="I9" s="8" t="s">
        <v>22</v>
      </c>
      <c r="J9" s="8" t="s">
        <v>740</v>
      </c>
      <c r="K9" s="8" t="s">
        <v>36</v>
      </c>
      <c r="M9" s="8" t="s">
        <v>28</v>
      </c>
    </row>
    <row r="10" spans="1:23" x14ac:dyDescent="0.25">
      <c r="A10" s="8" t="s">
        <v>21</v>
      </c>
      <c r="B10" s="15" t="s">
        <v>37</v>
      </c>
      <c r="C10" s="8">
        <v>801052</v>
      </c>
      <c r="D10" s="8" t="s">
        <v>33</v>
      </c>
      <c r="E10" s="8">
        <v>362</v>
      </c>
      <c r="F10" s="16">
        <v>110.482969966588</v>
      </c>
      <c r="G10" s="8" t="s">
        <v>25</v>
      </c>
      <c r="H10" s="8" t="s">
        <v>31</v>
      </c>
      <c r="I10" s="8" t="s">
        <v>22</v>
      </c>
      <c r="J10" s="8" t="s">
        <v>742</v>
      </c>
      <c r="K10" s="8" t="s">
        <v>37</v>
      </c>
      <c r="M10" s="8" t="s">
        <v>28</v>
      </c>
    </row>
    <row r="11" spans="1:23" x14ac:dyDescent="0.25">
      <c r="A11" s="8" t="s">
        <v>21</v>
      </c>
      <c r="B11" s="15" t="s">
        <v>38</v>
      </c>
      <c r="C11" s="8">
        <v>801062</v>
      </c>
      <c r="D11" s="8" t="s">
        <v>33</v>
      </c>
      <c r="E11" s="8">
        <v>276</v>
      </c>
      <c r="F11" s="16">
        <v>117.25280100433</v>
      </c>
      <c r="G11" s="8" t="s">
        <v>27</v>
      </c>
      <c r="H11" s="8" t="s">
        <v>31</v>
      </c>
      <c r="I11" s="793" t="s">
        <v>22</v>
      </c>
      <c r="J11" s="794" t="s">
        <v>742</v>
      </c>
      <c r="K11" s="794" t="s">
        <v>38</v>
      </c>
      <c r="L11" s="793"/>
      <c r="M11" s="8" t="s">
        <v>28</v>
      </c>
      <c r="O11" s="793"/>
    </row>
    <row r="12" spans="1:23" x14ac:dyDescent="0.25">
      <c r="A12" s="8" t="s">
        <v>21</v>
      </c>
      <c r="B12" s="15" t="s">
        <v>28</v>
      </c>
      <c r="C12" s="8">
        <v>801071</v>
      </c>
      <c r="D12" s="8" t="s">
        <v>39</v>
      </c>
      <c r="E12" s="8">
        <v>253</v>
      </c>
      <c r="F12" s="16">
        <v>138.649017269681</v>
      </c>
      <c r="G12" s="8" t="s">
        <v>30</v>
      </c>
      <c r="H12" s="8" t="s">
        <v>24</v>
      </c>
      <c r="I12" s="8" t="s">
        <v>22</v>
      </c>
      <c r="J12" s="8" t="s">
        <v>740</v>
      </c>
      <c r="K12" s="8" t="s">
        <v>744</v>
      </c>
      <c r="M12" s="795" t="s">
        <v>28</v>
      </c>
      <c r="N12" s="8">
        <v>-0.5</v>
      </c>
    </row>
    <row r="13" spans="1:23" x14ac:dyDescent="0.25">
      <c r="A13" s="8" t="s">
        <v>21</v>
      </c>
      <c r="B13" s="15" t="s">
        <v>40</v>
      </c>
      <c r="C13" s="8">
        <v>801072</v>
      </c>
      <c r="D13" s="8" t="s">
        <v>41</v>
      </c>
      <c r="E13" s="8">
        <v>90</v>
      </c>
      <c r="F13" s="16">
        <v>109.61048837888301</v>
      </c>
      <c r="G13" s="8" t="s">
        <v>25</v>
      </c>
      <c r="H13" s="8" t="s">
        <v>31</v>
      </c>
      <c r="I13" s="793" t="s">
        <v>22</v>
      </c>
      <c r="J13" s="796" t="s">
        <v>742</v>
      </c>
      <c r="K13" s="796" t="s">
        <v>745</v>
      </c>
      <c r="L13" s="793"/>
      <c r="M13" s="8" t="s">
        <v>28</v>
      </c>
      <c r="O13" s="793"/>
    </row>
    <row r="14" spans="1:23" x14ac:dyDescent="0.25">
      <c r="A14" s="8" t="s">
        <v>21</v>
      </c>
      <c r="B14" s="15" t="s">
        <v>28</v>
      </c>
      <c r="C14" s="8">
        <v>801081</v>
      </c>
      <c r="D14" s="8" t="s">
        <v>42</v>
      </c>
      <c r="E14" s="8">
        <v>147</v>
      </c>
      <c r="F14" s="16">
        <v>120.482690684801</v>
      </c>
      <c r="G14" s="8" t="s">
        <v>27</v>
      </c>
      <c r="H14" s="8" t="s">
        <v>24</v>
      </c>
      <c r="I14" s="8" t="s">
        <v>22</v>
      </c>
      <c r="J14" s="8" t="s">
        <v>740</v>
      </c>
      <c r="K14" s="8" t="s">
        <v>746</v>
      </c>
      <c r="M14" s="795" t="s">
        <v>28</v>
      </c>
      <c r="N14" s="8">
        <v>-0.5</v>
      </c>
    </row>
    <row r="15" spans="1:23" x14ac:dyDescent="0.25">
      <c r="A15" s="8" t="s">
        <v>21</v>
      </c>
      <c r="B15" s="15" t="s">
        <v>43</v>
      </c>
      <c r="C15" s="8">
        <v>801082</v>
      </c>
      <c r="D15" s="8" t="s">
        <v>33</v>
      </c>
      <c r="E15" s="8">
        <v>39</v>
      </c>
      <c r="F15" s="16">
        <v>118.574102068684</v>
      </c>
      <c r="G15" s="8" t="s">
        <v>27</v>
      </c>
      <c r="H15" s="8" t="s">
        <v>31</v>
      </c>
      <c r="I15" s="8" t="s">
        <v>22</v>
      </c>
      <c r="J15" s="8" t="s">
        <v>742</v>
      </c>
      <c r="K15" s="8" t="s">
        <v>43</v>
      </c>
      <c r="M15" s="8" t="s">
        <v>28</v>
      </c>
    </row>
    <row r="16" spans="1:23" x14ac:dyDescent="0.25">
      <c r="A16" s="8" t="s">
        <v>21</v>
      </c>
      <c r="B16" s="15" t="s">
        <v>28</v>
      </c>
      <c r="C16" s="797">
        <v>801091</v>
      </c>
      <c r="D16" s="8" t="s">
        <v>44</v>
      </c>
      <c r="E16" s="8">
        <v>131</v>
      </c>
      <c r="F16" s="16">
        <v>135.58779022828199</v>
      </c>
      <c r="G16" s="8" t="s">
        <v>30</v>
      </c>
      <c r="H16" s="8" t="s">
        <v>24</v>
      </c>
      <c r="I16" s="793" t="s">
        <v>22</v>
      </c>
      <c r="J16" s="794" t="s">
        <v>740</v>
      </c>
      <c r="K16" s="793" t="s">
        <v>747</v>
      </c>
      <c r="L16" s="793"/>
      <c r="M16" s="795" t="s">
        <v>28</v>
      </c>
      <c r="N16" s="8">
        <v>-0.5</v>
      </c>
      <c r="O16" s="793"/>
    </row>
    <row r="17" spans="1:15" x14ac:dyDescent="0.25">
      <c r="A17" s="8" t="s">
        <v>21</v>
      </c>
      <c r="B17" s="15" t="s">
        <v>45</v>
      </c>
      <c r="C17" s="8">
        <v>801092</v>
      </c>
      <c r="D17" s="8" t="s">
        <v>46</v>
      </c>
      <c r="E17" s="8">
        <v>175</v>
      </c>
      <c r="F17" s="16">
        <v>108.74841587288</v>
      </c>
      <c r="G17" s="8" t="s">
        <v>25</v>
      </c>
      <c r="H17" s="8" t="s">
        <v>31</v>
      </c>
      <c r="I17" s="793" t="s">
        <v>22</v>
      </c>
      <c r="J17" s="793" t="s">
        <v>742</v>
      </c>
      <c r="K17" s="793" t="s">
        <v>748</v>
      </c>
      <c r="L17" s="793"/>
      <c r="M17" s="8" t="s">
        <v>28</v>
      </c>
      <c r="O17" s="793"/>
    </row>
    <row r="18" spans="1:15" x14ac:dyDescent="0.25">
      <c r="A18" s="8" t="s">
        <v>21</v>
      </c>
      <c r="B18" s="15" t="s">
        <v>45</v>
      </c>
      <c r="C18" s="8">
        <v>801101</v>
      </c>
      <c r="D18" s="8" t="s">
        <v>24</v>
      </c>
      <c r="E18" s="8">
        <v>32</v>
      </c>
      <c r="F18" s="16">
        <v>115.931619623656</v>
      </c>
      <c r="G18" s="8" t="s">
        <v>27</v>
      </c>
      <c r="H18" s="8" t="s">
        <v>24</v>
      </c>
      <c r="I18" s="793" t="s">
        <v>22</v>
      </c>
      <c r="J18" s="794" t="s">
        <v>740</v>
      </c>
      <c r="K18" s="793" t="s">
        <v>749</v>
      </c>
      <c r="L18" s="793"/>
      <c r="M18" s="795" t="s">
        <v>28</v>
      </c>
      <c r="N18" s="8">
        <v>-0.5</v>
      </c>
      <c r="O18" s="793"/>
    </row>
    <row r="19" spans="1:15" x14ac:dyDescent="0.25">
      <c r="A19" s="8" t="s">
        <v>21</v>
      </c>
      <c r="B19" s="15" t="s">
        <v>34</v>
      </c>
      <c r="C19" s="8">
        <v>801102</v>
      </c>
      <c r="D19" s="8" t="s">
        <v>47</v>
      </c>
      <c r="E19" s="8">
        <v>208</v>
      </c>
      <c r="F19" s="16">
        <v>111.86557704984899</v>
      </c>
      <c r="G19" s="8" t="s">
        <v>25</v>
      </c>
      <c r="H19" s="8" t="s">
        <v>31</v>
      </c>
      <c r="I19" s="8" t="s">
        <v>22</v>
      </c>
      <c r="J19" s="8" t="s">
        <v>742</v>
      </c>
      <c r="K19" s="8" t="s">
        <v>750</v>
      </c>
      <c r="M19" s="8" t="s">
        <v>28</v>
      </c>
    </row>
    <row r="20" spans="1:15" x14ac:dyDescent="0.25">
      <c r="A20" s="8" t="s">
        <v>21</v>
      </c>
      <c r="B20" s="15" t="s">
        <v>28</v>
      </c>
      <c r="C20" s="8">
        <v>801111</v>
      </c>
      <c r="D20" s="8" t="s">
        <v>48</v>
      </c>
      <c r="E20" s="8">
        <v>42</v>
      </c>
      <c r="F20" s="16">
        <v>115.96115689865699</v>
      </c>
      <c r="G20" s="8" t="s">
        <v>27</v>
      </c>
      <c r="H20" s="8" t="s">
        <v>24</v>
      </c>
      <c r="I20" s="8" t="s">
        <v>22</v>
      </c>
      <c r="J20" s="8" t="s">
        <v>740</v>
      </c>
      <c r="K20" s="8" t="s">
        <v>751</v>
      </c>
      <c r="M20" s="795" t="s">
        <v>28</v>
      </c>
      <c r="N20" s="8">
        <v>-0.5</v>
      </c>
    </row>
    <row r="21" spans="1:15" x14ac:dyDescent="0.25">
      <c r="A21" s="8" t="s">
        <v>21</v>
      </c>
      <c r="B21" s="15" t="s">
        <v>49</v>
      </c>
      <c r="C21" s="8">
        <v>801112</v>
      </c>
      <c r="D21" s="8" t="s">
        <v>33</v>
      </c>
      <c r="E21" s="8">
        <v>181</v>
      </c>
      <c r="F21" s="16">
        <v>120.041304620204</v>
      </c>
      <c r="G21" s="8" t="s">
        <v>27</v>
      </c>
      <c r="H21" s="8" t="s">
        <v>31</v>
      </c>
      <c r="I21" s="8" t="s">
        <v>22</v>
      </c>
      <c r="J21" s="8" t="s">
        <v>742</v>
      </c>
      <c r="K21" s="8" t="s">
        <v>49</v>
      </c>
      <c r="M21" s="8" t="s">
        <v>28</v>
      </c>
    </row>
    <row r="22" spans="1:15" x14ac:dyDescent="0.25">
      <c r="A22" s="8" t="s">
        <v>21</v>
      </c>
      <c r="B22" s="15" t="s">
        <v>50</v>
      </c>
      <c r="C22" s="8">
        <v>801121</v>
      </c>
      <c r="D22" s="8" t="s">
        <v>24</v>
      </c>
      <c r="E22" s="8">
        <v>115</v>
      </c>
      <c r="F22" s="16">
        <v>127.987931396051</v>
      </c>
      <c r="G22" s="8" t="s">
        <v>51</v>
      </c>
      <c r="H22" s="8" t="s">
        <v>24</v>
      </c>
      <c r="I22" s="8" t="s">
        <v>22</v>
      </c>
      <c r="J22" s="8" t="s">
        <v>740</v>
      </c>
      <c r="K22" s="8" t="s">
        <v>50</v>
      </c>
      <c r="M22" s="8" t="s">
        <v>28</v>
      </c>
    </row>
    <row r="23" spans="1:15" x14ac:dyDescent="0.25">
      <c r="A23" s="8" t="s">
        <v>21</v>
      </c>
      <c r="B23" s="15" t="s">
        <v>36</v>
      </c>
      <c r="C23" s="8">
        <v>801122</v>
      </c>
      <c r="D23" s="8" t="s">
        <v>52</v>
      </c>
      <c r="E23" s="8">
        <v>97</v>
      </c>
      <c r="F23" s="16">
        <v>109.24795286257201</v>
      </c>
      <c r="G23" s="8" t="s">
        <v>25</v>
      </c>
      <c r="H23" s="8" t="s">
        <v>31</v>
      </c>
      <c r="I23" s="793" t="s">
        <v>22</v>
      </c>
      <c r="J23" s="793" t="s">
        <v>742</v>
      </c>
      <c r="K23" s="793" t="s">
        <v>752</v>
      </c>
      <c r="L23" s="793"/>
      <c r="M23" s="8" t="s">
        <v>28</v>
      </c>
      <c r="O23" s="793"/>
    </row>
    <row r="24" spans="1:15" x14ac:dyDescent="0.25">
      <c r="A24" s="8" t="s">
        <v>21</v>
      </c>
      <c r="B24" s="15" t="s">
        <v>53</v>
      </c>
      <c r="C24" s="8">
        <v>801131</v>
      </c>
      <c r="D24" s="8" t="s">
        <v>54</v>
      </c>
      <c r="E24" s="8">
        <v>23</v>
      </c>
      <c r="F24" s="16">
        <v>108.051763453937</v>
      </c>
      <c r="G24" s="8" t="s">
        <v>25</v>
      </c>
      <c r="H24" s="8" t="s">
        <v>24</v>
      </c>
      <c r="I24" s="8" t="s">
        <v>22</v>
      </c>
      <c r="J24" s="8" t="s">
        <v>740</v>
      </c>
      <c r="K24" s="8" t="s">
        <v>753</v>
      </c>
      <c r="M24" s="795" t="s">
        <v>28</v>
      </c>
      <c r="N24" s="8">
        <v>-0.5</v>
      </c>
    </row>
    <row r="25" spans="1:15" x14ac:dyDescent="0.25">
      <c r="B25" s="15" t="s">
        <v>55</v>
      </c>
      <c r="C25" s="17">
        <v>801132</v>
      </c>
      <c r="D25" s="18" t="s">
        <v>56</v>
      </c>
      <c r="E25" s="17">
        <v>0</v>
      </c>
      <c r="F25" s="19">
        <v>108</v>
      </c>
      <c r="G25" s="17" t="s">
        <v>335</v>
      </c>
      <c r="H25" s="17" t="s">
        <v>31</v>
      </c>
      <c r="I25" s="794" t="s">
        <v>57</v>
      </c>
      <c r="J25" s="794" t="s">
        <v>754</v>
      </c>
      <c r="K25" s="794" t="s">
        <v>755</v>
      </c>
      <c r="L25" s="793"/>
      <c r="M25" s="8" t="s">
        <v>28</v>
      </c>
      <c r="O25" s="794"/>
    </row>
    <row r="26" spans="1:15" x14ac:dyDescent="0.25">
      <c r="A26" s="8" t="s">
        <v>21</v>
      </c>
      <c r="B26" s="15" t="s">
        <v>49</v>
      </c>
      <c r="C26" s="8">
        <v>801141</v>
      </c>
      <c r="D26" s="798" t="s">
        <v>24</v>
      </c>
      <c r="E26" s="8">
        <v>135</v>
      </c>
      <c r="F26" s="16">
        <v>125.78800277401299</v>
      </c>
      <c r="G26" s="8" t="s">
        <v>51</v>
      </c>
      <c r="H26" s="8" t="s">
        <v>24</v>
      </c>
      <c r="I26" s="8" t="s">
        <v>22</v>
      </c>
      <c r="J26" s="8" t="s">
        <v>740</v>
      </c>
      <c r="K26" s="8" t="s">
        <v>49</v>
      </c>
      <c r="M26" s="8" t="s">
        <v>28</v>
      </c>
    </row>
    <row r="27" spans="1:15" x14ac:dyDescent="0.25">
      <c r="A27" s="8" t="s">
        <v>21</v>
      </c>
      <c r="B27" s="15" t="s">
        <v>58</v>
      </c>
      <c r="C27" s="8">
        <v>801151</v>
      </c>
      <c r="D27" s="798" t="s">
        <v>24</v>
      </c>
      <c r="E27" s="8">
        <v>17</v>
      </c>
      <c r="F27" s="16">
        <v>104.07239819004501</v>
      </c>
      <c r="G27" s="8" t="s">
        <v>25</v>
      </c>
      <c r="H27" s="8" t="s">
        <v>24</v>
      </c>
      <c r="I27" s="8" t="s">
        <v>22</v>
      </c>
      <c r="J27" s="8" t="s">
        <v>740</v>
      </c>
      <c r="K27" s="8" t="s">
        <v>58</v>
      </c>
      <c r="M27" s="795" t="s">
        <v>28</v>
      </c>
      <c r="N27" s="8">
        <v>-0.5</v>
      </c>
    </row>
    <row r="28" spans="1:15" x14ac:dyDescent="0.25">
      <c r="A28" s="8" t="s">
        <v>21</v>
      </c>
      <c r="B28" s="15" t="s">
        <v>59</v>
      </c>
      <c r="C28" s="8">
        <v>801161</v>
      </c>
      <c r="D28" s="8" t="s">
        <v>24</v>
      </c>
      <c r="E28" s="8">
        <v>40</v>
      </c>
      <c r="F28" s="16">
        <v>110.841300505509</v>
      </c>
      <c r="G28" s="8" t="s">
        <v>25</v>
      </c>
      <c r="H28" s="8" t="s">
        <v>24</v>
      </c>
      <c r="I28" s="8" t="s">
        <v>22</v>
      </c>
      <c r="J28" s="8" t="s">
        <v>740</v>
      </c>
      <c r="K28" s="8" t="s">
        <v>59</v>
      </c>
      <c r="M28" s="795" t="s">
        <v>28</v>
      </c>
      <c r="N28" s="8">
        <v>-0.5</v>
      </c>
    </row>
    <row r="29" spans="1:15" x14ac:dyDescent="0.25">
      <c r="A29" s="8" t="s">
        <v>21</v>
      </c>
      <c r="B29" s="15" t="s">
        <v>59</v>
      </c>
      <c r="C29" s="8">
        <v>801171</v>
      </c>
      <c r="D29" s="8" t="s">
        <v>60</v>
      </c>
      <c r="E29" s="8">
        <v>33</v>
      </c>
      <c r="F29" s="16">
        <v>107.324505131965</v>
      </c>
      <c r="G29" s="8" t="s">
        <v>25</v>
      </c>
      <c r="H29" s="8" t="s">
        <v>24</v>
      </c>
      <c r="I29" s="8" t="s">
        <v>22</v>
      </c>
      <c r="J29" s="8" t="s">
        <v>740</v>
      </c>
      <c r="K29" s="8" t="s">
        <v>756</v>
      </c>
      <c r="M29" s="8" t="s">
        <v>28</v>
      </c>
    </row>
    <row r="30" spans="1:15" x14ac:dyDescent="0.25">
      <c r="A30" s="8" t="s">
        <v>21</v>
      </c>
      <c r="B30" s="15" t="s">
        <v>61</v>
      </c>
      <c r="C30" s="8">
        <v>801181</v>
      </c>
      <c r="D30" s="8" t="s">
        <v>24</v>
      </c>
      <c r="E30" s="8">
        <v>34</v>
      </c>
      <c r="F30" s="16">
        <v>105.400326797386</v>
      </c>
      <c r="G30" s="8" t="s">
        <v>25</v>
      </c>
      <c r="H30" s="8" t="s">
        <v>24</v>
      </c>
      <c r="I30" s="8" t="s">
        <v>22</v>
      </c>
      <c r="J30" s="8" t="s">
        <v>740</v>
      </c>
      <c r="K30" s="8" t="s">
        <v>757</v>
      </c>
      <c r="M30" s="8" t="s">
        <v>28</v>
      </c>
    </row>
    <row r="31" spans="1:15" x14ac:dyDescent="0.25">
      <c r="A31" s="8" t="s">
        <v>21</v>
      </c>
      <c r="B31" s="15" t="s">
        <v>62</v>
      </c>
      <c r="C31" s="8">
        <v>801201</v>
      </c>
      <c r="D31" s="8" t="s">
        <v>24</v>
      </c>
      <c r="E31" s="8">
        <v>31</v>
      </c>
      <c r="F31" s="16">
        <v>108.66568914956</v>
      </c>
      <c r="G31" s="8" t="s">
        <v>25</v>
      </c>
      <c r="H31" s="8" t="s">
        <v>24</v>
      </c>
      <c r="I31" s="8" t="s">
        <v>22</v>
      </c>
      <c r="J31" s="8" t="s">
        <v>740</v>
      </c>
      <c r="K31" s="8" t="s">
        <v>62</v>
      </c>
      <c r="M31" s="8" t="s">
        <v>28</v>
      </c>
    </row>
    <row r="32" spans="1:15" x14ac:dyDescent="0.25">
      <c r="A32" s="8" t="s">
        <v>21</v>
      </c>
      <c r="B32" s="15" t="s">
        <v>63</v>
      </c>
      <c r="C32" s="8">
        <v>801211</v>
      </c>
      <c r="D32" s="8" t="s">
        <v>24</v>
      </c>
      <c r="E32" s="8">
        <v>11</v>
      </c>
      <c r="F32" s="16">
        <v>109.62910353535401</v>
      </c>
      <c r="G32" s="8" t="s">
        <v>25</v>
      </c>
      <c r="H32" s="8" t="s">
        <v>24</v>
      </c>
      <c r="I32" s="8" t="s">
        <v>22</v>
      </c>
      <c r="J32" s="8" t="s">
        <v>740</v>
      </c>
      <c r="K32" s="8" t="s">
        <v>63</v>
      </c>
      <c r="M32" s="8" t="s">
        <v>28</v>
      </c>
    </row>
    <row r="33" spans="1:15" x14ac:dyDescent="0.25">
      <c r="A33" s="8" t="s">
        <v>21</v>
      </c>
      <c r="B33" s="15" t="s">
        <v>45</v>
      </c>
      <c r="C33" s="8">
        <v>801221</v>
      </c>
      <c r="D33" s="8" t="s">
        <v>24</v>
      </c>
      <c r="E33" s="8">
        <v>45</v>
      </c>
      <c r="F33" s="16">
        <v>115.205858955859</v>
      </c>
      <c r="G33" s="8" t="s">
        <v>27</v>
      </c>
      <c r="H33" s="8" t="s">
        <v>24</v>
      </c>
      <c r="I33" s="8" t="s">
        <v>22</v>
      </c>
      <c r="J33" s="8" t="s">
        <v>740</v>
      </c>
      <c r="K33" s="8" t="s">
        <v>758</v>
      </c>
      <c r="M33" s="8" t="s">
        <v>28</v>
      </c>
    </row>
    <row r="34" spans="1:15" x14ac:dyDescent="0.25">
      <c r="A34" s="8" t="s">
        <v>21</v>
      </c>
      <c r="B34" s="15" t="s">
        <v>64</v>
      </c>
      <c r="C34" s="8">
        <v>801231</v>
      </c>
      <c r="D34" s="8" t="s">
        <v>24</v>
      </c>
      <c r="E34" s="8">
        <v>17</v>
      </c>
      <c r="F34" s="16">
        <v>109.19817927170899</v>
      </c>
      <c r="G34" s="8" t="s">
        <v>25</v>
      </c>
      <c r="H34" s="8" t="s">
        <v>24</v>
      </c>
      <c r="I34" s="8" t="s">
        <v>22</v>
      </c>
      <c r="J34" s="8" t="s">
        <v>740</v>
      </c>
      <c r="K34" s="8" t="s">
        <v>64</v>
      </c>
      <c r="M34" s="795" t="s">
        <v>28</v>
      </c>
      <c r="N34" s="8">
        <v>-0.5</v>
      </c>
    </row>
    <row r="35" spans="1:15" x14ac:dyDescent="0.25">
      <c r="A35" s="8" t="s">
        <v>21</v>
      </c>
      <c r="B35" s="15" t="s">
        <v>43</v>
      </c>
      <c r="C35" s="8">
        <v>801251</v>
      </c>
      <c r="D35" s="8" t="s">
        <v>24</v>
      </c>
      <c r="E35" s="8">
        <v>46</v>
      </c>
      <c r="F35" s="16">
        <v>113.891993380459</v>
      </c>
      <c r="G35" s="8" t="s">
        <v>25</v>
      </c>
      <c r="H35" s="8" t="s">
        <v>24</v>
      </c>
      <c r="I35" s="8" t="s">
        <v>22</v>
      </c>
      <c r="J35" s="8" t="s">
        <v>740</v>
      </c>
      <c r="K35" s="8" t="s">
        <v>43</v>
      </c>
      <c r="M35" s="8" t="s">
        <v>28</v>
      </c>
    </row>
    <row r="36" spans="1:15" x14ac:dyDescent="0.25">
      <c r="A36" s="8" t="s">
        <v>21</v>
      </c>
      <c r="B36" s="15" t="s">
        <v>28</v>
      </c>
      <c r="C36" s="8">
        <v>801271</v>
      </c>
      <c r="D36" s="8" t="s">
        <v>65</v>
      </c>
      <c r="E36" s="8">
        <v>17</v>
      </c>
      <c r="F36" s="16">
        <v>127.18008255933999</v>
      </c>
      <c r="G36" s="8" t="s">
        <v>51</v>
      </c>
      <c r="H36" s="8" t="s">
        <v>24</v>
      </c>
      <c r="I36" s="8" t="s">
        <v>22</v>
      </c>
      <c r="J36" s="8" t="s">
        <v>740</v>
      </c>
      <c r="K36" s="8" t="s">
        <v>759</v>
      </c>
      <c r="M36" s="795" t="s">
        <v>28</v>
      </c>
      <c r="N36" s="8">
        <v>-0.5</v>
      </c>
    </row>
    <row r="37" spans="1:15" x14ac:dyDescent="0.25">
      <c r="A37" s="8" t="s">
        <v>21</v>
      </c>
      <c r="B37" s="15" t="s">
        <v>55</v>
      </c>
      <c r="C37" s="8">
        <v>801281</v>
      </c>
      <c r="D37" s="8" t="s">
        <v>24</v>
      </c>
      <c r="E37" s="8">
        <v>170</v>
      </c>
      <c r="F37" s="16">
        <v>120.809923004553</v>
      </c>
      <c r="G37" s="8" t="s">
        <v>27</v>
      </c>
      <c r="H37" s="8" t="s">
        <v>24</v>
      </c>
      <c r="I37" s="8" t="s">
        <v>22</v>
      </c>
      <c r="J37" s="8" t="s">
        <v>740</v>
      </c>
      <c r="K37" s="8" t="s">
        <v>55</v>
      </c>
      <c r="M37" s="795" t="s">
        <v>28</v>
      </c>
      <c r="N37" s="8">
        <v>-0.5</v>
      </c>
    </row>
    <row r="38" spans="1:15" x14ac:dyDescent="0.25">
      <c r="A38" s="8" t="s">
        <v>21</v>
      </c>
      <c r="B38" s="15" t="s">
        <v>32</v>
      </c>
      <c r="C38" s="8">
        <v>801291</v>
      </c>
      <c r="D38" s="8" t="s">
        <v>24</v>
      </c>
      <c r="E38" s="8">
        <v>195</v>
      </c>
      <c r="F38" s="16">
        <v>119.253098892206</v>
      </c>
      <c r="G38" s="8" t="s">
        <v>27</v>
      </c>
      <c r="H38" s="8" t="s">
        <v>24</v>
      </c>
      <c r="I38" s="8" t="s">
        <v>22</v>
      </c>
      <c r="J38" s="8" t="s">
        <v>740</v>
      </c>
      <c r="K38" s="8" t="s">
        <v>32</v>
      </c>
      <c r="M38" s="8" t="s">
        <v>28</v>
      </c>
    </row>
    <row r="39" spans="1:15" x14ac:dyDescent="0.25">
      <c r="A39" s="8" t="s">
        <v>21</v>
      </c>
      <c r="B39" s="15" t="s">
        <v>32</v>
      </c>
      <c r="C39" s="8">
        <v>801301</v>
      </c>
      <c r="D39" s="8" t="s">
        <v>24</v>
      </c>
      <c r="E39" s="8">
        <v>31</v>
      </c>
      <c r="F39" s="16">
        <v>103.966547192354</v>
      </c>
      <c r="G39" s="8" t="s">
        <v>25</v>
      </c>
      <c r="H39" s="8" t="s">
        <v>24</v>
      </c>
      <c r="I39" s="8" t="s">
        <v>22</v>
      </c>
      <c r="J39" s="8" t="s">
        <v>740</v>
      </c>
      <c r="K39" s="8" t="s">
        <v>760</v>
      </c>
      <c r="M39" s="795" t="s">
        <v>28</v>
      </c>
      <c r="N39" s="8">
        <v>-0.5</v>
      </c>
    </row>
    <row r="40" spans="1:15" x14ac:dyDescent="0.25">
      <c r="A40" s="8" t="s">
        <v>21</v>
      </c>
      <c r="B40" s="15" t="s">
        <v>66</v>
      </c>
      <c r="C40" s="8">
        <v>801311</v>
      </c>
      <c r="D40" s="8" t="s">
        <v>24</v>
      </c>
      <c r="E40" s="8">
        <v>17</v>
      </c>
      <c r="F40" s="16">
        <v>115.750773993808</v>
      </c>
      <c r="G40" s="8" t="s">
        <v>27</v>
      </c>
      <c r="H40" s="8" t="s">
        <v>24</v>
      </c>
      <c r="I40" s="8" t="s">
        <v>22</v>
      </c>
      <c r="J40" s="8" t="s">
        <v>740</v>
      </c>
      <c r="K40" s="8" t="s">
        <v>66</v>
      </c>
      <c r="M40" s="8" t="s">
        <v>28</v>
      </c>
    </row>
    <row r="41" spans="1:15" x14ac:dyDescent="0.25">
      <c r="A41" s="8" t="s">
        <v>21</v>
      </c>
      <c r="B41" s="15" t="s">
        <v>67</v>
      </c>
      <c r="C41" s="8">
        <v>801321</v>
      </c>
      <c r="D41" s="8" t="s">
        <v>24</v>
      </c>
      <c r="E41" s="8">
        <v>52</v>
      </c>
      <c r="F41" s="16">
        <v>108.444968158203</v>
      </c>
      <c r="G41" s="8" t="s">
        <v>25</v>
      </c>
      <c r="H41" s="8" t="s">
        <v>24</v>
      </c>
      <c r="I41" s="8" t="s">
        <v>22</v>
      </c>
      <c r="J41" s="8" t="s">
        <v>740</v>
      </c>
      <c r="K41" s="8" t="s">
        <v>67</v>
      </c>
      <c r="M41" s="795" t="s">
        <v>28</v>
      </c>
      <c r="N41" s="8">
        <v>-0.5</v>
      </c>
    </row>
    <row r="42" spans="1:15" x14ac:dyDescent="0.25">
      <c r="A42" s="8" t="s">
        <v>21</v>
      </c>
      <c r="B42" s="15" t="s">
        <v>38</v>
      </c>
      <c r="C42" s="8">
        <v>801341</v>
      </c>
      <c r="D42" s="8" t="s">
        <v>24</v>
      </c>
      <c r="E42" s="8">
        <v>240</v>
      </c>
      <c r="F42" s="16">
        <v>112.874013953202</v>
      </c>
      <c r="G42" s="8" t="s">
        <v>25</v>
      </c>
      <c r="H42" s="8" t="s">
        <v>24</v>
      </c>
      <c r="I42" s="8" t="s">
        <v>22</v>
      </c>
      <c r="J42" s="8" t="s">
        <v>740</v>
      </c>
      <c r="K42" s="8" t="s">
        <v>38</v>
      </c>
      <c r="M42" s="8" t="s">
        <v>28</v>
      </c>
    </row>
    <row r="43" spans="1:15" x14ac:dyDescent="0.25">
      <c r="A43" s="8" t="s">
        <v>21</v>
      </c>
      <c r="B43" s="15" t="s">
        <v>68</v>
      </c>
      <c r="C43" s="8">
        <v>801351</v>
      </c>
      <c r="D43" s="8" t="s">
        <v>24</v>
      </c>
      <c r="E43" s="8">
        <v>43</v>
      </c>
      <c r="F43" s="16">
        <v>110.00369139903999</v>
      </c>
      <c r="G43" s="8" t="s">
        <v>25</v>
      </c>
      <c r="H43" s="8" t="s">
        <v>24</v>
      </c>
      <c r="I43" s="8" t="s">
        <v>22</v>
      </c>
      <c r="J43" s="8" t="s">
        <v>740</v>
      </c>
      <c r="K43" s="8" t="s">
        <v>68</v>
      </c>
      <c r="M43" s="795" t="s">
        <v>28</v>
      </c>
      <c r="N43" s="8">
        <v>-0.5</v>
      </c>
    </row>
    <row r="44" spans="1:15" x14ac:dyDescent="0.25">
      <c r="A44" s="8" t="s">
        <v>21</v>
      </c>
      <c r="B44" s="15" t="s">
        <v>69</v>
      </c>
      <c r="C44" s="8">
        <v>801381</v>
      </c>
      <c r="D44" s="8" t="s">
        <v>24</v>
      </c>
      <c r="E44" s="8">
        <v>31</v>
      </c>
      <c r="F44" s="16">
        <v>105.410586277522</v>
      </c>
      <c r="G44" s="8" t="s">
        <v>25</v>
      </c>
      <c r="H44" s="8" t="s">
        <v>24</v>
      </c>
      <c r="I44" s="793" t="s">
        <v>22</v>
      </c>
      <c r="J44" s="794" t="s">
        <v>740</v>
      </c>
      <c r="K44" s="794" t="s">
        <v>761</v>
      </c>
      <c r="L44" s="793"/>
      <c r="M44" s="8" t="s">
        <v>28</v>
      </c>
      <c r="O44" s="793"/>
    </row>
    <row r="45" spans="1:15" x14ac:dyDescent="0.25">
      <c r="A45" s="8" t="s">
        <v>21</v>
      </c>
      <c r="B45" s="15" t="s">
        <v>70</v>
      </c>
      <c r="C45" s="8">
        <v>801391</v>
      </c>
      <c r="D45" s="8" t="s">
        <v>24</v>
      </c>
      <c r="E45" s="8">
        <v>31</v>
      </c>
      <c r="F45" s="16">
        <v>112.85049259195399</v>
      </c>
      <c r="G45" s="8" t="s">
        <v>25</v>
      </c>
      <c r="H45" s="8" t="s">
        <v>24</v>
      </c>
      <c r="I45" s="793" t="s">
        <v>22</v>
      </c>
      <c r="J45" s="794" t="s">
        <v>740</v>
      </c>
      <c r="K45" s="794" t="s">
        <v>762</v>
      </c>
      <c r="L45" s="793"/>
      <c r="M45" s="8" t="s">
        <v>28</v>
      </c>
      <c r="O45" s="793"/>
    </row>
    <row r="46" spans="1:15" x14ac:dyDescent="0.25">
      <c r="A46" s="8" t="s">
        <v>21</v>
      </c>
      <c r="B46" s="15" t="s">
        <v>70</v>
      </c>
      <c r="C46" s="8">
        <v>801411</v>
      </c>
      <c r="D46" s="8" t="s">
        <v>71</v>
      </c>
      <c r="E46" s="8">
        <v>33</v>
      </c>
      <c r="F46" s="16">
        <v>112.345466045656</v>
      </c>
      <c r="G46" s="8" t="s">
        <v>25</v>
      </c>
      <c r="H46" s="8" t="s">
        <v>24</v>
      </c>
      <c r="I46" s="793" t="s">
        <v>22</v>
      </c>
      <c r="J46" s="794" t="s">
        <v>740</v>
      </c>
      <c r="K46" s="793" t="s">
        <v>763</v>
      </c>
      <c r="L46" s="793"/>
      <c r="M46" s="8" t="s">
        <v>28</v>
      </c>
      <c r="O46" s="793"/>
    </row>
    <row r="47" spans="1:15" x14ac:dyDescent="0.25">
      <c r="A47" s="8" t="s">
        <v>21</v>
      </c>
      <c r="B47" s="15" t="s">
        <v>72</v>
      </c>
      <c r="C47" s="8">
        <v>801421</v>
      </c>
      <c r="D47" s="8" t="s">
        <v>24</v>
      </c>
      <c r="E47" s="8">
        <v>19</v>
      </c>
      <c r="F47" s="16">
        <v>117.843603084509</v>
      </c>
      <c r="G47" s="8" t="s">
        <v>27</v>
      </c>
      <c r="H47" s="8" t="s">
        <v>24</v>
      </c>
      <c r="I47" s="793" t="s">
        <v>22</v>
      </c>
      <c r="J47" s="794" t="s">
        <v>740</v>
      </c>
      <c r="K47" s="794" t="s">
        <v>764</v>
      </c>
      <c r="L47" s="793"/>
      <c r="M47" s="8" t="s">
        <v>28</v>
      </c>
      <c r="O47" s="793"/>
    </row>
    <row r="48" spans="1:15" x14ac:dyDescent="0.25">
      <c r="A48" s="8" t="s">
        <v>21</v>
      </c>
      <c r="B48" s="15" t="s">
        <v>34</v>
      </c>
      <c r="C48" s="8">
        <v>801431</v>
      </c>
      <c r="D48" s="8" t="s">
        <v>24</v>
      </c>
      <c r="E48" s="8">
        <v>140</v>
      </c>
      <c r="F48" s="16">
        <v>118.195818964605</v>
      </c>
      <c r="G48" s="8" t="s">
        <v>27</v>
      </c>
      <c r="H48" s="8" t="s">
        <v>24</v>
      </c>
      <c r="I48" s="8" t="s">
        <v>22</v>
      </c>
      <c r="J48" s="8" t="s">
        <v>740</v>
      </c>
      <c r="K48" s="8" t="s">
        <v>34</v>
      </c>
      <c r="M48" s="8" t="s">
        <v>28</v>
      </c>
    </row>
    <row r="49" spans="1:15" x14ac:dyDescent="0.25">
      <c r="A49" s="8" t="s">
        <v>21</v>
      </c>
      <c r="B49" s="15" t="s">
        <v>73</v>
      </c>
      <c r="C49" s="8">
        <v>801461</v>
      </c>
      <c r="D49" s="8" t="s">
        <v>24</v>
      </c>
      <c r="E49" s="8">
        <v>33</v>
      </c>
      <c r="F49" s="16">
        <v>104.631928528987</v>
      </c>
      <c r="G49" s="8" t="s">
        <v>25</v>
      </c>
      <c r="H49" s="8" t="s">
        <v>24</v>
      </c>
      <c r="I49" s="8" t="s">
        <v>22</v>
      </c>
      <c r="J49" s="8" t="s">
        <v>740</v>
      </c>
      <c r="K49" s="8" t="s">
        <v>73</v>
      </c>
      <c r="M49" s="8" t="s">
        <v>28</v>
      </c>
    </row>
    <row r="50" spans="1:15" x14ac:dyDescent="0.25">
      <c r="A50" s="8" t="s">
        <v>21</v>
      </c>
      <c r="B50" s="15" t="s">
        <v>74</v>
      </c>
      <c r="C50" s="8">
        <v>801481</v>
      </c>
      <c r="D50" s="8" t="s">
        <v>24</v>
      </c>
      <c r="E50" s="8">
        <v>32</v>
      </c>
      <c r="F50" s="16">
        <v>107.827284946237</v>
      </c>
      <c r="G50" s="8" t="s">
        <v>25</v>
      </c>
      <c r="H50" s="8" t="s">
        <v>24</v>
      </c>
      <c r="I50" s="8" t="s">
        <v>22</v>
      </c>
      <c r="J50" s="8" t="s">
        <v>740</v>
      </c>
      <c r="K50" s="8" t="s">
        <v>74</v>
      </c>
      <c r="M50" s="8" t="s">
        <v>28</v>
      </c>
    </row>
    <row r="51" spans="1:15" x14ac:dyDescent="0.25">
      <c r="A51" s="8" t="s">
        <v>21</v>
      </c>
      <c r="B51" s="15" t="s">
        <v>37</v>
      </c>
      <c r="C51" s="8">
        <v>801511</v>
      </c>
      <c r="D51" s="8" t="s">
        <v>24</v>
      </c>
      <c r="E51" s="8">
        <v>95</v>
      </c>
      <c r="F51" s="16">
        <v>113.530924040656</v>
      </c>
      <c r="G51" s="8" t="s">
        <v>25</v>
      </c>
      <c r="H51" s="8" t="s">
        <v>24</v>
      </c>
      <c r="I51" s="8" t="s">
        <v>22</v>
      </c>
      <c r="J51" s="8" t="s">
        <v>740</v>
      </c>
      <c r="K51" s="8" t="s">
        <v>37</v>
      </c>
      <c r="M51" s="8" t="s">
        <v>28</v>
      </c>
    </row>
    <row r="52" spans="1:15" x14ac:dyDescent="0.25">
      <c r="A52" s="8" t="s">
        <v>21</v>
      </c>
      <c r="B52" s="15" t="s">
        <v>75</v>
      </c>
      <c r="C52" s="8">
        <v>801521</v>
      </c>
      <c r="D52" s="8" t="s">
        <v>24</v>
      </c>
      <c r="E52" s="8">
        <v>43</v>
      </c>
      <c r="F52" s="16">
        <v>103.60834256183099</v>
      </c>
      <c r="G52" s="8" t="s">
        <v>25</v>
      </c>
      <c r="H52" s="8" t="s">
        <v>24</v>
      </c>
      <c r="I52" s="8" t="s">
        <v>22</v>
      </c>
      <c r="J52" s="8" t="s">
        <v>740</v>
      </c>
      <c r="K52" s="8" t="s">
        <v>75</v>
      </c>
      <c r="M52" s="8" t="s">
        <v>28</v>
      </c>
    </row>
    <row r="53" spans="1:15" x14ac:dyDescent="0.25">
      <c r="A53" s="8" t="s">
        <v>21</v>
      </c>
      <c r="B53" s="15" t="s">
        <v>76</v>
      </c>
      <c r="C53" s="8">
        <v>801541</v>
      </c>
      <c r="D53" s="8" t="s">
        <v>24</v>
      </c>
      <c r="E53" s="8">
        <v>73</v>
      </c>
      <c r="F53" s="16">
        <v>110.729666990878</v>
      </c>
      <c r="G53" s="8" t="s">
        <v>25</v>
      </c>
      <c r="H53" s="8" t="s">
        <v>24</v>
      </c>
      <c r="I53" s="8" t="s">
        <v>22</v>
      </c>
      <c r="J53" s="8" t="s">
        <v>740</v>
      </c>
      <c r="K53" s="8" t="s">
        <v>76</v>
      </c>
      <c r="M53" s="8" t="s">
        <v>28</v>
      </c>
    </row>
    <row r="54" spans="1:15" x14ac:dyDescent="0.25">
      <c r="A54" s="8" t="s">
        <v>21</v>
      </c>
      <c r="B54" s="15" t="s">
        <v>77</v>
      </c>
      <c r="C54" s="8">
        <v>801551</v>
      </c>
      <c r="D54" s="8" t="s">
        <v>24</v>
      </c>
      <c r="E54" s="8">
        <v>95</v>
      </c>
      <c r="F54" s="16">
        <v>113.497993332661</v>
      </c>
      <c r="G54" s="8" t="s">
        <v>25</v>
      </c>
      <c r="H54" s="8" t="s">
        <v>24</v>
      </c>
      <c r="I54" s="799" t="s">
        <v>22</v>
      </c>
      <c r="J54" s="799" t="s">
        <v>740</v>
      </c>
      <c r="K54" s="799" t="s">
        <v>77</v>
      </c>
      <c r="L54" s="799" t="s">
        <v>765</v>
      </c>
      <c r="M54" s="8" t="s">
        <v>28</v>
      </c>
      <c r="O54" s="799"/>
    </row>
    <row r="55" spans="1:15" x14ac:dyDescent="0.25">
      <c r="A55" s="8" t="s">
        <v>21</v>
      </c>
      <c r="B55" s="15" t="s">
        <v>70</v>
      </c>
      <c r="C55" s="8">
        <v>801561</v>
      </c>
      <c r="D55" s="8" t="s">
        <v>78</v>
      </c>
      <c r="E55" s="8">
        <v>9</v>
      </c>
      <c r="F55" s="16">
        <v>116.42234671646401</v>
      </c>
      <c r="G55" s="8" t="s">
        <v>27</v>
      </c>
      <c r="H55" s="8" t="s">
        <v>24</v>
      </c>
      <c r="I55" s="793" t="s">
        <v>22</v>
      </c>
      <c r="J55" s="794" t="s">
        <v>740</v>
      </c>
      <c r="K55" s="794" t="s">
        <v>766</v>
      </c>
      <c r="L55" s="793"/>
      <c r="M55" s="8" t="s">
        <v>28</v>
      </c>
      <c r="O55" s="793"/>
    </row>
    <row r="56" spans="1:15" x14ac:dyDescent="0.25">
      <c r="A56" s="8" t="s">
        <v>21</v>
      </c>
      <c r="B56" s="15" t="s">
        <v>55</v>
      </c>
      <c r="C56" s="8">
        <v>801571</v>
      </c>
      <c r="D56" s="8" t="s">
        <v>79</v>
      </c>
      <c r="E56" s="8">
        <v>53</v>
      </c>
      <c r="F56" s="16">
        <v>104.28173187954</v>
      </c>
      <c r="G56" s="8" t="s">
        <v>25</v>
      </c>
      <c r="H56" s="8" t="s">
        <v>24</v>
      </c>
      <c r="I56" s="794" t="s">
        <v>57</v>
      </c>
      <c r="J56" s="794" t="s">
        <v>767</v>
      </c>
      <c r="K56" s="794" t="s">
        <v>768</v>
      </c>
      <c r="L56" s="793"/>
      <c r="M56" s="8" t="s">
        <v>28</v>
      </c>
      <c r="O56" s="794"/>
    </row>
    <row r="57" spans="1:15" x14ac:dyDescent="0.25">
      <c r="A57" s="8" t="s">
        <v>21</v>
      </c>
      <c r="B57" s="15" t="s">
        <v>28</v>
      </c>
      <c r="C57" s="8">
        <v>801581</v>
      </c>
      <c r="D57" s="8" t="s">
        <v>80</v>
      </c>
      <c r="E57" s="8">
        <v>39</v>
      </c>
      <c r="F57" s="16">
        <v>109.982180918713</v>
      </c>
      <c r="G57" s="8" t="s">
        <v>25</v>
      </c>
      <c r="H57" s="8" t="s">
        <v>81</v>
      </c>
      <c r="I57" s="794" t="s">
        <v>57</v>
      </c>
      <c r="J57" s="794" t="s">
        <v>767</v>
      </c>
      <c r="K57" s="794" t="s">
        <v>769</v>
      </c>
      <c r="L57" s="793"/>
      <c r="M57" s="8" t="s">
        <v>28</v>
      </c>
      <c r="O57" s="794"/>
    </row>
    <row r="58" spans="1:15" x14ac:dyDescent="0.25">
      <c r="A58" s="8" t="s">
        <v>21</v>
      </c>
      <c r="B58" s="15" t="s">
        <v>82</v>
      </c>
      <c r="C58" s="8">
        <v>802011</v>
      </c>
      <c r="D58" s="8" t="s">
        <v>83</v>
      </c>
      <c r="E58" s="8">
        <v>156</v>
      </c>
      <c r="F58" s="16">
        <v>121.267368870165</v>
      </c>
      <c r="G58" s="8" t="s">
        <v>27</v>
      </c>
      <c r="H58" s="8" t="s">
        <v>24</v>
      </c>
      <c r="I58" s="8" t="s">
        <v>22</v>
      </c>
      <c r="J58" s="8" t="s">
        <v>740</v>
      </c>
      <c r="K58" s="8" t="s">
        <v>770</v>
      </c>
      <c r="M58" s="795" t="s">
        <v>82</v>
      </c>
      <c r="N58" s="8">
        <v>-0.5</v>
      </c>
    </row>
    <row r="59" spans="1:15" x14ac:dyDescent="0.25">
      <c r="A59" s="8" t="s">
        <v>21</v>
      </c>
      <c r="B59" s="15" t="s">
        <v>82</v>
      </c>
      <c r="C59" s="8">
        <v>802012</v>
      </c>
      <c r="D59" s="8" t="s">
        <v>84</v>
      </c>
      <c r="E59" s="8">
        <v>223</v>
      </c>
      <c r="F59" s="16">
        <v>129.323399069473</v>
      </c>
      <c r="G59" s="8" t="s">
        <v>51</v>
      </c>
      <c r="H59" s="8" t="s">
        <v>31</v>
      </c>
      <c r="I59" s="8" t="s">
        <v>22</v>
      </c>
      <c r="J59" s="8" t="s">
        <v>742</v>
      </c>
      <c r="K59" s="8" t="s">
        <v>770</v>
      </c>
      <c r="M59" s="795" t="s">
        <v>82</v>
      </c>
      <c r="N59" s="8">
        <v>-0.5</v>
      </c>
    </row>
    <row r="60" spans="1:15" x14ac:dyDescent="0.25">
      <c r="A60" s="8" t="s">
        <v>21</v>
      </c>
      <c r="B60" s="15" t="s">
        <v>82</v>
      </c>
      <c r="C60" s="8">
        <v>802021</v>
      </c>
      <c r="D60" s="8" t="s">
        <v>85</v>
      </c>
      <c r="E60" s="8">
        <v>252</v>
      </c>
      <c r="F60" s="16">
        <v>139.82134339941101</v>
      </c>
      <c r="G60" s="8" t="s">
        <v>30</v>
      </c>
      <c r="H60" s="8" t="s">
        <v>24</v>
      </c>
      <c r="I60" s="8" t="s">
        <v>22</v>
      </c>
      <c r="J60" s="8" t="s">
        <v>740</v>
      </c>
      <c r="K60" s="8" t="s">
        <v>771</v>
      </c>
      <c r="M60" s="795" t="s">
        <v>82</v>
      </c>
      <c r="N60" s="8">
        <v>-0.5</v>
      </c>
    </row>
    <row r="61" spans="1:15" x14ac:dyDescent="0.25">
      <c r="A61" s="8" t="s">
        <v>21</v>
      </c>
      <c r="B61" s="15" t="s">
        <v>82</v>
      </c>
      <c r="C61" s="8">
        <v>802022</v>
      </c>
      <c r="D61" s="8" t="s">
        <v>86</v>
      </c>
      <c r="E61" s="8">
        <v>81</v>
      </c>
      <c r="F61" s="16">
        <v>103.050218406428</v>
      </c>
      <c r="G61" s="8" t="s">
        <v>25</v>
      </c>
      <c r="H61" s="8" t="s">
        <v>31</v>
      </c>
      <c r="I61" s="794" t="s">
        <v>57</v>
      </c>
      <c r="J61" s="794" t="s">
        <v>754</v>
      </c>
      <c r="K61" s="793" t="s">
        <v>772</v>
      </c>
      <c r="L61" s="793"/>
      <c r="M61" s="8" t="s">
        <v>82</v>
      </c>
      <c r="O61" s="794"/>
    </row>
    <row r="62" spans="1:15" x14ac:dyDescent="0.25">
      <c r="A62" s="8" t="s">
        <v>21</v>
      </c>
      <c r="B62" s="15" t="s">
        <v>82</v>
      </c>
      <c r="C62" s="8">
        <v>802032</v>
      </c>
      <c r="D62" s="8" t="s">
        <v>87</v>
      </c>
      <c r="E62" s="8">
        <v>277</v>
      </c>
      <c r="F62" s="16">
        <v>137.02175511118699</v>
      </c>
      <c r="G62" s="8" t="s">
        <v>30</v>
      </c>
      <c r="H62" s="8" t="s">
        <v>31</v>
      </c>
      <c r="I62" s="8" t="s">
        <v>22</v>
      </c>
      <c r="J62" s="8" t="s">
        <v>742</v>
      </c>
      <c r="K62" s="8" t="s">
        <v>773</v>
      </c>
      <c r="M62" s="795" t="s">
        <v>82</v>
      </c>
      <c r="N62" s="8">
        <v>-0.5</v>
      </c>
    </row>
    <row r="63" spans="1:15" x14ac:dyDescent="0.25">
      <c r="A63" s="8" t="s">
        <v>21</v>
      </c>
      <c r="B63" s="15" t="s">
        <v>82</v>
      </c>
      <c r="C63" s="8">
        <v>802041</v>
      </c>
      <c r="D63" s="8" t="s">
        <v>88</v>
      </c>
      <c r="E63" s="8">
        <v>217</v>
      </c>
      <c r="F63" s="16">
        <v>141.97011038291799</v>
      </c>
      <c r="G63" s="8" t="s">
        <v>30</v>
      </c>
      <c r="H63" s="8" t="s">
        <v>24</v>
      </c>
      <c r="I63" s="8" t="s">
        <v>22</v>
      </c>
      <c r="J63" s="8" t="s">
        <v>740</v>
      </c>
      <c r="K63" s="8" t="s">
        <v>774</v>
      </c>
      <c r="M63" s="795" t="s">
        <v>82</v>
      </c>
      <c r="N63" s="8">
        <v>-0.5</v>
      </c>
    </row>
    <row r="64" spans="1:15" x14ac:dyDescent="0.25">
      <c r="A64" s="8" t="s">
        <v>21</v>
      </c>
      <c r="B64" s="15" t="s">
        <v>82</v>
      </c>
      <c r="C64" s="8">
        <v>802042</v>
      </c>
      <c r="D64" s="8" t="s">
        <v>89</v>
      </c>
      <c r="E64" s="8">
        <v>255</v>
      </c>
      <c r="F64" s="16">
        <v>148.35923938349401</v>
      </c>
      <c r="G64" s="8" t="s">
        <v>30</v>
      </c>
      <c r="H64" s="8" t="s">
        <v>31</v>
      </c>
      <c r="I64" s="8" t="s">
        <v>22</v>
      </c>
      <c r="J64" s="8" t="s">
        <v>742</v>
      </c>
      <c r="K64" s="8" t="s">
        <v>774</v>
      </c>
      <c r="M64" s="795" t="s">
        <v>82</v>
      </c>
      <c r="N64" s="8">
        <v>-0.5</v>
      </c>
    </row>
    <row r="65" spans="1:15" x14ac:dyDescent="0.25">
      <c r="A65" s="8" t="s">
        <v>21</v>
      </c>
      <c r="B65" s="15" t="s">
        <v>82</v>
      </c>
      <c r="C65" s="8">
        <v>802051</v>
      </c>
      <c r="D65" s="8" t="s">
        <v>90</v>
      </c>
      <c r="E65" s="8">
        <v>316</v>
      </c>
      <c r="F65" s="16">
        <v>138.80421819338</v>
      </c>
      <c r="G65" s="8" t="s">
        <v>30</v>
      </c>
      <c r="H65" s="8" t="s">
        <v>24</v>
      </c>
      <c r="I65" s="8" t="s">
        <v>22</v>
      </c>
      <c r="J65" s="8" t="s">
        <v>740</v>
      </c>
      <c r="K65" s="8" t="s">
        <v>773</v>
      </c>
      <c r="M65" s="795" t="s">
        <v>82</v>
      </c>
      <c r="N65" s="8">
        <v>-0.5</v>
      </c>
    </row>
    <row r="66" spans="1:15" x14ac:dyDescent="0.25">
      <c r="A66" s="8" t="s">
        <v>21</v>
      </c>
      <c r="B66" s="15" t="s">
        <v>91</v>
      </c>
      <c r="C66" s="8">
        <v>802052</v>
      </c>
      <c r="D66" s="8" t="s">
        <v>33</v>
      </c>
      <c r="E66" s="8">
        <v>142</v>
      </c>
      <c r="F66" s="16">
        <v>106.57682165774</v>
      </c>
      <c r="G66" s="8" t="s">
        <v>25</v>
      </c>
      <c r="H66" s="8" t="s">
        <v>31</v>
      </c>
      <c r="I66" s="8" t="s">
        <v>22</v>
      </c>
      <c r="J66" s="8" t="s">
        <v>742</v>
      </c>
      <c r="K66" s="8" t="s">
        <v>91</v>
      </c>
      <c r="M66" s="8" t="s">
        <v>82</v>
      </c>
    </row>
    <row r="67" spans="1:15" x14ac:dyDescent="0.25">
      <c r="A67" s="8" t="s">
        <v>21</v>
      </c>
      <c r="B67" s="15" t="s">
        <v>82</v>
      </c>
      <c r="C67" s="8">
        <v>802061</v>
      </c>
      <c r="D67" s="8" t="s">
        <v>92</v>
      </c>
      <c r="E67" s="8">
        <v>21</v>
      </c>
      <c r="F67" s="16">
        <v>115.638528138528</v>
      </c>
      <c r="G67" s="8" t="s">
        <v>27</v>
      </c>
      <c r="H67" s="8" t="s">
        <v>24</v>
      </c>
      <c r="I67" s="8" t="s">
        <v>22</v>
      </c>
      <c r="J67" s="8" t="s">
        <v>740</v>
      </c>
      <c r="K67" s="8" t="s">
        <v>775</v>
      </c>
      <c r="M67" s="795" t="s">
        <v>82</v>
      </c>
      <c r="N67" s="8">
        <v>-0.5</v>
      </c>
    </row>
    <row r="68" spans="1:15" x14ac:dyDescent="0.25">
      <c r="A68" s="8" t="s">
        <v>21</v>
      </c>
      <c r="B68" s="15" t="s">
        <v>93</v>
      </c>
      <c r="C68" s="8">
        <v>802062</v>
      </c>
      <c r="D68" s="8" t="s">
        <v>33</v>
      </c>
      <c r="E68" s="8">
        <v>151</v>
      </c>
      <c r="F68" s="16">
        <v>107.256719611446</v>
      </c>
      <c r="G68" s="8" t="s">
        <v>25</v>
      </c>
      <c r="H68" s="8" t="s">
        <v>31</v>
      </c>
      <c r="I68" s="8" t="s">
        <v>22</v>
      </c>
      <c r="J68" s="8" t="s">
        <v>742</v>
      </c>
      <c r="K68" s="8" t="s">
        <v>776</v>
      </c>
      <c r="M68" s="8" t="s">
        <v>82</v>
      </c>
    </row>
    <row r="69" spans="1:15" x14ac:dyDescent="0.25">
      <c r="A69" s="8" t="s">
        <v>21</v>
      </c>
      <c r="B69" s="15" t="s">
        <v>82</v>
      </c>
      <c r="C69" s="8">
        <v>802071</v>
      </c>
      <c r="D69" s="8" t="s">
        <v>94</v>
      </c>
      <c r="E69" s="8">
        <v>160</v>
      </c>
      <c r="F69" s="16">
        <v>105.67210058163</v>
      </c>
      <c r="G69" s="8" t="s">
        <v>25</v>
      </c>
      <c r="H69" s="8" t="s">
        <v>24</v>
      </c>
      <c r="I69" s="8" t="s">
        <v>57</v>
      </c>
      <c r="J69" s="8" t="s">
        <v>740</v>
      </c>
      <c r="K69" s="8" t="s">
        <v>777</v>
      </c>
      <c r="M69" s="8" t="s">
        <v>82</v>
      </c>
    </row>
    <row r="70" spans="1:15" x14ac:dyDescent="0.25">
      <c r="A70" s="8" t="s">
        <v>21</v>
      </c>
      <c r="B70" s="15" t="s">
        <v>95</v>
      </c>
      <c r="C70" s="8">
        <v>802072</v>
      </c>
      <c r="D70" s="8" t="s">
        <v>33</v>
      </c>
      <c r="E70" s="8">
        <v>213</v>
      </c>
      <c r="F70" s="16">
        <v>115.882158789638</v>
      </c>
      <c r="G70" s="8" t="s">
        <v>27</v>
      </c>
      <c r="H70" s="8" t="s">
        <v>31</v>
      </c>
      <c r="I70" s="8" t="s">
        <v>22</v>
      </c>
      <c r="J70" s="8" t="s">
        <v>742</v>
      </c>
      <c r="K70" s="8" t="s">
        <v>95</v>
      </c>
      <c r="M70" s="8" t="s">
        <v>82</v>
      </c>
    </row>
    <row r="71" spans="1:15" x14ac:dyDescent="0.25">
      <c r="A71" s="8" t="s">
        <v>21</v>
      </c>
      <c r="B71" s="15" t="s">
        <v>91</v>
      </c>
      <c r="C71" s="8">
        <v>802081</v>
      </c>
      <c r="D71" s="8" t="s">
        <v>24</v>
      </c>
      <c r="E71" s="8">
        <v>94</v>
      </c>
      <c r="F71" s="16">
        <v>107.64064842681501</v>
      </c>
      <c r="G71" s="8" t="s">
        <v>25</v>
      </c>
      <c r="H71" s="8" t="s">
        <v>24</v>
      </c>
      <c r="I71" s="8" t="s">
        <v>22</v>
      </c>
      <c r="J71" s="8" t="s">
        <v>740</v>
      </c>
      <c r="K71" s="8" t="s">
        <v>778</v>
      </c>
      <c r="M71" s="8" t="s">
        <v>82</v>
      </c>
    </row>
    <row r="72" spans="1:15" x14ac:dyDescent="0.25">
      <c r="A72" s="8" t="s">
        <v>21</v>
      </c>
      <c r="B72" s="15" t="s">
        <v>96</v>
      </c>
      <c r="C72" s="8">
        <v>802082</v>
      </c>
      <c r="D72" s="8" t="s">
        <v>33</v>
      </c>
      <c r="E72" s="8">
        <v>316</v>
      </c>
      <c r="F72" s="16">
        <v>108.28936849906501</v>
      </c>
      <c r="G72" s="8" t="s">
        <v>25</v>
      </c>
      <c r="H72" s="8" t="s">
        <v>31</v>
      </c>
      <c r="I72" s="8" t="s">
        <v>22</v>
      </c>
      <c r="J72" s="8" t="s">
        <v>742</v>
      </c>
      <c r="K72" s="8" t="s">
        <v>779</v>
      </c>
      <c r="M72" s="8" t="s">
        <v>82</v>
      </c>
    </row>
    <row r="73" spans="1:15" x14ac:dyDescent="0.25">
      <c r="A73" s="8" t="s">
        <v>21</v>
      </c>
      <c r="B73" s="15" t="s">
        <v>91</v>
      </c>
      <c r="C73" s="8">
        <v>802091</v>
      </c>
      <c r="D73" s="8" t="s">
        <v>97</v>
      </c>
      <c r="E73" s="8">
        <v>26</v>
      </c>
      <c r="F73" s="16">
        <v>108.33523266856599</v>
      </c>
      <c r="G73" s="8" t="s">
        <v>25</v>
      </c>
      <c r="H73" s="8" t="s">
        <v>24</v>
      </c>
      <c r="I73" s="8" t="s">
        <v>22</v>
      </c>
      <c r="J73" s="8" t="s">
        <v>740</v>
      </c>
      <c r="K73" s="8" t="s">
        <v>780</v>
      </c>
      <c r="M73" s="8" t="s">
        <v>82</v>
      </c>
    </row>
    <row r="74" spans="1:15" x14ac:dyDescent="0.25">
      <c r="A74" s="8" t="s">
        <v>21</v>
      </c>
      <c r="B74" s="15" t="s">
        <v>98</v>
      </c>
      <c r="C74" s="8">
        <v>802092</v>
      </c>
      <c r="D74" s="8" t="s">
        <v>99</v>
      </c>
      <c r="E74" s="8">
        <v>305</v>
      </c>
      <c r="F74" s="16">
        <v>120.732288174422</v>
      </c>
      <c r="G74" s="8" t="s">
        <v>27</v>
      </c>
      <c r="H74" s="8" t="s">
        <v>31</v>
      </c>
      <c r="I74" s="793" t="s">
        <v>22</v>
      </c>
      <c r="J74" s="794" t="s">
        <v>742</v>
      </c>
      <c r="K74" s="793" t="s">
        <v>781</v>
      </c>
      <c r="L74" s="793"/>
      <c r="M74" s="795" t="s">
        <v>82</v>
      </c>
      <c r="N74" s="8">
        <v>-0.5</v>
      </c>
      <c r="O74" s="793"/>
    </row>
    <row r="75" spans="1:15" x14ac:dyDescent="0.25">
      <c r="A75" s="8" t="s">
        <v>21</v>
      </c>
      <c r="B75" s="15" t="s">
        <v>91</v>
      </c>
      <c r="C75" s="8">
        <v>802101</v>
      </c>
      <c r="D75" s="8" t="s">
        <v>100</v>
      </c>
      <c r="E75" s="8">
        <v>27</v>
      </c>
      <c r="F75" s="16">
        <v>101.741512345679</v>
      </c>
      <c r="G75" s="8" t="s">
        <v>25</v>
      </c>
      <c r="H75" s="8" t="s">
        <v>24</v>
      </c>
      <c r="I75" s="8" t="s">
        <v>22</v>
      </c>
      <c r="J75" s="8" t="s">
        <v>740</v>
      </c>
      <c r="K75" s="8" t="s">
        <v>782</v>
      </c>
      <c r="M75" s="8" t="s">
        <v>82</v>
      </c>
    </row>
    <row r="76" spans="1:15" x14ac:dyDescent="0.25">
      <c r="A76" s="8" t="s">
        <v>21</v>
      </c>
      <c r="B76" s="15" t="s">
        <v>101</v>
      </c>
      <c r="C76" s="8">
        <v>802102</v>
      </c>
      <c r="D76" s="8" t="s">
        <v>33</v>
      </c>
      <c r="E76" s="8">
        <v>353</v>
      </c>
      <c r="F76" s="16">
        <v>125.32218148186</v>
      </c>
      <c r="G76" s="8" t="s">
        <v>51</v>
      </c>
      <c r="H76" s="8" t="s">
        <v>31</v>
      </c>
      <c r="I76" s="8" t="s">
        <v>22</v>
      </c>
      <c r="J76" s="8" t="s">
        <v>742</v>
      </c>
      <c r="K76" s="8" t="s">
        <v>151</v>
      </c>
      <c r="M76" s="8" t="s">
        <v>82</v>
      </c>
    </row>
    <row r="77" spans="1:15" x14ac:dyDescent="0.25">
      <c r="A77" s="8" t="s">
        <v>21</v>
      </c>
      <c r="B77" s="15" t="s">
        <v>91</v>
      </c>
      <c r="C77" s="8">
        <v>802111</v>
      </c>
      <c r="D77" s="8" t="s">
        <v>102</v>
      </c>
      <c r="E77" s="8">
        <v>24</v>
      </c>
      <c r="F77" s="16">
        <v>102.777777777778</v>
      </c>
      <c r="G77" s="8" t="s">
        <v>25</v>
      </c>
      <c r="H77" s="8" t="s">
        <v>24</v>
      </c>
      <c r="I77" s="8" t="s">
        <v>22</v>
      </c>
      <c r="J77" s="8" t="s">
        <v>740</v>
      </c>
      <c r="K77" s="8" t="s">
        <v>783</v>
      </c>
      <c r="M77" s="8" t="s">
        <v>82</v>
      </c>
    </row>
    <row r="78" spans="1:15" x14ac:dyDescent="0.25">
      <c r="A78" s="8" t="s">
        <v>21</v>
      </c>
      <c r="B78" s="15" t="s">
        <v>103</v>
      </c>
      <c r="C78" s="8">
        <v>802112</v>
      </c>
      <c r="D78" s="8" t="s">
        <v>33</v>
      </c>
      <c r="E78" s="8">
        <v>247</v>
      </c>
      <c r="F78" s="16">
        <v>120.69076579386299</v>
      </c>
      <c r="G78" s="8" t="s">
        <v>27</v>
      </c>
      <c r="H78" s="8" t="s">
        <v>31</v>
      </c>
      <c r="I78" s="8" t="s">
        <v>22</v>
      </c>
      <c r="J78" s="8" t="s">
        <v>742</v>
      </c>
      <c r="K78" s="8" t="s">
        <v>103</v>
      </c>
      <c r="M78" s="8" t="s">
        <v>82</v>
      </c>
    </row>
    <row r="79" spans="1:15" x14ac:dyDescent="0.25">
      <c r="A79" s="8" t="s">
        <v>21</v>
      </c>
      <c r="B79" s="15" t="s">
        <v>104</v>
      </c>
      <c r="C79" s="8">
        <v>802121</v>
      </c>
      <c r="D79" s="8" t="s">
        <v>24</v>
      </c>
      <c r="E79" s="8">
        <v>123</v>
      </c>
      <c r="F79" s="16">
        <v>106.59387811826799</v>
      </c>
      <c r="G79" s="8" t="s">
        <v>25</v>
      </c>
      <c r="H79" s="8" t="s">
        <v>24</v>
      </c>
      <c r="I79" s="8" t="s">
        <v>22</v>
      </c>
      <c r="J79" s="8" t="s">
        <v>740</v>
      </c>
      <c r="K79" s="8" t="s">
        <v>104</v>
      </c>
      <c r="M79" s="8" t="s">
        <v>82</v>
      </c>
    </row>
    <row r="80" spans="1:15" x14ac:dyDescent="0.25">
      <c r="A80" s="8" t="s">
        <v>21</v>
      </c>
      <c r="B80" s="15" t="s">
        <v>105</v>
      </c>
      <c r="C80" s="8">
        <v>802122</v>
      </c>
      <c r="D80" s="8" t="s">
        <v>106</v>
      </c>
      <c r="E80" s="8">
        <v>139</v>
      </c>
      <c r="F80" s="16">
        <v>117.12567415743101</v>
      </c>
      <c r="G80" s="8" t="s">
        <v>27</v>
      </c>
      <c r="H80" s="8" t="s">
        <v>31</v>
      </c>
      <c r="I80" s="799" t="s">
        <v>22</v>
      </c>
      <c r="J80" s="799" t="s">
        <v>742</v>
      </c>
      <c r="K80" s="799" t="s">
        <v>784</v>
      </c>
      <c r="L80" s="799" t="s">
        <v>785</v>
      </c>
      <c r="M80" s="8" t="s">
        <v>82</v>
      </c>
      <c r="O80" s="799"/>
    </row>
    <row r="81" spans="1:14" x14ac:dyDescent="0.25">
      <c r="A81" s="8" t="s">
        <v>21</v>
      </c>
      <c r="B81" s="15" t="s">
        <v>104</v>
      </c>
      <c r="C81" s="8">
        <v>802131</v>
      </c>
      <c r="D81" s="8" t="s">
        <v>107</v>
      </c>
      <c r="E81" s="8">
        <v>18</v>
      </c>
      <c r="F81" s="16">
        <v>118.287037037037</v>
      </c>
      <c r="G81" s="8" t="s">
        <v>27</v>
      </c>
      <c r="H81" s="8" t="s">
        <v>24</v>
      </c>
      <c r="I81" s="8" t="s">
        <v>22</v>
      </c>
      <c r="J81" s="8" t="s">
        <v>740</v>
      </c>
      <c r="K81" s="8" t="s">
        <v>786</v>
      </c>
      <c r="M81" s="8" t="s">
        <v>82</v>
      </c>
    </row>
    <row r="82" spans="1:14" x14ac:dyDescent="0.25">
      <c r="A82" s="8" t="s">
        <v>21</v>
      </c>
      <c r="B82" s="15" t="s">
        <v>108</v>
      </c>
      <c r="C82" s="8">
        <v>802132</v>
      </c>
      <c r="D82" s="8" t="s">
        <v>33</v>
      </c>
      <c r="E82" s="8">
        <v>237</v>
      </c>
      <c r="F82" s="16">
        <v>128.06712273150401</v>
      </c>
      <c r="G82" s="8" t="s">
        <v>51</v>
      </c>
      <c r="H82" s="8" t="s">
        <v>31</v>
      </c>
      <c r="I82" s="8" t="s">
        <v>22</v>
      </c>
      <c r="J82" s="8" t="s">
        <v>742</v>
      </c>
      <c r="K82" s="8" t="s">
        <v>108</v>
      </c>
      <c r="M82" s="8" t="s">
        <v>82</v>
      </c>
    </row>
    <row r="83" spans="1:14" x14ac:dyDescent="0.25">
      <c r="A83" s="8" t="s">
        <v>21</v>
      </c>
      <c r="B83" s="15" t="s">
        <v>93</v>
      </c>
      <c r="C83" s="8">
        <v>802141</v>
      </c>
      <c r="D83" s="8" t="s">
        <v>24</v>
      </c>
      <c r="E83" s="8">
        <v>67</v>
      </c>
      <c r="F83" s="16">
        <v>105.616560056859</v>
      </c>
      <c r="G83" s="8" t="s">
        <v>25</v>
      </c>
      <c r="H83" s="8" t="s">
        <v>24</v>
      </c>
      <c r="I83" s="8" t="s">
        <v>22</v>
      </c>
      <c r="J83" s="8" t="s">
        <v>740</v>
      </c>
      <c r="K83" s="8" t="s">
        <v>776</v>
      </c>
      <c r="M83" s="8" t="s">
        <v>82</v>
      </c>
    </row>
    <row r="84" spans="1:14" x14ac:dyDescent="0.25">
      <c r="A84" s="8" t="s">
        <v>21</v>
      </c>
      <c r="B84" s="15" t="s">
        <v>109</v>
      </c>
      <c r="C84" s="8">
        <v>802142</v>
      </c>
      <c r="D84" s="8" t="s">
        <v>33</v>
      </c>
      <c r="E84" s="8">
        <v>228</v>
      </c>
      <c r="F84" s="16">
        <v>106.73892150171601</v>
      </c>
      <c r="G84" s="8" t="s">
        <v>25</v>
      </c>
      <c r="H84" s="8" t="s">
        <v>31</v>
      </c>
      <c r="I84" s="8" t="s">
        <v>22</v>
      </c>
      <c r="J84" s="8" t="s">
        <v>742</v>
      </c>
      <c r="K84" s="8" t="s">
        <v>787</v>
      </c>
      <c r="M84" s="8" t="s">
        <v>82</v>
      </c>
    </row>
    <row r="85" spans="1:14" x14ac:dyDescent="0.25">
      <c r="A85" s="8" t="s">
        <v>21</v>
      </c>
      <c r="B85" s="15" t="s">
        <v>95</v>
      </c>
      <c r="C85" s="8">
        <v>802151</v>
      </c>
      <c r="D85" s="8" t="s">
        <v>24</v>
      </c>
      <c r="E85" s="8">
        <v>97</v>
      </c>
      <c r="F85" s="16">
        <v>116.579783834314</v>
      </c>
      <c r="G85" s="8" t="s">
        <v>27</v>
      </c>
      <c r="H85" s="8" t="s">
        <v>24</v>
      </c>
      <c r="I85" s="8" t="s">
        <v>22</v>
      </c>
      <c r="J85" s="8" t="s">
        <v>740</v>
      </c>
      <c r="K85" s="8" t="s">
        <v>95</v>
      </c>
      <c r="M85" s="8" t="s">
        <v>82</v>
      </c>
    </row>
    <row r="86" spans="1:14" x14ac:dyDescent="0.25">
      <c r="A86" s="8" t="s">
        <v>21</v>
      </c>
      <c r="B86" s="15" t="s">
        <v>110</v>
      </c>
      <c r="C86" s="8">
        <v>802152</v>
      </c>
      <c r="D86" s="8" t="s">
        <v>33</v>
      </c>
      <c r="E86" s="8">
        <v>87</v>
      </c>
      <c r="F86" s="16">
        <v>133.99143901764299</v>
      </c>
      <c r="G86" s="8" t="s">
        <v>51</v>
      </c>
      <c r="H86" s="8" t="s">
        <v>31</v>
      </c>
      <c r="I86" s="8" t="s">
        <v>22</v>
      </c>
      <c r="J86" s="8" t="s">
        <v>742</v>
      </c>
      <c r="K86" s="8" t="s">
        <v>788</v>
      </c>
      <c r="M86" s="8" t="s">
        <v>82</v>
      </c>
    </row>
    <row r="87" spans="1:14" x14ac:dyDescent="0.25">
      <c r="A87" s="8" t="s">
        <v>21</v>
      </c>
      <c r="B87" s="15" t="s">
        <v>111</v>
      </c>
      <c r="C87" s="8">
        <v>802161</v>
      </c>
      <c r="D87" s="20" t="s">
        <v>24</v>
      </c>
      <c r="E87" s="8">
        <v>23</v>
      </c>
      <c r="F87" s="16">
        <v>102.173913043478</v>
      </c>
      <c r="G87" s="8" t="s">
        <v>25</v>
      </c>
      <c r="H87" s="8" t="s">
        <v>24</v>
      </c>
      <c r="I87" s="8" t="s">
        <v>22</v>
      </c>
      <c r="J87" s="8" t="s">
        <v>740</v>
      </c>
      <c r="K87" s="8" t="s">
        <v>789</v>
      </c>
      <c r="M87" s="8" t="s">
        <v>82</v>
      </c>
    </row>
    <row r="88" spans="1:14" x14ac:dyDescent="0.25">
      <c r="A88" s="8" t="s">
        <v>21</v>
      </c>
      <c r="B88" s="15" t="s">
        <v>112</v>
      </c>
      <c r="C88" s="8">
        <v>802162</v>
      </c>
      <c r="D88" s="8" t="s">
        <v>33</v>
      </c>
      <c r="E88" s="8">
        <v>383</v>
      </c>
      <c r="F88" s="16">
        <v>122.300988315323</v>
      </c>
      <c r="G88" s="8" t="s">
        <v>27</v>
      </c>
      <c r="H88" s="8" t="s">
        <v>31</v>
      </c>
      <c r="I88" s="8" t="s">
        <v>22</v>
      </c>
      <c r="J88" s="8" t="s">
        <v>742</v>
      </c>
      <c r="K88" s="8" t="s">
        <v>112</v>
      </c>
      <c r="M88" s="795" t="s">
        <v>82</v>
      </c>
      <c r="N88" s="8">
        <v>-0.5</v>
      </c>
    </row>
    <row r="89" spans="1:14" x14ac:dyDescent="0.25">
      <c r="A89" s="8" t="s">
        <v>21</v>
      </c>
      <c r="B89" s="15" t="s">
        <v>113</v>
      </c>
      <c r="C89" s="8">
        <v>802172</v>
      </c>
      <c r="D89" s="8" t="s">
        <v>33</v>
      </c>
      <c r="E89" s="8">
        <v>168</v>
      </c>
      <c r="F89" s="16">
        <v>110.256120874319</v>
      </c>
      <c r="G89" s="8" t="s">
        <v>25</v>
      </c>
      <c r="H89" s="8" t="s">
        <v>31</v>
      </c>
      <c r="I89" s="8" t="s">
        <v>22</v>
      </c>
      <c r="J89" s="8" t="s">
        <v>742</v>
      </c>
      <c r="K89" s="8" t="s">
        <v>113</v>
      </c>
      <c r="M89" s="8" t="s">
        <v>82</v>
      </c>
    </row>
    <row r="90" spans="1:14" x14ac:dyDescent="0.25">
      <c r="A90" s="8" t="s">
        <v>21</v>
      </c>
      <c r="B90" s="15" t="s">
        <v>114</v>
      </c>
      <c r="C90" s="8">
        <v>802182</v>
      </c>
      <c r="D90" s="8" t="s">
        <v>115</v>
      </c>
      <c r="E90" s="8">
        <v>222</v>
      </c>
      <c r="F90" s="16">
        <v>134.46516103242601</v>
      </c>
      <c r="G90" s="8" t="s">
        <v>51</v>
      </c>
      <c r="H90" s="8" t="s">
        <v>31</v>
      </c>
      <c r="I90" s="8" t="s">
        <v>22</v>
      </c>
      <c r="J90" s="8" t="s">
        <v>742</v>
      </c>
      <c r="K90" s="8" t="s">
        <v>790</v>
      </c>
      <c r="M90" s="8" t="s">
        <v>82</v>
      </c>
    </row>
    <row r="91" spans="1:14" x14ac:dyDescent="0.25">
      <c r="A91" s="8" t="s">
        <v>21</v>
      </c>
      <c r="B91" s="15" t="s">
        <v>116</v>
      </c>
      <c r="C91" s="8">
        <v>802191</v>
      </c>
      <c r="D91" s="8" t="s">
        <v>24</v>
      </c>
      <c r="E91" s="8">
        <v>54</v>
      </c>
      <c r="F91" s="16">
        <v>109.205707440209</v>
      </c>
      <c r="G91" s="8" t="s">
        <v>25</v>
      </c>
      <c r="H91" s="8" t="s">
        <v>24</v>
      </c>
      <c r="I91" s="8" t="s">
        <v>22</v>
      </c>
      <c r="J91" s="8" t="s">
        <v>740</v>
      </c>
      <c r="K91" s="8" t="s">
        <v>116</v>
      </c>
      <c r="M91" s="8" t="s">
        <v>82</v>
      </c>
    </row>
    <row r="92" spans="1:14" x14ac:dyDescent="0.25">
      <c r="A92" s="8" t="s">
        <v>21</v>
      </c>
      <c r="B92" s="15" t="s">
        <v>117</v>
      </c>
      <c r="C92" s="8">
        <v>802201</v>
      </c>
      <c r="D92" s="8" t="s">
        <v>24</v>
      </c>
      <c r="E92" s="8">
        <v>29</v>
      </c>
      <c r="F92" s="16">
        <v>103.30592805449101</v>
      </c>
      <c r="G92" s="8" t="s">
        <v>25</v>
      </c>
      <c r="H92" s="8" t="s">
        <v>24</v>
      </c>
      <c r="I92" s="8" t="s">
        <v>22</v>
      </c>
      <c r="J92" s="8" t="s">
        <v>740</v>
      </c>
      <c r="K92" s="8" t="s">
        <v>117</v>
      </c>
      <c r="M92" s="8" t="s">
        <v>82</v>
      </c>
    </row>
    <row r="93" spans="1:14" x14ac:dyDescent="0.25">
      <c r="A93" s="8" t="s">
        <v>21</v>
      </c>
      <c r="B93" s="15" t="s">
        <v>118</v>
      </c>
      <c r="C93" s="8">
        <v>802202</v>
      </c>
      <c r="D93" s="8" t="s">
        <v>33</v>
      </c>
      <c r="E93" s="8">
        <v>207</v>
      </c>
      <c r="F93" s="16">
        <v>110.151134317212</v>
      </c>
      <c r="G93" s="8" t="s">
        <v>25</v>
      </c>
      <c r="H93" s="8" t="s">
        <v>31</v>
      </c>
      <c r="I93" s="8" t="s">
        <v>22</v>
      </c>
      <c r="J93" s="8" t="s">
        <v>742</v>
      </c>
      <c r="K93" s="8" t="s">
        <v>118</v>
      </c>
      <c r="M93" s="8" t="s">
        <v>82</v>
      </c>
    </row>
    <row r="94" spans="1:14" x14ac:dyDescent="0.25">
      <c r="A94" s="8" t="s">
        <v>21</v>
      </c>
      <c r="B94" s="15" t="s">
        <v>119</v>
      </c>
      <c r="C94" s="8">
        <v>802211</v>
      </c>
      <c r="D94" s="8" t="s">
        <v>24</v>
      </c>
      <c r="E94" s="8">
        <v>22</v>
      </c>
      <c r="F94" s="16">
        <v>100.75757575757601</v>
      </c>
      <c r="G94" s="8" t="s">
        <v>25</v>
      </c>
      <c r="H94" s="8" t="s">
        <v>24</v>
      </c>
      <c r="I94" s="8" t="s">
        <v>22</v>
      </c>
      <c r="J94" s="8" t="s">
        <v>740</v>
      </c>
      <c r="K94" s="8" t="s">
        <v>119</v>
      </c>
      <c r="M94" s="8" t="s">
        <v>82</v>
      </c>
    </row>
    <row r="95" spans="1:14" x14ac:dyDescent="0.25">
      <c r="A95" s="8" t="s">
        <v>21</v>
      </c>
      <c r="B95" s="15" t="s">
        <v>120</v>
      </c>
      <c r="C95" s="8">
        <v>802212</v>
      </c>
      <c r="D95" s="8" t="s">
        <v>33</v>
      </c>
      <c r="E95" s="8">
        <v>189</v>
      </c>
      <c r="F95" s="16">
        <v>111.26045019774701</v>
      </c>
      <c r="G95" s="8" t="s">
        <v>25</v>
      </c>
      <c r="H95" s="8" t="s">
        <v>31</v>
      </c>
      <c r="I95" s="8" t="s">
        <v>22</v>
      </c>
      <c r="J95" s="8" t="s">
        <v>742</v>
      </c>
      <c r="K95" s="8" t="s">
        <v>120</v>
      </c>
      <c r="M95" s="795" t="s">
        <v>82</v>
      </c>
      <c r="N95" s="8">
        <v>-0.5</v>
      </c>
    </row>
    <row r="96" spans="1:14" x14ac:dyDescent="0.25">
      <c r="A96" s="8" t="s">
        <v>21</v>
      </c>
      <c r="B96" s="15" t="s">
        <v>113</v>
      </c>
      <c r="C96" s="8">
        <v>802221</v>
      </c>
      <c r="D96" s="8" t="s">
        <v>121</v>
      </c>
      <c r="E96" s="8">
        <v>45</v>
      </c>
      <c r="F96" s="16">
        <v>119.756190480808</v>
      </c>
      <c r="G96" s="8" t="s">
        <v>27</v>
      </c>
      <c r="H96" s="8" t="s">
        <v>24</v>
      </c>
      <c r="I96" s="8" t="s">
        <v>22</v>
      </c>
      <c r="J96" s="8" t="s">
        <v>740</v>
      </c>
      <c r="K96" s="8" t="s">
        <v>113</v>
      </c>
      <c r="M96" s="8" t="s">
        <v>82</v>
      </c>
    </row>
    <row r="97" spans="1:15" x14ac:dyDescent="0.25">
      <c r="A97" s="8" t="s">
        <v>21</v>
      </c>
      <c r="B97" s="15" t="s">
        <v>96</v>
      </c>
      <c r="C97" s="8">
        <v>802231</v>
      </c>
      <c r="D97" s="8" t="s">
        <v>24</v>
      </c>
      <c r="E97" s="8">
        <v>106</v>
      </c>
      <c r="F97" s="16">
        <v>105.73061978846501</v>
      </c>
      <c r="G97" s="8" t="s">
        <v>25</v>
      </c>
      <c r="H97" s="8" t="s">
        <v>24</v>
      </c>
      <c r="I97" s="8" t="s">
        <v>22</v>
      </c>
      <c r="J97" s="8" t="s">
        <v>740</v>
      </c>
      <c r="K97" s="8" t="s">
        <v>779</v>
      </c>
      <c r="M97" s="8" t="s">
        <v>82</v>
      </c>
    </row>
    <row r="98" spans="1:15" x14ac:dyDescent="0.25">
      <c r="A98" s="8" t="s">
        <v>21</v>
      </c>
      <c r="B98" s="15" t="s">
        <v>96</v>
      </c>
      <c r="C98" s="8">
        <v>802241</v>
      </c>
      <c r="D98" s="8" t="s">
        <v>122</v>
      </c>
      <c r="E98" s="8">
        <v>44</v>
      </c>
      <c r="F98" s="16">
        <v>105.066962358629</v>
      </c>
      <c r="G98" s="8" t="s">
        <v>25</v>
      </c>
      <c r="H98" s="8" t="s">
        <v>24</v>
      </c>
      <c r="I98" s="8" t="s">
        <v>22</v>
      </c>
      <c r="J98" s="8" t="s">
        <v>740</v>
      </c>
      <c r="K98" s="8" t="s">
        <v>791</v>
      </c>
      <c r="M98" s="8" t="s">
        <v>82</v>
      </c>
    </row>
    <row r="99" spans="1:15" x14ac:dyDescent="0.25">
      <c r="A99" s="8" t="s">
        <v>21</v>
      </c>
      <c r="B99" s="15" t="s">
        <v>123</v>
      </c>
      <c r="C99" s="8">
        <v>802251</v>
      </c>
      <c r="D99" s="8" t="s">
        <v>24</v>
      </c>
      <c r="E99" s="8">
        <v>25</v>
      </c>
      <c r="F99" s="16">
        <v>110.710227272727</v>
      </c>
      <c r="G99" s="8" t="s">
        <v>25</v>
      </c>
      <c r="H99" s="8" t="s">
        <v>24</v>
      </c>
      <c r="I99" s="8" t="s">
        <v>22</v>
      </c>
      <c r="J99" s="8" t="s">
        <v>740</v>
      </c>
      <c r="K99" s="8" t="s">
        <v>123</v>
      </c>
      <c r="M99" s="8" t="s">
        <v>82</v>
      </c>
    </row>
    <row r="100" spans="1:15" x14ac:dyDescent="0.25">
      <c r="A100" s="8" t="s">
        <v>21</v>
      </c>
      <c r="B100" s="15" t="s">
        <v>124</v>
      </c>
      <c r="C100" s="8">
        <v>802261</v>
      </c>
      <c r="D100" s="8" t="s">
        <v>24</v>
      </c>
      <c r="E100" s="8">
        <v>141</v>
      </c>
      <c r="F100" s="16">
        <v>118.59590852841499</v>
      </c>
      <c r="G100" s="8" t="s">
        <v>27</v>
      </c>
      <c r="H100" s="8" t="s">
        <v>24</v>
      </c>
      <c r="I100" s="8" t="s">
        <v>22</v>
      </c>
      <c r="J100" s="8" t="s">
        <v>740</v>
      </c>
      <c r="K100" s="8" t="s">
        <v>124</v>
      </c>
      <c r="M100" s="8" t="s">
        <v>82</v>
      </c>
    </row>
    <row r="101" spans="1:15" x14ac:dyDescent="0.25">
      <c r="A101" s="8" t="s">
        <v>21</v>
      </c>
      <c r="B101" s="15" t="s">
        <v>125</v>
      </c>
      <c r="C101" s="8">
        <v>802271</v>
      </c>
      <c r="D101" s="8" t="s">
        <v>24</v>
      </c>
      <c r="E101" s="8">
        <v>87</v>
      </c>
      <c r="F101" s="16">
        <v>110.06347678900001</v>
      </c>
      <c r="G101" s="8" t="s">
        <v>25</v>
      </c>
      <c r="H101" s="8" t="s">
        <v>24</v>
      </c>
      <c r="I101" s="8" t="s">
        <v>22</v>
      </c>
      <c r="J101" s="8" t="s">
        <v>740</v>
      </c>
      <c r="K101" s="8" t="s">
        <v>792</v>
      </c>
      <c r="M101" s="8" t="s">
        <v>82</v>
      </c>
    </row>
    <row r="102" spans="1:15" x14ac:dyDescent="0.25">
      <c r="A102" s="8" t="s">
        <v>21</v>
      </c>
      <c r="B102" s="15" t="s">
        <v>98</v>
      </c>
      <c r="C102" s="8">
        <v>802281</v>
      </c>
      <c r="D102" s="8" t="s">
        <v>126</v>
      </c>
      <c r="E102" s="8">
        <v>373</v>
      </c>
      <c r="F102" s="16">
        <v>122.077067189267</v>
      </c>
      <c r="G102" s="8" t="s">
        <v>27</v>
      </c>
      <c r="H102" s="8" t="s">
        <v>24</v>
      </c>
      <c r="I102" s="793" t="s">
        <v>22</v>
      </c>
      <c r="J102" s="794" t="s">
        <v>740</v>
      </c>
      <c r="K102" s="793" t="s">
        <v>781</v>
      </c>
      <c r="L102" s="793"/>
      <c r="M102" s="795" t="s">
        <v>82</v>
      </c>
      <c r="N102" s="8">
        <v>-0.5</v>
      </c>
      <c r="O102" s="793"/>
    </row>
    <row r="103" spans="1:15" x14ac:dyDescent="0.25">
      <c r="A103" s="8" t="s">
        <v>21</v>
      </c>
      <c r="B103" s="15" t="s">
        <v>114</v>
      </c>
      <c r="C103" s="8">
        <v>802291</v>
      </c>
      <c r="D103" s="8" t="s">
        <v>127</v>
      </c>
      <c r="E103" s="8">
        <v>255</v>
      </c>
      <c r="F103" s="16">
        <v>124.30731882148901</v>
      </c>
      <c r="G103" s="8" t="s">
        <v>27</v>
      </c>
      <c r="H103" s="8" t="s">
        <v>24</v>
      </c>
      <c r="I103" s="8" t="s">
        <v>22</v>
      </c>
      <c r="J103" s="8" t="s">
        <v>740</v>
      </c>
      <c r="K103" s="8" t="s">
        <v>790</v>
      </c>
      <c r="M103" s="8" t="s">
        <v>82</v>
      </c>
    </row>
    <row r="104" spans="1:15" x14ac:dyDescent="0.25">
      <c r="A104" s="8" t="s">
        <v>21</v>
      </c>
      <c r="B104" s="15" t="s">
        <v>120</v>
      </c>
      <c r="C104" s="8">
        <v>802301</v>
      </c>
      <c r="D104" s="8" t="s">
        <v>24</v>
      </c>
      <c r="E104" s="8">
        <v>74</v>
      </c>
      <c r="F104" s="16">
        <v>112.48421581037501</v>
      </c>
      <c r="G104" s="8" t="s">
        <v>25</v>
      </c>
      <c r="H104" s="8" t="s">
        <v>24</v>
      </c>
      <c r="I104" s="8" t="s">
        <v>22</v>
      </c>
      <c r="J104" s="8" t="s">
        <v>740</v>
      </c>
      <c r="K104" s="8" t="s">
        <v>120</v>
      </c>
      <c r="M104" s="795" t="s">
        <v>82</v>
      </c>
      <c r="N104" s="8">
        <v>-0.5</v>
      </c>
    </row>
    <row r="105" spans="1:15" x14ac:dyDescent="0.25">
      <c r="A105" s="8" t="s">
        <v>21</v>
      </c>
      <c r="B105" s="15" t="s">
        <v>101</v>
      </c>
      <c r="C105" s="8">
        <v>802311</v>
      </c>
      <c r="D105" s="8" t="s">
        <v>24</v>
      </c>
      <c r="E105" s="8">
        <v>273</v>
      </c>
      <c r="F105" s="16">
        <v>118.443539808409</v>
      </c>
      <c r="G105" s="8" t="s">
        <v>27</v>
      </c>
      <c r="H105" s="8" t="s">
        <v>24</v>
      </c>
      <c r="I105" s="8" t="s">
        <v>22</v>
      </c>
      <c r="J105" s="8" t="s">
        <v>740</v>
      </c>
      <c r="K105" s="8" t="s">
        <v>793</v>
      </c>
      <c r="M105" s="795" t="s">
        <v>82</v>
      </c>
      <c r="N105" s="8">
        <v>-0.5</v>
      </c>
    </row>
    <row r="106" spans="1:15" x14ac:dyDescent="0.25">
      <c r="A106" s="8" t="s">
        <v>21</v>
      </c>
      <c r="B106" s="15" t="s">
        <v>101</v>
      </c>
      <c r="C106" s="8">
        <v>802331</v>
      </c>
      <c r="D106" s="8" t="s">
        <v>128</v>
      </c>
      <c r="E106" s="8">
        <v>145</v>
      </c>
      <c r="F106" s="16">
        <v>117.300182687828</v>
      </c>
      <c r="G106" s="8" t="s">
        <v>27</v>
      </c>
      <c r="H106" s="8" t="s">
        <v>24</v>
      </c>
      <c r="I106" s="8" t="s">
        <v>22</v>
      </c>
      <c r="J106" s="8" t="s">
        <v>740</v>
      </c>
      <c r="K106" s="8" t="s">
        <v>794</v>
      </c>
      <c r="M106" s="8" t="s">
        <v>82</v>
      </c>
    </row>
    <row r="107" spans="1:15" x14ac:dyDescent="0.25">
      <c r="A107" s="8" t="s">
        <v>21</v>
      </c>
      <c r="B107" s="15" t="s">
        <v>103</v>
      </c>
      <c r="C107" s="8">
        <v>802341</v>
      </c>
      <c r="D107" s="8" t="s">
        <v>24</v>
      </c>
      <c r="E107" s="8">
        <v>243</v>
      </c>
      <c r="F107" s="16">
        <v>117.587240202904</v>
      </c>
      <c r="G107" s="8" t="s">
        <v>27</v>
      </c>
      <c r="H107" s="8" t="s">
        <v>24</v>
      </c>
      <c r="I107" s="8" t="s">
        <v>22</v>
      </c>
      <c r="J107" s="8" t="s">
        <v>740</v>
      </c>
      <c r="K107" s="8" t="s">
        <v>103</v>
      </c>
      <c r="M107" s="8" t="s">
        <v>82</v>
      </c>
    </row>
    <row r="108" spans="1:15" x14ac:dyDescent="0.25">
      <c r="A108" s="8" t="s">
        <v>21</v>
      </c>
      <c r="B108" s="15" t="s">
        <v>129</v>
      </c>
      <c r="C108" s="8">
        <v>802351</v>
      </c>
      <c r="D108" s="8" t="s">
        <v>24</v>
      </c>
      <c r="E108" s="8">
        <v>38</v>
      </c>
      <c r="F108" s="16">
        <v>112.402508784088</v>
      </c>
      <c r="G108" s="8" t="s">
        <v>25</v>
      </c>
      <c r="H108" s="8" t="s">
        <v>24</v>
      </c>
      <c r="I108" s="8" t="s">
        <v>22</v>
      </c>
      <c r="J108" s="8" t="s">
        <v>740</v>
      </c>
      <c r="K108" s="8" t="s">
        <v>129</v>
      </c>
      <c r="M108" s="8" t="s">
        <v>82</v>
      </c>
    </row>
    <row r="109" spans="1:15" x14ac:dyDescent="0.25">
      <c r="A109" s="8" t="s">
        <v>21</v>
      </c>
      <c r="B109" s="15" t="s">
        <v>130</v>
      </c>
      <c r="C109" s="8">
        <v>802361</v>
      </c>
      <c r="D109" s="8" t="s">
        <v>24</v>
      </c>
      <c r="E109" s="8">
        <v>62</v>
      </c>
      <c r="F109" s="16">
        <v>119.60622611579799</v>
      </c>
      <c r="G109" s="8" t="s">
        <v>27</v>
      </c>
      <c r="H109" s="8" t="s">
        <v>24</v>
      </c>
      <c r="I109" s="8" t="s">
        <v>22</v>
      </c>
      <c r="J109" s="8" t="s">
        <v>740</v>
      </c>
      <c r="K109" s="8" t="s">
        <v>130</v>
      </c>
      <c r="M109" s="8" t="s">
        <v>82</v>
      </c>
    </row>
    <row r="110" spans="1:15" x14ac:dyDescent="0.25">
      <c r="A110" s="8" t="s">
        <v>21</v>
      </c>
      <c r="B110" s="15" t="s">
        <v>131</v>
      </c>
      <c r="C110" s="8">
        <v>802371</v>
      </c>
      <c r="D110" s="8" t="s">
        <v>24</v>
      </c>
      <c r="E110" s="8">
        <v>37</v>
      </c>
      <c r="F110" s="16">
        <v>112.39012506049799</v>
      </c>
      <c r="G110" s="8" t="s">
        <v>25</v>
      </c>
      <c r="H110" s="8" t="s">
        <v>24</v>
      </c>
      <c r="I110" s="8" t="s">
        <v>22</v>
      </c>
      <c r="J110" s="8" t="s">
        <v>740</v>
      </c>
      <c r="K110" s="8" t="s">
        <v>795</v>
      </c>
      <c r="M110" s="8" t="s">
        <v>82</v>
      </c>
    </row>
    <row r="111" spans="1:15" x14ac:dyDescent="0.25">
      <c r="A111" s="8" t="s">
        <v>21</v>
      </c>
      <c r="B111" s="15" t="s">
        <v>132</v>
      </c>
      <c r="C111" s="8">
        <v>802381</v>
      </c>
      <c r="D111" s="8" t="s">
        <v>24</v>
      </c>
      <c r="E111" s="8">
        <v>45</v>
      </c>
      <c r="F111" s="16">
        <v>109.09839274201001</v>
      </c>
      <c r="G111" s="8" t="s">
        <v>25</v>
      </c>
      <c r="H111" s="8" t="s">
        <v>24</v>
      </c>
      <c r="I111" s="8" t="s">
        <v>22</v>
      </c>
      <c r="J111" s="8" t="s">
        <v>740</v>
      </c>
      <c r="K111" s="8" t="s">
        <v>796</v>
      </c>
      <c r="M111" s="8" t="s">
        <v>82</v>
      </c>
    </row>
    <row r="112" spans="1:15" x14ac:dyDescent="0.25">
      <c r="A112" s="8" t="s">
        <v>21</v>
      </c>
      <c r="B112" s="15" t="s">
        <v>133</v>
      </c>
      <c r="C112" s="8">
        <v>802401</v>
      </c>
      <c r="D112" s="8" t="s">
        <v>24</v>
      </c>
      <c r="E112" s="8">
        <v>80</v>
      </c>
      <c r="F112" s="16">
        <v>116.00769751934899</v>
      </c>
      <c r="G112" s="8" t="s">
        <v>27</v>
      </c>
      <c r="H112" s="8" t="s">
        <v>24</v>
      </c>
      <c r="I112" s="799" t="s">
        <v>22</v>
      </c>
      <c r="J112" s="799" t="s">
        <v>740</v>
      </c>
      <c r="K112" s="799" t="s">
        <v>133</v>
      </c>
      <c r="L112" s="799" t="s">
        <v>765</v>
      </c>
      <c r="M112" s="8" t="s">
        <v>82</v>
      </c>
      <c r="O112" s="799"/>
    </row>
    <row r="113" spans="1:15" x14ac:dyDescent="0.25">
      <c r="A113" s="8" t="s">
        <v>21</v>
      </c>
      <c r="B113" s="15" t="s">
        <v>108</v>
      </c>
      <c r="C113" s="8">
        <v>802411</v>
      </c>
      <c r="D113" s="8" t="s">
        <v>134</v>
      </c>
      <c r="E113" s="8">
        <v>242</v>
      </c>
      <c r="F113" s="16">
        <v>124.318036045729</v>
      </c>
      <c r="G113" s="8" t="s">
        <v>27</v>
      </c>
      <c r="H113" s="8" t="s">
        <v>24</v>
      </c>
      <c r="I113" s="8" t="s">
        <v>22</v>
      </c>
      <c r="J113" s="23" t="s">
        <v>740</v>
      </c>
      <c r="K113" s="23" t="s">
        <v>797</v>
      </c>
      <c r="L113" s="23"/>
      <c r="M113" s="8" t="s">
        <v>82</v>
      </c>
    </row>
    <row r="114" spans="1:15" x14ac:dyDescent="0.25">
      <c r="A114" s="8" t="s">
        <v>21</v>
      </c>
      <c r="B114" s="15" t="s">
        <v>108</v>
      </c>
      <c r="C114" s="8">
        <v>802421</v>
      </c>
      <c r="D114" s="8" t="s">
        <v>135</v>
      </c>
      <c r="E114" s="8">
        <v>223</v>
      </c>
      <c r="F114" s="16">
        <v>123.025601031471</v>
      </c>
      <c r="G114" s="8" t="s">
        <v>27</v>
      </c>
      <c r="H114" s="8" t="s">
        <v>24</v>
      </c>
      <c r="I114" s="799" t="s">
        <v>22</v>
      </c>
      <c r="J114" s="799" t="s">
        <v>740</v>
      </c>
      <c r="K114" s="799" t="s">
        <v>798</v>
      </c>
      <c r="L114" s="799" t="s">
        <v>765</v>
      </c>
      <c r="M114" s="8" t="s">
        <v>82</v>
      </c>
      <c r="O114" s="799"/>
    </row>
    <row r="115" spans="1:15" x14ac:dyDescent="0.25">
      <c r="A115" s="8" t="s">
        <v>21</v>
      </c>
      <c r="B115" s="15" t="s">
        <v>109</v>
      </c>
      <c r="C115" s="8">
        <v>802431</v>
      </c>
      <c r="D115" s="8" t="s">
        <v>24</v>
      </c>
      <c r="E115" s="8">
        <v>67</v>
      </c>
      <c r="F115" s="16">
        <v>110.665074487506</v>
      </c>
      <c r="G115" s="8" t="s">
        <v>25</v>
      </c>
      <c r="H115" s="8" t="s">
        <v>24</v>
      </c>
      <c r="I115" s="8" t="s">
        <v>22</v>
      </c>
      <c r="J115" s="23" t="s">
        <v>740</v>
      </c>
      <c r="K115" s="23" t="s">
        <v>787</v>
      </c>
      <c r="L115" s="23"/>
      <c r="M115" s="8" t="s">
        <v>82</v>
      </c>
    </row>
    <row r="116" spans="1:15" x14ac:dyDescent="0.25">
      <c r="A116" s="8" t="s">
        <v>21</v>
      </c>
      <c r="B116" s="15" t="s">
        <v>110</v>
      </c>
      <c r="C116" s="8">
        <v>802441</v>
      </c>
      <c r="D116" s="8" t="s">
        <v>24</v>
      </c>
      <c r="E116" s="8">
        <v>163</v>
      </c>
      <c r="F116" s="16">
        <v>121.89087437437399</v>
      </c>
      <c r="G116" s="8" t="s">
        <v>27</v>
      </c>
      <c r="H116" s="8" t="s">
        <v>24</v>
      </c>
      <c r="I116" s="8" t="s">
        <v>22</v>
      </c>
      <c r="J116" s="23" t="s">
        <v>740</v>
      </c>
      <c r="K116" s="23" t="s">
        <v>788</v>
      </c>
      <c r="L116" s="23"/>
      <c r="M116" s="8" t="s">
        <v>82</v>
      </c>
    </row>
    <row r="117" spans="1:15" x14ac:dyDescent="0.25">
      <c r="A117" s="8" t="s">
        <v>21</v>
      </c>
      <c r="B117" s="15" t="s">
        <v>136</v>
      </c>
      <c r="C117" s="8">
        <v>802451</v>
      </c>
      <c r="D117" s="8" t="s">
        <v>24</v>
      </c>
      <c r="E117" s="8">
        <v>63</v>
      </c>
      <c r="F117" s="16">
        <v>114.876332746293</v>
      </c>
      <c r="G117" s="8" t="s">
        <v>25</v>
      </c>
      <c r="H117" s="8" t="s">
        <v>24</v>
      </c>
      <c r="I117" s="8" t="s">
        <v>22</v>
      </c>
      <c r="J117" s="23" t="s">
        <v>740</v>
      </c>
      <c r="K117" s="23" t="s">
        <v>136</v>
      </c>
      <c r="L117" s="23"/>
      <c r="M117" s="8" t="s">
        <v>82</v>
      </c>
      <c r="N117" s="797"/>
      <c r="O117" s="8" t="s">
        <v>799</v>
      </c>
    </row>
    <row r="118" spans="1:15" x14ac:dyDescent="0.25">
      <c r="A118" s="8" t="s">
        <v>21</v>
      </c>
      <c r="B118" s="15" t="s">
        <v>137</v>
      </c>
      <c r="C118" s="8">
        <v>802461</v>
      </c>
      <c r="D118" s="8" t="s">
        <v>24</v>
      </c>
      <c r="E118" s="8">
        <v>45</v>
      </c>
      <c r="F118" s="16">
        <v>119.579336648135</v>
      </c>
      <c r="G118" s="8" t="s">
        <v>27</v>
      </c>
      <c r="H118" s="8" t="s">
        <v>24</v>
      </c>
      <c r="I118" s="8" t="s">
        <v>22</v>
      </c>
      <c r="J118" s="23" t="s">
        <v>740</v>
      </c>
      <c r="K118" s="23" t="s">
        <v>800</v>
      </c>
      <c r="L118" s="23"/>
      <c r="M118" s="795" t="s">
        <v>82</v>
      </c>
      <c r="N118" s="8">
        <v>-0.5</v>
      </c>
    </row>
    <row r="119" spans="1:15" x14ac:dyDescent="0.25">
      <c r="A119" s="8" t="s">
        <v>21</v>
      </c>
      <c r="B119" s="15" t="s">
        <v>138</v>
      </c>
      <c r="C119" s="8">
        <v>802471</v>
      </c>
      <c r="D119" s="8" t="s">
        <v>24</v>
      </c>
      <c r="E119" s="8">
        <v>34</v>
      </c>
      <c r="F119" s="16">
        <v>123.812931086413</v>
      </c>
      <c r="G119" s="8" t="s">
        <v>27</v>
      </c>
      <c r="H119" s="8" t="s">
        <v>24</v>
      </c>
      <c r="I119" s="8" t="s">
        <v>22</v>
      </c>
      <c r="J119" s="23" t="s">
        <v>740</v>
      </c>
      <c r="K119" s="23" t="s">
        <v>801</v>
      </c>
      <c r="L119" s="23"/>
      <c r="M119" s="795" t="s">
        <v>82</v>
      </c>
      <c r="N119" s="8">
        <v>-0.5</v>
      </c>
    </row>
    <row r="120" spans="1:15" x14ac:dyDescent="0.25">
      <c r="A120" s="8" t="s">
        <v>21</v>
      </c>
      <c r="B120" s="15" t="s">
        <v>105</v>
      </c>
      <c r="C120" s="8">
        <v>802481</v>
      </c>
      <c r="D120" s="8" t="s">
        <v>24</v>
      </c>
      <c r="E120" s="8">
        <v>60</v>
      </c>
      <c r="F120" s="16">
        <v>117.06299421268299</v>
      </c>
      <c r="G120" s="8" t="s">
        <v>27</v>
      </c>
      <c r="H120" s="8" t="s">
        <v>24</v>
      </c>
      <c r="I120" s="8" t="s">
        <v>22</v>
      </c>
      <c r="J120" s="23" t="s">
        <v>740</v>
      </c>
      <c r="K120" s="23" t="s">
        <v>802</v>
      </c>
      <c r="L120" s="23"/>
      <c r="M120" s="8" t="s">
        <v>82</v>
      </c>
    </row>
    <row r="121" spans="1:15" x14ac:dyDescent="0.25">
      <c r="A121" s="8" t="s">
        <v>21</v>
      </c>
      <c r="B121" s="21" t="s">
        <v>139</v>
      </c>
      <c r="C121" s="8">
        <v>802491</v>
      </c>
      <c r="D121" s="8" t="s">
        <v>24</v>
      </c>
      <c r="E121" s="8">
        <v>14</v>
      </c>
      <c r="F121" s="16">
        <v>116.75384800384801</v>
      </c>
      <c r="G121" s="8" t="s">
        <v>27</v>
      </c>
      <c r="H121" s="8" t="s">
        <v>24</v>
      </c>
      <c r="I121" s="8" t="s">
        <v>22</v>
      </c>
      <c r="J121" s="23" t="s">
        <v>740</v>
      </c>
      <c r="K121" s="23" t="s">
        <v>803</v>
      </c>
      <c r="L121" s="23"/>
      <c r="M121" s="8" t="s">
        <v>82</v>
      </c>
    </row>
    <row r="122" spans="1:15" x14ac:dyDescent="0.25">
      <c r="A122" s="8" t="s">
        <v>21</v>
      </c>
      <c r="B122" s="15" t="s">
        <v>140</v>
      </c>
      <c r="C122" s="8">
        <v>802501</v>
      </c>
      <c r="D122" s="8" t="s">
        <v>24</v>
      </c>
      <c r="E122" s="8">
        <v>26</v>
      </c>
      <c r="F122" s="16">
        <v>116.965544871795</v>
      </c>
      <c r="G122" s="8" t="s">
        <v>27</v>
      </c>
      <c r="H122" s="8" t="s">
        <v>24</v>
      </c>
      <c r="I122" s="8" t="s">
        <v>22</v>
      </c>
      <c r="J122" s="23" t="s">
        <v>740</v>
      </c>
      <c r="K122" s="23" t="s">
        <v>140</v>
      </c>
      <c r="L122" s="23"/>
      <c r="M122" s="8" t="s">
        <v>82</v>
      </c>
    </row>
    <row r="123" spans="1:15" x14ac:dyDescent="0.25">
      <c r="A123" s="8" t="s">
        <v>21</v>
      </c>
      <c r="B123" s="15" t="s">
        <v>141</v>
      </c>
      <c r="C123" s="8">
        <v>802511</v>
      </c>
      <c r="D123" s="8" t="s">
        <v>24</v>
      </c>
      <c r="E123" s="8">
        <v>50</v>
      </c>
      <c r="F123" s="16">
        <v>112.653428416821</v>
      </c>
      <c r="G123" s="8" t="s">
        <v>25</v>
      </c>
      <c r="H123" s="8" t="s">
        <v>24</v>
      </c>
      <c r="I123" s="8" t="s">
        <v>22</v>
      </c>
      <c r="J123" s="23" t="s">
        <v>740</v>
      </c>
      <c r="K123" s="23" t="s">
        <v>141</v>
      </c>
      <c r="L123" s="23"/>
      <c r="M123" s="8" t="s">
        <v>82</v>
      </c>
    </row>
    <row r="124" spans="1:15" x14ac:dyDescent="0.25">
      <c r="A124" s="8" t="s">
        <v>21</v>
      </c>
      <c r="B124" s="15" t="s">
        <v>142</v>
      </c>
      <c r="C124" s="8">
        <v>802521</v>
      </c>
      <c r="D124" s="8" t="s">
        <v>24</v>
      </c>
      <c r="E124" s="8">
        <v>12</v>
      </c>
      <c r="F124" s="16">
        <v>114.880952380952</v>
      </c>
      <c r="G124" s="8" t="s">
        <v>25</v>
      </c>
      <c r="H124" s="8" t="s">
        <v>24</v>
      </c>
      <c r="I124" s="8" t="s">
        <v>22</v>
      </c>
      <c r="J124" s="23" t="s">
        <v>740</v>
      </c>
      <c r="K124" s="23" t="s">
        <v>142</v>
      </c>
      <c r="L124" s="23"/>
      <c r="M124" s="8" t="s">
        <v>82</v>
      </c>
    </row>
    <row r="125" spans="1:15" x14ac:dyDescent="0.25">
      <c r="A125" s="8" t="s">
        <v>21</v>
      </c>
      <c r="B125" s="15" t="s">
        <v>143</v>
      </c>
      <c r="C125" s="8">
        <v>802531</v>
      </c>
      <c r="D125" s="8" t="s">
        <v>24</v>
      </c>
      <c r="E125" s="8">
        <v>51</v>
      </c>
      <c r="F125" s="16">
        <v>103.49893162393199</v>
      </c>
      <c r="G125" s="8" t="s">
        <v>25</v>
      </c>
      <c r="H125" s="8" t="s">
        <v>24</v>
      </c>
      <c r="I125" s="8" t="s">
        <v>22</v>
      </c>
      <c r="J125" s="23" t="s">
        <v>740</v>
      </c>
      <c r="K125" s="23" t="s">
        <v>143</v>
      </c>
      <c r="L125" s="23"/>
      <c r="M125" s="8" t="s">
        <v>82</v>
      </c>
    </row>
    <row r="126" spans="1:15" x14ac:dyDescent="0.25">
      <c r="A126" s="8" t="s">
        <v>21</v>
      </c>
      <c r="B126" s="15" t="s">
        <v>144</v>
      </c>
      <c r="C126" s="8">
        <v>802541</v>
      </c>
      <c r="D126" s="8" t="s">
        <v>24</v>
      </c>
      <c r="E126" s="8">
        <v>16</v>
      </c>
      <c r="F126" s="16">
        <v>108.712121212121</v>
      </c>
      <c r="G126" s="8" t="s">
        <v>25</v>
      </c>
      <c r="H126" s="8" t="s">
        <v>24</v>
      </c>
      <c r="I126" s="8" t="s">
        <v>22</v>
      </c>
      <c r="J126" s="23" t="s">
        <v>740</v>
      </c>
      <c r="K126" s="23" t="s">
        <v>144</v>
      </c>
      <c r="L126" s="23"/>
      <c r="M126" s="8" t="s">
        <v>82</v>
      </c>
    </row>
    <row r="127" spans="1:15" x14ac:dyDescent="0.25">
      <c r="A127" s="8" t="s">
        <v>21</v>
      </c>
      <c r="B127" s="15" t="s">
        <v>111</v>
      </c>
      <c r="C127" s="8">
        <v>802551</v>
      </c>
      <c r="D127" s="8" t="s">
        <v>24</v>
      </c>
      <c r="E127" s="8">
        <v>172</v>
      </c>
      <c r="F127" s="16">
        <v>113.99349055080199</v>
      </c>
      <c r="G127" s="8" t="s">
        <v>25</v>
      </c>
      <c r="H127" s="8" t="s">
        <v>24</v>
      </c>
      <c r="I127" s="8" t="s">
        <v>22</v>
      </c>
      <c r="J127" s="23" t="s">
        <v>740</v>
      </c>
      <c r="K127" s="23" t="s">
        <v>118</v>
      </c>
      <c r="L127" s="23"/>
      <c r="M127" s="8" t="s">
        <v>82</v>
      </c>
    </row>
    <row r="128" spans="1:15" x14ac:dyDescent="0.25">
      <c r="A128" s="8" t="s">
        <v>21</v>
      </c>
      <c r="B128" s="15" t="s">
        <v>145</v>
      </c>
      <c r="C128" s="8">
        <v>802561</v>
      </c>
      <c r="D128" s="8" t="s">
        <v>24</v>
      </c>
      <c r="E128" s="8">
        <v>80</v>
      </c>
      <c r="F128" s="16">
        <v>105.751349345099</v>
      </c>
      <c r="G128" s="8" t="s">
        <v>25</v>
      </c>
      <c r="H128" s="8" t="s">
        <v>24</v>
      </c>
      <c r="I128" s="8" t="s">
        <v>22</v>
      </c>
      <c r="J128" s="23" t="s">
        <v>740</v>
      </c>
      <c r="K128" s="23" t="s">
        <v>804</v>
      </c>
      <c r="L128" s="23"/>
      <c r="M128" s="8" t="s">
        <v>82</v>
      </c>
    </row>
    <row r="129" spans="1:15" x14ac:dyDescent="0.25">
      <c r="A129" s="8" t="s">
        <v>21</v>
      </c>
      <c r="B129" s="15" t="s">
        <v>146</v>
      </c>
      <c r="C129" s="8">
        <v>802571</v>
      </c>
      <c r="D129" s="8" t="s">
        <v>24</v>
      </c>
      <c r="E129" s="8">
        <v>16</v>
      </c>
      <c r="F129" s="16">
        <v>116.50118978243999</v>
      </c>
      <c r="G129" s="8" t="s">
        <v>27</v>
      </c>
      <c r="H129" s="8" t="s">
        <v>24</v>
      </c>
      <c r="I129" s="8" t="s">
        <v>22</v>
      </c>
      <c r="J129" s="23" t="s">
        <v>740</v>
      </c>
      <c r="K129" s="23" t="s">
        <v>146</v>
      </c>
      <c r="L129" s="23"/>
      <c r="M129" s="8" t="s">
        <v>82</v>
      </c>
    </row>
    <row r="130" spans="1:15" x14ac:dyDescent="0.25">
      <c r="A130" s="8" t="s">
        <v>21</v>
      </c>
      <c r="B130" s="15" t="s">
        <v>147</v>
      </c>
      <c r="C130" s="8">
        <v>802581</v>
      </c>
      <c r="D130" s="8" t="s">
        <v>24</v>
      </c>
      <c r="E130" s="8">
        <v>69</v>
      </c>
      <c r="F130" s="16">
        <v>112.820244352941</v>
      </c>
      <c r="G130" s="8" t="s">
        <v>25</v>
      </c>
      <c r="H130" s="8" t="s">
        <v>24</v>
      </c>
      <c r="I130" s="8" t="s">
        <v>22</v>
      </c>
      <c r="J130" s="23" t="s">
        <v>740</v>
      </c>
      <c r="K130" s="23" t="s">
        <v>805</v>
      </c>
      <c r="L130" s="23"/>
      <c r="M130" s="8" t="s">
        <v>82</v>
      </c>
    </row>
    <row r="131" spans="1:15" x14ac:dyDescent="0.25">
      <c r="A131" s="8" t="s">
        <v>21</v>
      </c>
      <c r="B131" s="15" t="s">
        <v>147</v>
      </c>
      <c r="C131" s="8">
        <v>802591</v>
      </c>
      <c r="D131" s="8" t="s">
        <v>148</v>
      </c>
      <c r="E131" s="8">
        <v>17</v>
      </c>
      <c r="F131" s="16">
        <v>104.861111111111</v>
      </c>
      <c r="G131" s="8" t="s">
        <v>25</v>
      </c>
      <c r="H131" s="8" t="s">
        <v>24</v>
      </c>
      <c r="I131" s="8" t="s">
        <v>22</v>
      </c>
      <c r="J131" s="23" t="s">
        <v>740</v>
      </c>
      <c r="K131" s="23" t="s">
        <v>806</v>
      </c>
      <c r="L131" s="23"/>
      <c r="M131" s="8" t="s">
        <v>82</v>
      </c>
    </row>
    <row r="132" spans="1:15" x14ac:dyDescent="0.25">
      <c r="A132" s="8" t="s">
        <v>21</v>
      </c>
      <c r="B132" s="15" t="s">
        <v>112</v>
      </c>
      <c r="C132" s="8">
        <v>802611</v>
      </c>
      <c r="D132" s="8" t="s">
        <v>24</v>
      </c>
      <c r="E132" s="8">
        <v>255</v>
      </c>
      <c r="F132" s="16">
        <v>115.72840660054899</v>
      </c>
      <c r="G132" s="8" t="s">
        <v>27</v>
      </c>
      <c r="H132" s="8" t="s">
        <v>24</v>
      </c>
      <c r="I132" s="8" t="s">
        <v>22</v>
      </c>
      <c r="J132" s="23" t="s">
        <v>740</v>
      </c>
      <c r="K132" s="23" t="s">
        <v>807</v>
      </c>
      <c r="L132" s="23"/>
      <c r="M132" s="795" t="s">
        <v>82</v>
      </c>
      <c r="N132" s="8">
        <v>-0.5</v>
      </c>
    </row>
    <row r="133" spans="1:15" x14ac:dyDescent="0.25">
      <c r="A133" s="8" t="s">
        <v>21</v>
      </c>
      <c r="B133" s="15" t="s">
        <v>112</v>
      </c>
      <c r="C133" s="8">
        <v>802621</v>
      </c>
      <c r="D133" s="8" t="s">
        <v>149</v>
      </c>
      <c r="E133" s="8">
        <v>140</v>
      </c>
      <c r="F133" s="16">
        <v>121.701735280698</v>
      </c>
      <c r="G133" s="8" t="s">
        <v>27</v>
      </c>
      <c r="H133" s="8" t="s">
        <v>24</v>
      </c>
      <c r="I133" s="8" t="s">
        <v>22</v>
      </c>
      <c r="J133" s="23" t="s">
        <v>740</v>
      </c>
      <c r="K133" s="23" t="s">
        <v>808</v>
      </c>
      <c r="L133" s="23"/>
      <c r="M133" s="8" t="s">
        <v>82</v>
      </c>
    </row>
    <row r="134" spans="1:15" x14ac:dyDescent="0.25">
      <c r="A134" s="8" t="s">
        <v>21</v>
      </c>
      <c r="B134" s="15" t="s">
        <v>82</v>
      </c>
      <c r="C134" s="8">
        <v>802631</v>
      </c>
      <c r="D134" s="8" t="s">
        <v>150</v>
      </c>
      <c r="E134" s="8">
        <v>222</v>
      </c>
      <c r="F134" s="16">
        <v>126.65255404195899</v>
      </c>
      <c r="G134" s="8" t="s">
        <v>51</v>
      </c>
      <c r="H134" s="8" t="s">
        <v>24</v>
      </c>
      <c r="I134" s="799" t="s">
        <v>22</v>
      </c>
      <c r="J134" s="799" t="s">
        <v>740</v>
      </c>
      <c r="K134" s="799" t="s">
        <v>809</v>
      </c>
      <c r="L134" s="799" t="s">
        <v>765</v>
      </c>
      <c r="M134" s="795" t="s">
        <v>82</v>
      </c>
      <c r="N134" s="8">
        <v>-0.5</v>
      </c>
      <c r="O134" s="799"/>
    </row>
    <row r="135" spans="1:15" x14ac:dyDescent="0.25">
      <c r="A135" s="8" t="s">
        <v>21</v>
      </c>
      <c r="B135" s="15" t="s">
        <v>151</v>
      </c>
      <c r="C135" s="8">
        <v>802641</v>
      </c>
      <c r="D135" s="8" t="s">
        <v>152</v>
      </c>
      <c r="E135" s="8">
        <v>26</v>
      </c>
      <c r="F135" s="16">
        <v>107.93052810715901</v>
      </c>
      <c r="G135" s="8" t="s">
        <v>25</v>
      </c>
      <c r="H135" s="8" t="s">
        <v>81</v>
      </c>
      <c r="I135" s="794" t="s">
        <v>57</v>
      </c>
      <c r="J135" s="794" t="s">
        <v>767</v>
      </c>
      <c r="K135" s="794" t="s">
        <v>810</v>
      </c>
      <c r="L135" s="793"/>
      <c r="M135" s="8" t="s">
        <v>82</v>
      </c>
      <c r="O135" s="794"/>
    </row>
    <row r="136" spans="1:15" x14ac:dyDescent="0.25">
      <c r="A136" s="8" t="s">
        <v>21</v>
      </c>
      <c r="B136" s="15" t="s">
        <v>82</v>
      </c>
      <c r="C136" s="8">
        <v>802651</v>
      </c>
      <c r="D136" s="8" t="s">
        <v>153</v>
      </c>
      <c r="E136" s="8">
        <v>75</v>
      </c>
      <c r="F136" s="16">
        <v>105.027039032636</v>
      </c>
      <c r="G136" s="8" t="s">
        <v>25</v>
      </c>
      <c r="H136" s="8" t="s">
        <v>24</v>
      </c>
      <c r="I136" s="794" t="s">
        <v>57</v>
      </c>
      <c r="J136" s="793" t="s">
        <v>767</v>
      </c>
      <c r="K136" s="793" t="s">
        <v>772</v>
      </c>
      <c r="L136" s="793"/>
      <c r="M136" s="8" t="s">
        <v>82</v>
      </c>
      <c r="O136" s="794"/>
    </row>
    <row r="137" spans="1:15" x14ac:dyDescent="0.25">
      <c r="A137" s="8" t="s">
        <v>21</v>
      </c>
      <c r="B137" s="15" t="s">
        <v>82</v>
      </c>
      <c r="C137" s="8">
        <v>802661</v>
      </c>
      <c r="D137" s="8" t="s">
        <v>154</v>
      </c>
      <c r="E137" s="8">
        <v>66</v>
      </c>
      <c r="F137" s="16">
        <v>114.294565501926</v>
      </c>
      <c r="G137" s="8" t="s">
        <v>25</v>
      </c>
      <c r="H137" s="8" t="s">
        <v>24</v>
      </c>
      <c r="I137" s="794" t="s">
        <v>57</v>
      </c>
      <c r="J137" s="794" t="s">
        <v>767</v>
      </c>
      <c r="K137" s="793" t="s">
        <v>811</v>
      </c>
      <c r="L137" s="793"/>
      <c r="M137" s="8" t="s">
        <v>82</v>
      </c>
      <c r="O137" s="794"/>
    </row>
    <row r="138" spans="1:15" x14ac:dyDescent="0.25">
      <c r="A138" s="8" t="s">
        <v>21</v>
      </c>
      <c r="B138" s="15" t="s">
        <v>155</v>
      </c>
      <c r="C138" s="8">
        <v>803011</v>
      </c>
      <c r="D138" s="8" t="s">
        <v>156</v>
      </c>
      <c r="E138" s="8">
        <v>277</v>
      </c>
      <c r="F138" s="16">
        <v>121.99937828346999</v>
      </c>
      <c r="G138" s="8" t="s">
        <v>27</v>
      </c>
      <c r="H138" s="8" t="s">
        <v>24</v>
      </c>
      <c r="I138" s="8" t="s">
        <v>22</v>
      </c>
      <c r="J138" s="8" t="s">
        <v>740</v>
      </c>
      <c r="K138" s="8" t="s">
        <v>812</v>
      </c>
      <c r="M138" s="795" t="s">
        <v>155</v>
      </c>
      <c r="N138" s="8">
        <v>-0.5</v>
      </c>
    </row>
    <row r="139" spans="1:15" x14ac:dyDescent="0.25">
      <c r="A139" s="8" t="s">
        <v>21</v>
      </c>
      <c r="B139" s="15" t="s">
        <v>157</v>
      </c>
      <c r="C139" s="8">
        <v>803012</v>
      </c>
      <c r="D139" s="8" t="s">
        <v>158</v>
      </c>
      <c r="E139" s="8">
        <v>254</v>
      </c>
      <c r="F139" s="16">
        <v>133.425259575665</v>
      </c>
      <c r="G139" s="8" t="s">
        <v>51</v>
      </c>
      <c r="H139" s="8" t="s">
        <v>31</v>
      </c>
      <c r="I139" s="8" t="s">
        <v>22</v>
      </c>
      <c r="J139" s="8" t="s">
        <v>742</v>
      </c>
      <c r="K139" s="8" t="s">
        <v>157</v>
      </c>
      <c r="M139" s="795" t="s">
        <v>155</v>
      </c>
      <c r="N139" s="8">
        <v>-0.5</v>
      </c>
    </row>
    <row r="140" spans="1:15" x14ac:dyDescent="0.25">
      <c r="A140" s="8" t="s">
        <v>21</v>
      </c>
      <c r="B140" s="15" t="s">
        <v>155</v>
      </c>
      <c r="C140" s="8">
        <v>803021</v>
      </c>
      <c r="D140" s="8" t="s">
        <v>159</v>
      </c>
      <c r="E140" s="8">
        <v>234</v>
      </c>
      <c r="F140" s="16">
        <v>128.711694753751</v>
      </c>
      <c r="G140" s="8" t="s">
        <v>51</v>
      </c>
      <c r="H140" s="8" t="s">
        <v>24</v>
      </c>
      <c r="I140" s="8" t="s">
        <v>22</v>
      </c>
      <c r="J140" s="8" t="s">
        <v>740</v>
      </c>
      <c r="K140" s="8" t="s">
        <v>157</v>
      </c>
      <c r="M140" s="795" t="s">
        <v>155</v>
      </c>
      <c r="N140" s="8">
        <v>-0.5</v>
      </c>
    </row>
    <row r="141" spans="1:15" x14ac:dyDescent="0.25">
      <c r="A141" s="8" t="s">
        <v>21</v>
      </c>
      <c r="B141" s="15" t="s">
        <v>155</v>
      </c>
      <c r="C141" s="8">
        <v>803022</v>
      </c>
      <c r="D141" s="8" t="s">
        <v>160</v>
      </c>
      <c r="E141" s="8">
        <v>352</v>
      </c>
      <c r="F141" s="16">
        <v>120.24462018499599</v>
      </c>
      <c r="G141" s="8" t="s">
        <v>27</v>
      </c>
      <c r="H141" s="8" t="s">
        <v>31</v>
      </c>
      <c r="I141" s="8" t="s">
        <v>22</v>
      </c>
      <c r="J141" s="8" t="s">
        <v>742</v>
      </c>
      <c r="K141" s="8" t="s">
        <v>813</v>
      </c>
      <c r="M141" s="795" t="s">
        <v>155</v>
      </c>
      <c r="N141" s="8">
        <v>-0.5</v>
      </c>
    </row>
    <row r="142" spans="1:15" x14ac:dyDescent="0.25">
      <c r="A142" s="8" t="s">
        <v>21</v>
      </c>
      <c r="B142" s="15" t="s">
        <v>155</v>
      </c>
      <c r="C142" s="8">
        <v>803031</v>
      </c>
      <c r="D142" s="8" t="s">
        <v>161</v>
      </c>
      <c r="E142" s="8">
        <v>302</v>
      </c>
      <c r="F142" s="16">
        <v>115.137074718948</v>
      </c>
      <c r="G142" s="8" t="s">
        <v>27</v>
      </c>
      <c r="H142" s="8" t="s">
        <v>24</v>
      </c>
      <c r="I142" s="8" t="s">
        <v>22</v>
      </c>
      <c r="J142" s="8" t="s">
        <v>740</v>
      </c>
      <c r="K142" s="8" t="s">
        <v>814</v>
      </c>
      <c r="M142" s="795" t="s">
        <v>155</v>
      </c>
      <c r="N142" s="8">
        <v>-0.5</v>
      </c>
    </row>
    <row r="143" spans="1:15" x14ac:dyDescent="0.25">
      <c r="A143" s="8" t="s">
        <v>21</v>
      </c>
      <c r="B143" s="15" t="s">
        <v>162</v>
      </c>
      <c r="C143" s="8">
        <v>803032</v>
      </c>
      <c r="D143" s="8" t="s">
        <v>158</v>
      </c>
      <c r="E143" s="8">
        <v>343</v>
      </c>
      <c r="F143" s="16">
        <v>119.610331222315</v>
      </c>
      <c r="G143" s="8" t="s">
        <v>27</v>
      </c>
      <c r="H143" s="8" t="s">
        <v>31</v>
      </c>
      <c r="I143" s="8" t="s">
        <v>22</v>
      </c>
      <c r="J143" s="8" t="s">
        <v>742</v>
      </c>
      <c r="K143" s="8" t="s">
        <v>815</v>
      </c>
      <c r="M143" s="8" t="s">
        <v>155</v>
      </c>
    </row>
    <row r="144" spans="1:15" x14ac:dyDescent="0.25">
      <c r="A144" s="8" t="s">
        <v>21</v>
      </c>
      <c r="B144" s="15" t="s">
        <v>163</v>
      </c>
      <c r="C144" s="8">
        <v>803041</v>
      </c>
      <c r="D144" s="8" t="s">
        <v>164</v>
      </c>
      <c r="E144" s="8">
        <v>153</v>
      </c>
      <c r="F144" s="16">
        <v>125.022323320219</v>
      </c>
      <c r="G144" s="8" t="s">
        <v>27</v>
      </c>
      <c r="H144" s="8" t="s">
        <v>24</v>
      </c>
      <c r="I144" s="8" t="s">
        <v>22</v>
      </c>
      <c r="J144" s="8" t="s">
        <v>740</v>
      </c>
      <c r="K144" s="8" t="s">
        <v>816</v>
      </c>
      <c r="M144" s="795" t="s">
        <v>155</v>
      </c>
      <c r="N144" s="8">
        <v>-0.5</v>
      </c>
    </row>
    <row r="145" spans="1:14" x14ac:dyDescent="0.25">
      <c r="A145" s="8" t="s">
        <v>21</v>
      </c>
      <c r="B145" s="15" t="s">
        <v>165</v>
      </c>
      <c r="C145" s="8">
        <v>803042</v>
      </c>
      <c r="D145" s="8" t="s">
        <v>166</v>
      </c>
      <c r="E145" s="8">
        <v>258</v>
      </c>
      <c r="F145" s="16">
        <v>136.73835222624899</v>
      </c>
      <c r="G145" s="8" t="s">
        <v>30</v>
      </c>
      <c r="H145" s="8" t="s">
        <v>31</v>
      </c>
      <c r="I145" s="8" t="s">
        <v>22</v>
      </c>
      <c r="J145" s="8" t="s">
        <v>742</v>
      </c>
      <c r="K145" s="8" t="s">
        <v>817</v>
      </c>
      <c r="M145" s="795" t="s">
        <v>155</v>
      </c>
      <c r="N145" s="8">
        <v>-0.5</v>
      </c>
    </row>
    <row r="146" spans="1:14" x14ac:dyDescent="0.25">
      <c r="A146" s="8" t="s">
        <v>21</v>
      </c>
      <c r="B146" s="15" t="s">
        <v>155</v>
      </c>
      <c r="C146" s="8">
        <v>803051</v>
      </c>
      <c r="D146" s="8" t="s">
        <v>167</v>
      </c>
      <c r="E146" s="8">
        <v>165</v>
      </c>
      <c r="F146" s="16">
        <v>113.229129750067</v>
      </c>
      <c r="G146" s="8" t="s">
        <v>25</v>
      </c>
      <c r="H146" s="8" t="s">
        <v>24</v>
      </c>
      <c r="I146" s="8" t="s">
        <v>22</v>
      </c>
      <c r="J146" s="8" t="s">
        <v>740</v>
      </c>
      <c r="K146" s="8" t="s">
        <v>818</v>
      </c>
      <c r="M146" s="795" t="s">
        <v>155</v>
      </c>
      <c r="N146" s="8">
        <v>-0.5</v>
      </c>
    </row>
    <row r="147" spans="1:14" x14ac:dyDescent="0.25">
      <c r="A147" s="8" t="s">
        <v>21</v>
      </c>
      <c r="B147" s="15" t="s">
        <v>168</v>
      </c>
      <c r="C147" s="8">
        <v>803052</v>
      </c>
      <c r="D147" s="8" t="s">
        <v>169</v>
      </c>
      <c r="E147" s="8">
        <v>259</v>
      </c>
      <c r="F147" s="16">
        <v>126.714735832559</v>
      </c>
      <c r="G147" s="8" t="s">
        <v>51</v>
      </c>
      <c r="H147" s="8" t="s">
        <v>31</v>
      </c>
      <c r="I147" s="8" t="s">
        <v>22</v>
      </c>
      <c r="J147" s="8" t="s">
        <v>742</v>
      </c>
      <c r="K147" s="8" t="s">
        <v>168</v>
      </c>
      <c r="M147" s="795" t="s">
        <v>155</v>
      </c>
      <c r="N147" s="8">
        <v>-0.5</v>
      </c>
    </row>
    <row r="148" spans="1:14" x14ac:dyDescent="0.25">
      <c r="A148" s="8" t="s">
        <v>21</v>
      </c>
      <c r="B148" s="15" t="s">
        <v>155</v>
      </c>
      <c r="C148" s="8">
        <v>803061</v>
      </c>
      <c r="D148" s="8" t="s">
        <v>170</v>
      </c>
      <c r="E148" s="8">
        <v>242</v>
      </c>
      <c r="F148" s="16">
        <v>121.459786144253</v>
      </c>
      <c r="G148" s="8" t="s">
        <v>27</v>
      </c>
      <c r="H148" s="8" t="s">
        <v>24</v>
      </c>
      <c r="I148" s="8" t="s">
        <v>22</v>
      </c>
      <c r="J148" s="8" t="s">
        <v>740</v>
      </c>
      <c r="K148" s="8" t="s">
        <v>819</v>
      </c>
      <c r="M148" s="795" t="s">
        <v>155</v>
      </c>
      <c r="N148" s="8">
        <v>-0.5</v>
      </c>
    </row>
    <row r="149" spans="1:14" x14ac:dyDescent="0.25">
      <c r="A149" s="8" t="s">
        <v>21</v>
      </c>
      <c r="B149" s="15" t="s">
        <v>163</v>
      </c>
      <c r="C149" s="8">
        <v>803062</v>
      </c>
      <c r="D149" s="8" t="s">
        <v>171</v>
      </c>
      <c r="E149" s="8">
        <v>231</v>
      </c>
      <c r="F149" s="16">
        <v>127.87319792729301</v>
      </c>
      <c r="G149" s="8" t="s">
        <v>51</v>
      </c>
      <c r="H149" s="8" t="s">
        <v>31</v>
      </c>
      <c r="I149" s="8" t="s">
        <v>22</v>
      </c>
      <c r="J149" s="8" t="s">
        <v>742</v>
      </c>
      <c r="K149" s="8" t="s">
        <v>820</v>
      </c>
      <c r="M149" s="795" t="s">
        <v>155</v>
      </c>
      <c r="N149" s="8">
        <v>-0.5</v>
      </c>
    </row>
    <row r="150" spans="1:14" x14ac:dyDescent="0.25">
      <c r="A150" s="8" t="s">
        <v>21</v>
      </c>
      <c r="B150" s="15" t="s">
        <v>155</v>
      </c>
      <c r="C150" s="8">
        <v>803071</v>
      </c>
      <c r="D150" s="8" t="s">
        <v>172</v>
      </c>
      <c r="E150" s="8">
        <v>179</v>
      </c>
      <c r="F150" s="16">
        <v>125.395472772784</v>
      </c>
      <c r="G150" s="8" t="s">
        <v>51</v>
      </c>
      <c r="H150" s="8" t="s">
        <v>24</v>
      </c>
      <c r="I150" s="8" t="s">
        <v>22</v>
      </c>
      <c r="J150" s="8" t="s">
        <v>740</v>
      </c>
      <c r="K150" s="8" t="s">
        <v>821</v>
      </c>
      <c r="M150" s="795" t="s">
        <v>155</v>
      </c>
      <c r="N150" s="8">
        <v>-0.5</v>
      </c>
    </row>
    <row r="151" spans="1:14" x14ac:dyDescent="0.25">
      <c r="A151" s="8" t="s">
        <v>21</v>
      </c>
      <c r="B151" s="15" t="s">
        <v>163</v>
      </c>
      <c r="C151" s="8">
        <v>803072</v>
      </c>
      <c r="D151" s="8" t="s">
        <v>173</v>
      </c>
      <c r="E151" s="8">
        <v>213</v>
      </c>
      <c r="F151" s="16">
        <v>127.524659408967</v>
      </c>
      <c r="G151" s="8" t="s">
        <v>51</v>
      </c>
      <c r="H151" s="8" t="s">
        <v>31</v>
      </c>
      <c r="I151" s="8" t="s">
        <v>22</v>
      </c>
      <c r="J151" s="8" t="s">
        <v>742</v>
      </c>
      <c r="K151" s="8" t="s">
        <v>822</v>
      </c>
      <c r="M151" s="795" t="s">
        <v>155</v>
      </c>
      <c r="N151" s="8">
        <v>-0.5</v>
      </c>
    </row>
    <row r="152" spans="1:14" x14ac:dyDescent="0.25">
      <c r="A152" s="8" t="s">
        <v>21</v>
      </c>
      <c r="B152" s="15" t="s">
        <v>155</v>
      </c>
      <c r="C152" s="8">
        <v>803081</v>
      </c>
      <c r="D152" s="8" t="s">
        <v>174</v>
      </c>
      <c r="E152" s="8">
        <v>241</v>
      </c>
      <c r="F152" s="16">
        <v>118.31675172334199</v>
      </c>
      <c r="G152" s="8" t="s">
        <v>27</v>
      </c>
      <c r="H152" s="8" t="s">
        <v>24</v>
      </c>
      <c r="I152" s="8" t="s">
        <v>22</v>
      </c>
      <c r="J152" s="8" t="s">
        <v>740</v>
      </c>
      <c r="K152" s="8" t="s">
        <v>823</v>
      </c>
      <c r="M152" s="795" t="s">
        <v>155</v>
      </c>
      <c r="N152" s="8">
        <v>-0.5</v>
      </c>
    </row>
    <row r="153" spans="1:14" x14ac:dyDescent="0.25">
      <c r="A153" s="8" t="s">
        <v>21</v>
      </c>
      <c r="B153" s="15" t="s">
        <v>162</v>
      </c>
      <c r="C153" s="8">
        <v>803082</v>
      </c>
      <c r="D153" s="8" t="s">
        <v>175</v>
      </c>
      <c r="E153" s="8">
        <v>278</v>
      </c>
      <c r="F153" s="16">
        <v>130.67645236977299</v>
      </c>
      <c r="G153" s="8" t="s">
        <v>51</v>
      </c>
      <c r="H153" s="8" t="s">
        <v>31</v>
      </c>
      <c r="I153" s="8" t="s">
        <v>22</v>
      </c>
      <c r="J153" s="8" t="s">
        <v>742</v>
      </c>
      <c r="K153" s="8" t="s">
        <v>824</v>
      </c>
      <c r="M153" s="8" t="s">
        <v>155</v>
      </c>
    </row>
    <row r="154" spans="1:14" x14ac:dyDescent="0.25">
      <c r="A154" s="8" t="s">
        <v>21</v>
      </c>
      <c r="B154" s="15" t="s">
        <v>155</v>
      </c>
      <c r="C154" s="8">
        <v>803092</v>
      </c>
      <c r="D154" s="8" t="s">
        <v>176</v>
      </c>
      <c r="E154" s="8">
        <v>201</v>
      </c>
      <c r="F154" s="16">
        <v>131.04504834502001</v>
      </c>
      <c r="G154" s="8" t="s">
        <v>51</v>
      </c>
      <c r="H154" s="8" t="s">
        <v>31</v>
      </c>
      <c r="I154" s="8" t="s">
        <v>22</v>
      </c>
      <c r="J154" s="8" t="s">
        <v>742</v>
      </c>
      <c r="K154" s="8" t="s">
        <v>823</v>
      </c>
      <c r="M154" s="795" t="s">
        <v>155</v>
      </c>
      <c r="N154" s="8">
        <v>-0.5</v>
      </c>
    </row>
    <row r="155" spans="1:14" x14ac:dyDescent="0.25">
      <c r="A155" s="8" t="s">
        <v>21</v>
      </c>
      <c r="B155" s="15" t="s">
        <v>155</v>
      </c>
      <c r="C155" s="8">
        <v>803101</v>
      </c>
      <c r="D155" s="8" t="s">
        <v>177</v>
      </c>
      <c r="E155" s="8">
        <v>28</v>
      </c>
      <c r="F155" s="16">
        <v>103.296703296703</v>
      </c>
      <c r="G155" s="8" t="s">
        <v>25</v>
      </c>
      <c r="H155" s="8" t="s">
        <v>24</v>
      </c>
      <c r="I155" s="8" t="s">
        <v>22</v>
      </c>
      <c r="J155" s="8" t="s">
        <v>740</v>
      </c>
      <c r="K155" s="8" t="s">
        <v>825</v>
      </c>
      <c r="M155" s="795" t="s">
        <v>155</v>
      </c>
      <c r="N155" s="8">
        <v>-0.5</v>
      </c>
    </row>
    <row r="156" spans="1:14" x14ac:dyDescent="0.25">
      <c r="A156" s="8" t="s">
        <v>21</v>
      </c>
      <c r="B156" s="15" t="s">
        <v>165</v>
      </c>
      <c r="C156" s="8">
        <v>803102</v>
      </c>
      <c r="D156" s="8" t="s">
        <v>178</v>
      </c>
      <c r="E156" s="8">
        <v>182</v>
      </c>
      <c r="F156" s="16">
        <v>128.56762516867701</v>
      </c>
      <c r="G156" s="8" t="s">
        <v>51</v>
      </c>
      <c r="H156" s="8" t="s">
        <v>31</v>
      </c>
      <c r="I156" s="8" t="s">
        <v>22</v>
      </c>
      <c r="J156" s="8" t="s">
        <v>742</v>
      </c>
      <c r="K156" s="8" t="s">
        <v>826</v>
      </c>
      <c r="M156" s="795" t="s">
        <v>155</v>
      </c>
      <c r="N156" s="8">
        <v>-0.5</v>
      </c>
    </row>
    <row r="157" spans="1:14" x14ac:dyDescent="0.25">
      <c r="A157" s="8" t="s">
        <v>21</v>
      </c>
      <c r="B157" s="15" t="s">
        <v>155</v>
      </c>
      <c r="C157" s="8">
        <v>803111</v>
      </c>
      <c r="D157" s="8" t="s">
        <v>179</v>
      </c>
      <c r="E157" s="8">
        <v>24</v>
      </c>
      <c r="F157" s="16">
        <v>104.22979797979799</v>
      </c>
      <c r="G157" s="8" t="s">
        <v>25</v>
      </c>
      <c r="H157" s="8" t="s">
        <v>24</v>
      </c>
      <c r="I157" s="8" t="s">
        <v>22</v>
      </c>
      <c r="J157" s="8" t="s">
        <v>740</v>
      </c>
      <c r="K157" s="8" t="s">
        <v>827</v>
      </c>
      <c r="M157" s="795" t="s">
        <v>155</v>
      </c>
      <c r="N157" s="8">
        <v>-0.5</v>
      </c>
    </row>
    <row r="158" spans="1:14" x14ac:dyDescent="0.25">
      <c r="A158" s="8" t="s">
        <v>21</v>
      </c>
      <c r="B158" s="15" t="s">
        <v>155</v>
      </c>
      <c r="C158" s="8">
        <v>803121</v>
      </c>
      <c r="D158" s="8" t="s">
        <v>180</v>
      </c>
      <c r="E158" s="8">
        <v>24</v>
      </c>
      <c r="F158" s="16">
        <v>102.874228395062</v>
      </c>
      <c r="G158" s="8" t="s">
        <v>25</v>
      </c>
      <c r="H158" s="8" t="s">
        <v>24</v>
      </c>
      <c r="I158" s="8" t="s">
        <v>22</v>
      </c>
      <c r="J158" s="8" t="s">
        <v>740</v>
      </c>
      <c r="K158" s="8" t="s">
        <v>828</v>
      </c>
      <c r="M158" s="795" t="s">
        <v>155</v>
      </c>
      <c r="N158" s="8">
        <v>-0.5</v>
      </c>
    </row>
    <row r="159" spans="1:14" x14ac:dyDescent="0.25">
      <c r="A159" s="8" t="s">
        <v>21</v>
      </c>
      <c r="B159" s="15" t="s">
        <v>155</v>
      </c>
      <c r="C159" s="8">
        <v>803131</v>
      </c>
      <c r="D159" s="8" t="s">
        <v>181</v>
      </c>
      <c r="E159" s="8">
        <v>40</v>
      </c>
      <c r="F159" s="16">
        <v>101.76091269841299</v>
      </c>
      <c r="G159" s="8" t="s">
        <v>25</v>
      </c>
      <c r="H159" s="8" t="s">
        <v>24</v>
      </c>
      <c r="I159" s="8" t="s">
        <v>22</v>
      </c>
      <c r="J159" s="8" t="s">
        <v>740</v>
      </c>
      <c r="K159" s="8" t="s">
        <v>829</v>
      </c>
      <c r="M159" s="795" t="s">
        <v>155</v>
      </c>
      <c r="N159" s="8">
        <v>-0.5</v>
      </c>
    </row>
    <row r="160" spans="1:14" x14ac:dyDescent="0.25">
      <c r="A160" s="8" t="s">
        <v>21</v>
      </c>
      <c r="B160" s="15" t="s">
        <v>155</v>
      </c>
      <c r="C160" s="8">
        <v>803141</v>
      </c>
      <c r="D160" s="8" t="s">
        <v>182</v>
      </c>
      <c r="E160" s="8">
        <v>24</v>
      </c>
      <c r="F160" s="16">
        <v>109.930555555556</v>
      </c>
      <c r="G160" s="8" t="s">
        <v>25</v>
      </c>
      <c r="H160" s="8" t="s">
        <v>24</v>
      </c>
      <c r="I160" s="8" t="s">
        <v>22</v>
      </c>
      <c r="J160" s="8" t="s">
        <v>740</v>
      </c>
      <c r="K160" s="8" t="s">
        <v>830</v>
      </c>
      <c r="M160" s="795" t="s">
        <v>155</v>
      </c>
      <c r="N160" s="8">
        <v>-0.5</v>
      </c>
    </row>
    <row r="161" spans="1:16" x14ac:dyDescent="0.25">
      <c r="A161" s="8" t="s">
        <v>21</v>
      </c>
      <c r="B161" s="15" t="s">
        <v>162</v>
      </c>
      <c r="C161" s="8">
        <v>803151</v>
      </c>
      <c r="D161" s="8" t="s">
        <v>183</v>
      </c>
      <c r="E161" s="8">
        <v>387</v>
      </c>
      <c r="F161" s="16">
        <v>126.477150022857</v>
      </c>
      <c r="G161" s="8" t="s">
        <v>51</v>
      </c>
      <c r="H161" s="8" t="s">
        <v>24</v>
      </c>
      <c r="I161" s="8" t="s">
        <v>22</v>
      </c>
      <c r="J161" s="8" t="s">
        <v>740</v>
      </c>
      <c r="K161" s="8" t="s">
        <v>815</v>
      </c>
      <c r="M161" s="8" t="s">
        <v>155</v>
      </c>
    </row>
    <row r="162" spans="1:16" x14ac:dyDescent="0.25">
      <c r="A162" s="8" t="s">
        <v>21</v>
      </c>
      <c r="B162" s="15" t="s">
        <v>162</v>
      </c>
      <c r="C162" s="8">
        <v>803161</v>
      </c>
      <c r="D162" s="8" t="s">
        <v>184</v>
      </c>
      <c r="E162" s="8">
        <v>291</v>
      </c>
      <c r="F162" s="16">
        <v>126.417829331479</v>
      </c>
      <c r="G162" s="8" t="s">
        <v>51</v>
      </c>
      <c r="H162" s="8" t="s">
        <v>24</v>
      </c>
      <c r="I162" s="8" t="s">
        <v>22</v>
      </c>
      <c r="J162" s="8" t="s">
        <v>740</v>
      </c>
      <c r="K162" s="8" t="s">
        <v>824</v>
      </c>
      <c r="M162" s="8" t="s">
        <v>155</v>
      </c>
    </row>
    <row r="163" spans="1:16" x14ac:dyDescent="0.25">
      <c r="A163" s="8" t="s">
        <v>21</v>
      </c>
      <c r="B163" s="15" t="s">
        <v>162</v>
      </c>
      <c r="C163" s="8">
        <v>803171</v>
      </c>
      <c r="D163" s="8" t="s">
        <v>185</v>
      </c>
      <c r="E163" s="8">
        <v>35</v>
      </c>
      <c r="F163" s="16">
        <v>107.293841779136</v>
      </c>
      <c r="G163" s="8" t="s">
        <v>25</v>
      </c>
      <c r="H163" s="8" t="s">
        <v>24</v>
      </c>
      <c r="I163" s="8" t="s">
        <v>22</v>
      </c>
      <c r="J163" s="8" t="s">
        <v>740</v>
      </c>
      <c r="K163" s="8" t="s">
        <v>831</v>
      </c>
      <c r="M163" s="8" t="s">
        <v>155</v>
      </c>
    </row>
    <row r="164" spans="1:16" x14ac:dyDescent="0.25">
      <c r="A164" s="8" t="s">
        <v>21</v>
      </c>
      <c r="B164" s="15" t="s">
        <v>165</v>
      </c>
      <c r="C164" s="8">
        <v>803181</v>
      </c>
      <c r="D164" s="8" t="s">
        <v>186</v>
      </c>
      <c r="E164" s="8">
        <v>237</v>
      </c>
      <c r="F164" s="16">
        <v>122.80567083742</v>
      </c>
      <c r="G164" s="8" t="s">
        <v>27</v>
      </c>
      <c r="H164" s="8" t="s">
        <v>24</v>
      </c>
      <c r="I164" s="8" t="s">
        <v>22</v>
      </c>
      <c r="J164" s="8" t="s">
        <v>740</v>
      </c>
      <c r="K164" s="8" t="s">
        <v>826</v>
      </c>
      <c r="M164" s="795" t="s">
        <v>155</v>
      </c>
      <c r="N164" s="8">
        <v>-0.5</v>
      </c>
    </row>
    <row r="165" spans="1:16" x14ac:dyDescent="0.25">
      <c r="A165" s="8" t="s">
        <v>21</v>
      </c>
      <c r="B165" s="15" t="s">
        <v>165</v>
      </c>
      <c r="C165" s="8">
        <v>803191</v>
      </c>
      <c r="D165" s="8" t="s">
        <v>187</v>
      </c>
      <c r="E165" s="8">
        <v>386</v>
      </c>
      <c r="F165" s="16">
        <v>120.099652248326</v>
      </c>
      <c r="G165" s="8" t="s">
        <v>27</v>
      </c>
      <c r="H165" s="8" t="s">
        <v>24</v>
      </c>
      <c r="I165" s="8" t="s">
        <v>22</v>
      </c>
      <c r="J165" s="8" t="s">
        <v>740</v>
      </c>
      <c r="K165" s="8" t="s">
        <v>817</v>
      </c>
      <c r="M165" s="795" t="s">
        <v>155</v>
      </c>
      <c r="N165" s="8">
        <v>-0.5</v>
      </c>
    </row>
    <row r="166" spans="1:16" x14ac:dyDescent="0.25">
      <c r="A166" s="8" t="s">
        <v>21</v>
      </c>
      <c r="B166" s="15" t="s">
        <v>165</v>
      </c>
      <c r="C166" s="8">
        <v>803201</v>
      </c>
      <c r="D166" s="8" t="s">
        <v>188</v>
      </c>
      <c r="E166" s="8">
        <v>242</v>
      </c>
      <c r="F166" s="16">
        <v>130.38381998022501</v>
      </c>
      <c r="G166" s="8" t="s">
        <v>51</v>
      </c>
      <c r="H166" s="8" t="s">
        <v>24</v>
      </c>
      <c r="I166" s="8" t="s">
        <v>22</v>
      </c>
      <c r="J166" s="8" t="s">
        <v>740</v>
      </c>
      <c r="K166" s="8" t="s">
        <v>168</v>
      </c>
      <c r="M166" s="795" t="s">
        <v>155</v>
      </c>
      <c r="N166" s="8">
        <v>-0.5</v>
      </c>
    </row>
    <row r="167" spans="1:16" x14ac:dyDescent="0.25">
      <c r="A167" s="8" t="s">
        <v>21</v>
      </c>
      <c r="B167" s="15" t="s">
        <v>165</v>
      </c>
      <c r="C167" s="8">
        <v>803211</v>
      </c>
      <c r="D167" s="8" t="s">
        <v>189</v>
      </c>
      <c r="E167" s="8">
        <v>195</v>
      </c>
      <c r="F167" s="16">
        <v>124.655177933464</v>
      </c>
      <c r="G167" s="8" t="s">
        <v>27</v>
      </c>
      <c r="H167" s="8" t="s">
        <v>24</v>
      </c>
      <c r="I167" s="8" t="s">
        <v>22</v>
      </c>
      <c r="J167" s="8" t="s">
        <v>740</v>
      </c>
      <c r="K167" s="8" t="s">
        <v>832</v>
      </c>
      <c r="M167" s="795" t="s">
        <v>155</v>
      </c>
      <c r="N167" s="8">
        <v>-0.5</v>
      </c>
    </row>
    <row r="168" spans="1:16" x14ac:dyDescent="0.25">
      <c r="A168" s="8" t="s">
        <v>21</v>
      </c>
      <c r="B168" s="15" t="s">
        <v>163</v>
      </c>
      <c r="C168" s="8">
        <v>803221</v>
      </c>
      <c r="D168" s="8" t="s">
        <v>190</v>
      </c>
      <c r="E168" s="8">
        <v>172</v>
      </c>
      <c r="F168" s="16">
        <v>123.878672416586</v>
      </c>
      <c r="G168" s="8" t="s">
        <v>27</v>
      </c>
      <c r="H168" s="8" t="s">
        <v>24</v>
      </c>
      <c r="I168" s="8" t="s">
        <v>22</v>
      </c>
      <c r="J168" s="8" t="s">
        <v>740</v>
      </c>
      <c r="K168" s="8" t="s">
        <v>833</v>
      </c>
      <c r="M168" s="795" t="s">
        <v>155</v>
      </c>
      <c r="N168" s="8">
        <v>-0.5</v>
      </c>
    </row>
    <row r="169" spans="1:16" x14ac:dyDescent="0.25">
      <c r="B169" s="15" t="s">
        <v>162</v>
      </c>
      <c r="C169" s="8">
        <v>803251</v>
      </c>
      <c r="D169" s="17" t="s">
        <v>191</v>
      </c>
      <c r="E169" s="17">
        <v>0</v>
      </c>
      <c r="F169" s="19">
        <v>126.477150022857</v>
      </c>
      <c r="G169" s="17" t="s">
        <v>51</v>
      </c>
      <c r="H169" s="8" t="s">
        <v>24</v>
      </c>
      <c r="I169" s="799" t="s">
        <v>22</v>
      </c>
      <c r="J169" s="799" t="s">
        <v>740</v>
      </c>
      <c r="K169" s="799" t="s">
        <v>834</v>
      </c>
      <c r="L169" s="799" t="s">
        <v>765</v>
      </c>
      <c r="M169" s="8" t="s">
        <v>155</v>
      </c>
      <c r="O169" s="799"/>
      <c r="P169" s="17" t="s">
        <v>835</v>
      </c>
    </row>
    <row r="170" spans="1:16" x14ac:dyDescent="0.25">
      <c r="B170" s="15" t="s">
        <v>155</v>
      </c>
      <c r="C170" s="8">
        <v>803261</v>
      </c>
      <c r="D170" s="17" t="s">
        <v>192</v>
      </c>
      <c r="E170" s="17">
        <v>0</v>
      </c>
      <c r="F170" s="19">
        <v>118.31675172334199</v>
      </c>
      <c r="G170" s="17" t="s">
        <v>27</v>
      </c>
      <c r="H170" s="8" t="s">
        <v>24</v>
      </c>
      <c r="I170" s="8" t="s">
        <v>22</v>
      </c>
      <c r="J170" s="8" t="s">
        <v>740</v>
      </c>
      <c r="K170" s="8" t="s">
        <v>836</v>
      </c>
      <c r="M170" s="795" t="s">
        <v>155</v>
      </c>
      <c r="N170" s="8">
        <v>-0.5</v>
      </c>
      <c r="P170" s="17" t="s">
        <v>837</v>
      </c>
    </row>
    <row r="171" spans="1:16" x14ac:dyDescent="0.25">
      <c r="A171" s="8" t="s">
        <v>21</v>
      </c>
      <c r="B171" s="15" t="s">
        <v>193</v>
      </c>
      <c r="C171" s="8">
        <v>804011</v>
      </c>
      <c r="D171" s="8" t="s">
        <v>24</v>
      </c>
      <c r="E171" s="8">
        <v>322</v>
      </c>
      <c r="F171" s="16">
        <v>112.059819373365</v>
      </c>
      <c r="G171" s="8" t="s">
        <v>25</v>
      </c>
      <c r="H171" s="8" t="s">
        <v>24</v>
      </c>
      <c r="I171" s="8" t="s">
        <v>22</v>
      </c>
      <c r="J171" s="8" t="s">
        <v>740</v>
      </c>
      <c r="K171" s="8" t="s">
        <v>193</v>
      </c>
      <c r="M171" s="8" t="s">
        <v>196</v>
      </c>
    </row>
    <row r="172" spans="1:16" x14ac:dyDescent="0.25">
      <c r="A172" s="8" t="s">
        <v>21</v>
      </c>
      <c r="B172" s="15" t="s">
        <v>193</v>
      </c>
      <c r="C172" s="8">
        <v>804012</v>
      </c>
      <c r="D172" s="8" t="s">
        <v>33</v>
      </c>
      <c r="E172" s="8">
        <v>259</v>
      </c>
      <c r="F172" s="16">
        <v>114.53750782335</v>
      </c>
      <c r="G172" s="8" t="s">
        <v>25</v>
      </c>
      <c r="H172" s="8" t="s">
        <v>31</v>
      </c>
      <c r="I172" s="8" t="s">
        <v>22</v>
      </c>
      <c r="J172" s="8" t="s">
        <v>742</v>
      </c>
      <c r="K172" s="8" t="s">
        <v>193</v>
      </c>
      <c r="M172" s="8" t="s">
        <v>196</v>
      </c>
    </row>
    <row r="173" spans="1:16" x14ac:dyDescent="0.25">
      <c r="A173" s="8" t="s">
        <v>21</v>
      </c>
      <c r="B173" s="15" t="s">
        <v>194</v>
      </c>
      <c r="C173" s="8">
        <v>804021</v>
      </c>
      <c r="D173" s="20" t="s">
        <v>24</v>
      </c>
      <c r="E173" s="8">
        <v>27</v>
      </c>
      <c r="F173" s="16">
        <v>110.43705167618199</v>
      </c>
      <c r="G173" s="8" t="s">
        <v>25</v>
      </c>
      <c r="H173" s="8" t="s">
        <v>24</v>
      </c>
      <c r="I173" s="8" t="s">
        <v>22</v>
      </c>
      <c r="J173" s="8" t="s">
        <v>740</v>
      </c>
      <c r="K173" s="8" t="s">
        <v>838</v>
      </c>
      <c r="M173" s="8" t="s">
        <v>196</v>
      </c>
    </row>
    <row r="174" spans="1:16" x14ac:dyDescent="0.25">
      <c r="A174" s="8" t="s">
        <v>21</v>
      </c>
      <c r="B174" s="15" t="s">
        <v>195</v>
      </c>
      <c r="C174" s="8">
        <v>804022</v>
      </c>
      <c r="D174" s="8" t="s">
        <v>33</v>
      </c>
      <c r="E174" s="8">
        <v>436</v>
      </c>
      <c r="F174" s="16">
        <v>126.290325589086</v>
      </c>
      <c r="G174" s="8" t="s">
        <v>51</v>
      </c>
      <c r="H174" s="8" t="s">
        <v>31</v>
      </c>
      <c r="I174" s="8" t="s">
        <v>22</v>
      </c>
      <c r="J174" s="8" t="s">
        <v>742</v>
      </c>
      <c r="K174" s="8" t="s">
        <v>839</v>
      </c>
      <c r="M174" s="8" t="s">
        <v>196</v>
      </c>
    </row>
    <row r="175" spans="1:16" x14ac:dyDescent="0.25">
      <c r="A175" s="8" t="s">
        <v>21</v>
      </c>
      <c r="B175" s="15" t="s">
        <v>196</v>
      </c>
      <c r="C175" s="8">
        <v>804032</v>
      </c>
      <c r="D175" s="8" t="s">
        <v>197</v>
      </c>
      <c r="E175" s="8">
        <v>191</v>
      </c>
      <c r="F175" s="16">
        <v>136.48018797633699</v>
      </c>
      <c r="G175" s="8" t="s">
        <v>30</v>
      </c>
      <c r="H175" s="8" t="s">
        <v>31</v>
      </c>
      <c r="I175" s="8" t="s">
        <v>22</v>
      </c>
      <c r="J175" s="8" t="s">
        <v>742</v>
      </c>
      <c r="K175" s="8" t="s">
        <v>840</v>
      </c>
      <c r="M175" s="8" t="s">
        <v>196</v>
      </c>
    </row>
    <row r="176" spans="1:16" x14ac:dyDescent="0.25">
      <c r="A176" s="8" t="s">
        <v>21</v>
      </c>
      <c r="B176" s="15" t="s">
        <v>196</v>
      </c>
      <c r="C176" s="8">
        <v>804041</v>
      </c>
      <c r="D176" s="20" t="s">
        <v>198</v>
      </c>
      <c r="E176" s="8">
        <v>144</v>
      </c>
      <c r="F176" s="16">
        <v>143.66517487328599</v>
      </c>
      <c r="G176" s="8" t="s">
        <v>30</v>
      </c>
      <c r="H176" s="8" t="s">
        <v>24</v>
      </c>
      <c r="I176" s="8" t="s">
        <v>22</v>
      </c>
      <c r="J176" s="8" t="s">
        <v>740</v>
      </c>
      <c r="K176" s="8" t="s">
        <v>840</v>
      </c>
      <c r="M176" s="8" t="s">
        <v>196</v>
      </c>
    </row>
    <row r="177" spans="1:15" x14ac:dyDescent="0.25">
      <c r="A177" s="8" t="s">
        <v>21</v>
      </c>
      <c r="B177" s="15" t="s">
        <v>199</v>
      </c>
      <c r="C177" s="8">
        <v>804042</v>
      </c>
      <c r="D177" s="8" t="s">
        <v>33</v>
      </c>
      <c r="E177" s="8">
        <v>483</v>
      </c>
      <c r="F177" s="16">
        <v>121.195661704614</v>
      </c>
      <c r="G177" s="8" t="s">
        <v>27</v>
      </c>
      <c r="H177" s="8" t="s">
        <v>31</v>
      </c>
      <c r="I177" s="8" t="s">
        <v>22</v>
      </c>
      <c r="J177" s="8" t="s">
        <v>742</v>
      </c>
      <c r="K177" s="8" t="s">
        <v>199</v>
      </c>
      <c r="M177" s="8" t="s">
        <v>196</v>
      </c>
    </row>
    <row r="178" spans="1:15" x14ac:dyDescent="0.25">
      <c r="A178" s="8" t="s">
        <v>21</v>
      </c>
      <c r="B178" s="15" t="s">
        <v>200</v>
      </c>
      <c r="C178" s="8">
        <v>804051</v>
      </c>
      <c r="D178" s="8" t="s">
        <v>24</v>
      </c>
      <c r="E178" s="8">
        <v>196</v>
      </c>
      <c r="F178" s="16">
        <v>120.172798266882</v>
      </c>
      <c r="G178" s="8" t="s">
        <v>27</v>
      </c>
      <c r="H178" s="8" t="s">
        <v>24</v>
      </c>
      <c r="I178" s="8" t="s">
        <v>22</v>
      </c>
      <c r="J178" s="8" t="s">
        <v>740</v>
      </c>
      <c r="K178" s="8" t="s">
        <v>200</v>
      </c>
      <c r="M178" s="795" t="s">
        <v>196</v>
      </c>
      <c r="N178" s="8">
        <v>-0.5</v>
      </c>
    </row>
    <row r="179" spans="1:15" x14ac:dyDescent="0.25">
      <c r="A179" s="8" t="s">
        <v>21</v>
      </c>
      <c r="B179" s="15" t="s">
        <v>201</v>
      </c>
      <c r="C179" s="8">
        <v>804052</v>
      </c>
      <c r="D179" s="8" t="s">
        <v>202</v>
      </c>
      <c r="E179" s="8">
        <v>259</v>
      </c>
      <c r="F179" s="16">
        <v>113.108328473773</v>
      </c>
      <c r="G179" s="8" t="s">
        <v>25</v>
      </c>
      <c r="H179" s="8" t="s">
        <v>31</v>
      </c>
      <c r="I179" s="8" t="s">
        <v>22</v>
      </c>
      <c r="J179" s="8" t="s">
        <v>742</v>
      </c>
      <c r="K179" s="8" t="s">
        <v>841</v>
      </c>
      <c r="M179" s="8" t="s">
        <v>196</v>
      </c>
    </row>
    <row r="180" spans="1:15" x14ac:dyDescent="0.25">
      <c r="A180" s="8" t="s">
        <v>21</v>
      </c>
      <c r="B180" s="15" t="s">
        <v>195</v>
      </c>
      <c r="C180" s="8">
        <v>804061</v>
      </c>
      <c r="D180" s="20" t="s">
        <v>24</v>
      </c>
      <c r="E180" s="8">
        <v>163</v>
      </c>
      <c r="F180" s="16">
        <v>114.236191266207</v>
      </c>
      <c r="G180" s="8" t="s">
        <v>25</v>
      </c>
      <c r="H180" s="8" t="s">
        <v>24</v>
      </c>
      <c r="I180" s="793" t="s">
        <v>22</v>
      </c>
      <c r="J180" s="794" t="s">
        <v>740</v>
      </c>
      <c r="K180" s="793" t="s">
        <v>842</v>
      </c>
      <c r="L180" s="793"/>
      <c r="M180" s="8" t="s">
        <v>196</v>
      </c>
      <c r="O180" s="793"/>
    </row>
    <row r="181" spans="1:15" x14ac:dyDescent="0.25">
      <c r="A181" s="8" t="s">
        <v>21</v>
      </c>
      <c r="B181" s="15" t="s">
        <v>194</v>
      </c>
      <c r="C181" s="8">
        <v>804062</v>
      </c>
      <c r="D181" s="8" t="s">
        <v>33</v>
      </c>
      <c r="E181" s="8">
        <v>281</v>
      </c>
      <c r="F181" s="16">
        <v>112.457817386404</v>
      </c>
      <c r="G181" s="8" t="s">
        <v>25</v>
      </c>
      <c r="H181" s="8" t="s">
        <v>31</v>
      </c>
      <c r="I181" s="8" t="s">
        <v>22</v>
      </c>
      <c r="J181" s="8" t="s">
        <v>742</v>
      </c>
      <c r="K181" s="8" t="s">
        <v>194</v>
      </c>
      <c r="M181" s="795" t="s">
        <v>196</v>
      </c>
      <c r="N181" s="8">
        <v>-0.5</v>
      </c>
    </row>
    <row r="182" spans="1:15" x14ac:dyDescent="0.25">
      <c r="A182" s="8" t="s">
        <v>21</v>
      </c>
      <c r="B182" s="15" t="s">
        <v>195</v>
      </c>
      <c r="C182" s="8">
        <v>804071</v>
      </c>
      <c r="D182" s="8" t="s">
        <v>203</v>
      </c>
      <c r="E182" s="8">
        <v>231</v>
      </c>
      <c r="F182" s="16">
        <v>122.20008669339001</v>
      </c>
      <c r="G182" s="8" t="s">
        <v>27</v>
      </c>
      <c r="H182" s="8" t="s">
        <v>24</v>
      </c>
      <c r="I182" s="793" t="s">
        <v>22</v>
      </c>
      <c r="J182" s="793" t="s">
        <v>740</v>
      </c>
      <c r="K182" s="793" t="s">
        <v>843</v>
      </c>
      <c r="L182" s="793"/>
      <c r="M182" s="8" t="s">
        <v>196</v>
      </c>
      <c r="O182" s="793"/>
    </row>
    <row r="183" spans="1:15" x14ac:dyDescent="0.25">
      <c r="A183" s="8" t="s">
        <v>21</v>
      </c>
      <c r="B183" s="15" t="s">
        <v>204</v>
      </c>
      <c r="C183" s="8">
        <v>804072</v>
      </c>
      <c r="D183" s="8" t="s">
        <v>33</v>
      </c>
      <c r="E183" s="8">
        <v>129</v>
      </c>
      <c r="F183" s="16">
        <v>107.65894428195701</v>
      </c>
      <c r="G183" s="8" t="s">
        <v>25</v>
      </c>
      <c r="H183" s="8" t="s">
        <v>31</v>
      </c>
      <c r="I183" s="8" t="s">
        <v>22</v>
      </c>
      <c r="J183" s="8" t="s">
        <v>742</v>
      </c>
      <c r="K183" s="8" t="s">
        <v>844</v>
      </c>
      <c r="M183" s="8" t="s">
        <v>196</v>
      </c>
    </row>
    <row r="184" spans="1:15" x14ac:dyDescent="0.25">
      <c r="A184" s="8" t="s">
        <v>21</v>
      </c>
      <c r="B184" s="15" t="s">
        <v>196</v>
      </c>
      <c r="C184" s="8">
        <v>804081</v>
      </c>
      <c r="D184" s="8" t="s">
        <v>205</v>
      </c>
      <c r="E184" s="8">
        <v>173</v>
      </c>
      <c r="F184" s="16">
        <v>112.864793916526</v>
      </c>
      <c r="G184" s="8" t="s">
        <v>25</v>
      </c>
      <c r="H184" s="8" t="s">
        <v>24</v>
      </c>
      <c r="I184" s="8" t="s">
        <v>22</v>
      </c>
      <c r="J184" s="797" t="s">
        <v>740</v>
      </c>
      <c r="K184" s="8" t="s">
        <v>845</v>
      </c>
      <c r="M184" s="8" t="s">
        <v>196</v>
      </c>
    </row>
    <row r="185" spans="1:15" x14ac:dyDescent="0.25">
      <c r="A185" s="8" t="s">
        <v>21</v>
      </c>
      <c r="B185" s="15" t="s">
        <v>196</v>
      </c>
      <c r="C185" s="8">
        <v>804082</v>
      </c>
      <c r="D185" s="8" t="s">
        <v>206</v>
      </c>
      <c r="E185" s="8">
        <v>270</v>
      </c>
      <c r="F185" s="16">
        <v>107.08966658895901</v>
      </c>
      <c r="G185" s="8" t="s">
        <v>25</v>
      </c>
      <c r="H185" s="8" t="s">
        <v>31</v>
      </c>
      <c r="I185" s="794" t="s">
        <v>57</v>
      </c>
      <c r="J185" s="794" t="s">
        <v>754</v>
      </c>
      <c r="K185" s="793" t="s">
        <v>846</v>
      </c>
      <c r="L185" s="793"/>
      <c r="M185" s="8" t="s">
        <v>196</v>
      </c>
      <c r="O185" s="794"/>
    </row>
    <row r="186" spans="1:15" x14ac:dyDescent="0.25">
      <c r="A186" s="8" t="s">
        <v>21</v>
      </c>
      <c r="B186" s="15" t="s">
        <v>207</v>
      </c>
      <c r="C186" s="8">
        <v>804091</v>
      </c>
      <c r="D186" s="8" t="s">
        <v>24</v>
      </c>
      <c r="E186" s="8">
        <v>175</v>
      </c>
      <c r="F186" s="16">
        <v>122.383211664334</v>
      </c>
      <c r="G186" s="8" t="s">
        <v>27</v>
      </c>
      <c r="H186" s="8" t="s">
        <v>24</v>
      </c>
      <c r="I186" s="8" t="s">
        <v>22</v>
      </c>
      <c r="J186" s="797" t="s">
        <v>740</v>
      </c>
      <c r="K186" s="8" t="s">
        <v>207</v>
      </c>
      <c r="M186" s="8" t="s">
        <v>196</v>
      </c>
    </row>
    <row r="187" spans="1:15" x14ac:dyDescent="0.25">
      <c r="A187" s="8" t="s">
        <v>21</v>
      </c>
      <c r="B187" s="15" t="s">
        <v>196</v>
      </c>
      <c r="C187" s="8">
        <v>804101</v>
      </c>
      <c r="D187" s="8" t="s">
        <v>208</v>
      </c>
      <c r="E187" s="8">
        <v>206</v>
      </c>
      <c r="F187" s="16">
        <v>125.63208635752</v>
      </c>
      <c r="G187" s="8" t="s">
        <v>51</v>
      </c>
      <c r="H187" s="8" t="s">
        <v>24</v>
      </c>
      <c r="I187" s="8" t="s">
        <v>22</v>
      </c>
      <c r="J187" s="8" t="s">
        <v>740</v>
      </c>
      <c r="K187" s="8" t="s">
        <v>847</v>
      </c>
      <c r="M187" s="8" t="s">
        <v>196</v>
      </c>
    </row>
    <row r="188" spans="1:15" x14ac:dyDescent="0.25">
      <c r="A188" s="8" t="s">
        <v>21</v>
      </c>
      <c r="B188" s="15" t="s">
        <v>209</v>
      </c>
      <c r="C188" s="8">
        <v>804111</v>
      </c>
      <c r="D188" s="8" t="s">
        <v>24</v>
      </c>
      <c r="E188" s="8">
        <v>222</v>
      </c>
      <c r="F188" s="16">
        <v>122.90142777214599</v>
      </c>
      <c r="G188" s="8" t="s">
        <v>27</v>
      </c>
      <c r="H188" s="8" t="s">
        <v>24</v>
      </c>
      <c r="I188" s="8" t="s">
        <v>22</v>
      </c>
      <c r="J188" s="8" t="s">
        <v>740</v>
      </c>
      <c r="K188" s="8" t="s">
        <v>848</v>
      </c>
      <c r="M188" s="795" t="s">
        <v>196</v>
      </c>
      <c r="N188" s="8">
        <v>-0.5</v>
      </c>
    </row>
    <row r="189" spans="1:15" x14ac:dyDescent="0.25">
      <c r="A189" s="8" t="s">
        <v>21</v>
      </c>
      <c r="B189" s="15" t="s">
        <v>210</v>
      </c>
      <c r="C189" s="8">
        <v>804112</v>
      </c>
      <c r="D189" s="8" t="s">
        <v>33</v>
      </c>
      <c r="E189" s="8">
        <v>197</v>
      </c>
      <c r="F189" s="16">
        <v>116.55678488786999</v>
      </c>
      <c r="G189" s="8" t="s">
        <v>27</v>
      </c>
      <c r="H189" s="8" t="s">
        <v>31</v>
      </c>
      <c r="I189" s="8" t="s">
        <v>22</v>
      </c>
      <c r="J189" s="8" t="s">
        <v>742</v>
      </c>
      <c r="K189" s="8" t="s">
        <v>221</v>
      </c>
      <c r="M189" s="8" t="s">
        <v>196</v>
      </c>
    </row>
    <row r="190" spans="1:15" x14ac:dyDescent="0.25">
      <c r="A190" s="8" t="s">
        <v>21</v>
      </c>
      <c r="B190" s="15" t="s">
        <v>211</v>
      </c>
      <c r="C190" s="8">
        <v>804122</v>
      </c>
      <c r="D190" s="8" t="s">
        <v>212</v>
      </c>
      <c r="E190" s="8">
        <v>115</v>
      </c>
      <c r="F190" s="16">
        <v>117.63851527896399</v>
      </c>
      <c r="G190" s="8" t="s">
        <v>27</v>
      </c>
      <c r="H190" s="8" t="s">
        <v>31</v>
      </c>
      <c r="I190" s="8" t="s">
        <v>22</v>
      </c>
      <c r="J190" s="8" t="s">
        <v>742</v>
      </c>
      <c r="K190" s="8" t="s">
        <v>226</v>
      </c>
      <c r="M190" s="8" t="s">
        <v>196</v>
      </c>
    </row>
    <row r="191" spans="1:15" x14ac:dyDescent="0.25">
      <c r="A191" s="8" t="s">
        <v>21</v>
      </c>
      <c r="B191" s="15" t="s">
        <v>209</v>
      </c>
      <c r="C191" s="8">
        <v>804131</v>
      </c>
      <c r="D191" s="8" t="s">
        <v>213</v>
      </c>
      <c r="E191" s="8">
        <v>58</v>
      </c>
      <c r="F191" s="16">
        <v>118.278305745978</v>
      </c>
      <c r="G191" s="8" t="s">
        <v>27</v>
      </c>
      <c r="H191" s="8" t="s">
        <v>24</v>
      </c>
      <c r="I191" s="8" t="s">
        <v>22</v>
      </c>
      <c r="J191" s="8" t="s">
        <v>740</v>
      </c>
      <c r="K191" s="8" t="s">
        <v>849</v>
      </c>
      <c r="M191" s="8" t="s">
        <v>196</v>
      </c>
    </row>
    <row r="192" spans="1:15" x14ac:dyDescent="0.25">
      <c r="A192" s="8" t="s">
        <v>21</v>
      </c>
      <c r="B192" s="15" t="s">
        <v>209</v>
      </c>
      <c r="C192" s="8">
        <v>804132</v>
      </c>
      <c r="D192" s="8" t="s">
        <v>33</v>
      </c>
      <c r="E192" s="8">
        <v>170</v>
      </c>
      <c r="F192" s="16">
        <v>130.69540647815501</v>
      </c>
      <c r="G192" s="8" t="s">
        <v>51</v>
      </c>
      <c r="H192" s="8" t="s">
        <v>31</v>
      </c>
      <c r="I192" s="8" t="s">
        <v>22</v>
      </c>
      <c r="J192" s="8" t="s">
        <v>742</v>
      </c>
      <c r="K192" s="8" t="s">
        <v>209</v>
      </c>
      <c r="M192" s="795" t="s">
        <v>196</v>
      </c>
      <c r="N192" s="8">
        <v>-0.5</v>
      </c>
    </row>
    <row r="193" spans="1:15" x14ac:dyDescent="0.25">
      <c r="A193" s="8" t="s">
        <v>21</v>
      </c>
      <c r="B193" s="15" t="s">
        <v>214</v>
      </c>
      <c r="C193" s="8">
        <v>804141</v>
      </c>
      <c r="D193" s="8" t="s">
        <v>24</v>
      </c>
      <c r="E193" s="8">
        <v>32</v>
      </c>
      <c r="F193" s="16">
        <v>100.93005952381</v>
      </c>
      <c r="G193" s="8" t="s">
        <v>25</v>
      </c>
      <c r="H193" s="8" t="s">
        <v>24</v>
      </c>
      <c r="I193" s="8" t="s">
        <v>22</v>
      </c>
      <c r="J193" s="8" t="s">
        <v>740</v>
      </c>
      <c r="K193" s="8" t="s">
        <v>214</v>
      </c>
      <c r="M193" s="8" t="s">
        <v>196</v>
      </c>
    </row>
    <row r="194" spans="1:15" x14ac:dyDescent="0.25">
      <c r="A194" s="8" t="s">
        <v>21</v>
      </c>
      <c r="B194" s="15" t="s">
        <v>201</v>
      </c>
      <c r="C194" s="8">
        <v>804142</v>
      </c>
      <c r="D194" s="8" t="s">
        <v>215</v>
      </c>
      <c r="E194" s="8">
        <v>232</v>
      </c>
      <c r="F194" s="16">
        <v>124.17564148134301</v>
      </c>
      <c r="G194" s="8" t="s">
        <v>27</v>
      </c>
      <c r="H194" s="8" t="s">
        <v>31</v>
      </c>
      <c r="I194" s="8" t="s">
        <v>22</v>
      </c>
      <c r="J194" s="8" t="s">
        <v>742</v>
      </c>
      <c r="K194" s="8" t="s">
        <v>850</v>
      </c>
      <c r="M194" s="8" t="s">
        <v>196</v>
      </c>
    </row>
    <row r="195" spans="1:15" x14ac:dyDescent="0.25">
      <c r="A195" s="8" t="s">
        <v>21</v>
      </c>
      <c r="B195" s="15" t="s">
        <v>216</v>
      </c>
      <c r="C195" s="8">
        <v>804151</v>
      </c>
      <c r="D195" s="8" t="s">
        <v>217</v>
      </c>
      <c r="E195" s="8">
        <v>88</v>
      </c>
      <c r="F195" s="16">
        <v>111.81541674776101</v>
      </c>
      <c r="G195" s="8" t="s">
        <v>25</v>
      </c>
      <c r="H195" s="8" t="s">
        <v>24</v>
      </c>
      <c r="I195" s="8" t="s">
        <v>22</v>
      </c>
      <c r="J195" s="8" t="s">
        <v>740</v>
      </c>
      <c r="K195" s="8" t="s">
        <v>851</v>
      </c>
      <c r="M195" s="8" t="s">
        <v>196</v>
      </c>
    </row>
    <row r="196" spans="1:15" x14ac:dyDescent="0.25">
      <c r="A196" s="8" t="s">
        <v>21</v>
      </c>
      <c r="B196" s="15" t="s">
        <v>218</v>
      </c>
      <c r="C196" s="8">
        <v>804152</v>
      </c>
      <c r="D196" s="8" t="s">
        <v>33</v>
      </c>
      <c r="E196" s="8">
        <v>122</v>
      </c>
      <c r="F196" s="16">
        <v>111.463144381942</v>
      </c>
      <c r="G196" s="8" t="s">
        <v>25</v>
      </c>
      <c r="H196" s="8" t="s">
        <v>31</v>
      </c>
      <c r="I196" s="8" t="s">
        <v>22</v>
      </c>
      <c r="J196" s="8" t="s">
        <v>742</v>
      </c>
      <c r="K196" s="8" t="s">
        <v>218</v>
      </c>
      <c r="M196" s="8" t="s">
        <v>196</v>
      </c>
    </row>
    <row r="197" spans="1:15" x14ac:dyDescent="0.25">
      <c r="A197" s="8" t="s">
        <v>21</v>
      </c>
      <c r="B197" s="15" t="s">
        <v>216</v>
      </c>
      <c r="C197" s="8">
        <v>804161</v>
      </c>
      <c r="D197" s="8" t="s">
        <v>24</v>
      </c>
      <c r="E197" s="8">
        <v>42</v>
      </c>
      <c r="F197" s="16">
        <v>105.12706855792</v>
      </c>
      <c r="G197" s="8" t="s">
        <v>25</v>
      </c>
      <c r="H197" s="8" t="s">
        <v>24</v>
      </c>
      <c r="I197" s="8" t="s">
        <v>22</v>
      </c>
      <c r="J197" s="8" t="s">
        <v>740</v>
      </c>
      <c r="K197" s="8" t="s">
        <v>852</v>
      </c>
      <c r="M197" s="8" t="s">
        <v>196</v>
      </c>
    </row>
    <row r="198" spans="1:15" x14ac:dyDescent="0.25">
      <c r="A198" s="8" t="s">
        <v>21</v>
      </c>
      <c r="B198" s="15" t="s">
        <v>219</v>
      </c>
      <c r="C198" s="8">
        <v>804162</v>
      </c>
      <c r="D198" s="8" t="s">
        <v>33</v>
      </c>
      <c r="E198" s="8">
        <v>157</v>
      </c>
      <c r="F198" s="16">
        <v>114.952597884111</v>
      </c>
      <c r="G198" s="8" t="s">
        <v>25</v>
      </c>
      <c r="H198" s="8" t="s">
        <v>31</v>
      </c>
      <c r="I198" s="8" t="s">
        <v>22</v>
      </c>
      <c r="J198" s="8" t="s">
        <v>742</v>
      </c>
      <c r="K198" s="8" t="s">
        <v>219</v>
      </c>
      <c r="M198" s="8" t="s">
        <v>196</v>
      </c>
    </row>
    <row r="199" spans="1:15" x14ac:dyDescent="0.25">
      <c r="A199" s="8" t="s">
        <v>21</v>
      </c>
      <c r="B199" s="15" t="s">
        <v>199</v>
      </c>
      <c r="C199" s="8">
        <v>804171</v>
      </c>
      <c r="D199" s="8" t="s">
        <v>183</v>
      </c>
      <c r="E199" s="8">
        <v>258</v>
      </c>
      <c r="F199" s="16">
        <v>124.417361586729</v>
      </c>
      <c r="G199" s="8" t="s">
        <v>27</v>
      </c>
      <c r="H199" s="8" t="s">
        <v>24</v>
      </c>
      <c r="I199" s="8" t="s">
        <v>22</v>
      </c>
      <c r="J199" s="8" t="s">
        <v>740</v>
      </c>
      <c r="K199" s="8" t="s">
        <v>853</v>
      </c>
      <c r="M199" s="8" t="s">
        <v>196</v>
      </c>
    </row>
    <row r="200" spans="1:15" x14ac:dyDescent="0.25">
      <c r="A200" s="8" t="s">
        <v>21</v>
      </c>
      <c r="B200" s="15" t="s">
        <v>199</v>
      </c>
      <c r="C200" s="8">
        <v>804181</v>
      </c>
      <c r="D200" s="8" t="s">
        <v>220</v>
      </c>
      <c r="E200" s="8">
        <v>47</v>
      </c>
      <c r="F200" s="16">
        <v>111.7677337085</v>
      </c>
      <c r="G200" s="8" t="s">
        <v>25</v>
      </c>
      <c r="H200" s="8" t="s">
        <v>24</v>
      </c>
      <c r="I200" s="8" t="s">
        <v>22</v>
      </c>
      <c r="J200" s="8" t="s">
        <v>740</v>
      </c>
      <c r="K200" s="8" t="s">
        <v>854</v>
      </c>
      <c r="M200" s="8" t="s">
        <v>196</v>
      </c>
    </row>
    <row r="201" spans="1:15" x14ac:dyDescent="0.25">
      <c r="A201" s="8" t="s">
        <v>21</v>
      </c>
      <c r="B201" s="15" t="s">
        <v>221</v>
      </c>
      <c r="C201" s="8">
        <v>804191</v>
      </c>
      <c r="D201" s="8" t="s">
        <v>24</v>
      </c>
      <c r="E201" s="8">
        <v>134</v>
      </c>
      <c r="F201" s="16">
        <v>116.212566802374</v>
      </c>
      <c r="G201" s="8" t="s">
        <v>27</v>
      </c>
      <c r="H201" s="8" t="s">
        <v>24</v>
      </c>
      <c r="I201" s="8" t="s">
        <v>22</v>
      </c>
      <c r="J201" s="8" t="s">
        <v>740</v>
      </c>
      <c r="K201" s="8" t="s">
        <v>221</v>
      </c>
      <c r="M201" s="8" t="s">
        <v>196</v>
      </c>
    </row>
    <row r="202" spans="1:15" x14ac:dyDescent="0.25">
      <c r="A202" s="8" t="s">
        <v>21</v>
      </c>
      <c r="B202" s="15" t="s">
        <v>218</v>
      </c>
      <c r="C202" s="8">
        <v>804211</v>
      </c>
      <c r="D202" s="8" t="s">
        <v>24</v>
      </c>
      <c r="E202" s="8">
        <v>186</v>
      </c>
      <c r="F202" s="16">
        <v>111.050460563942</v>
      </c>
      <c r="G202" s="8" t="s">
        <v>25</v>
      </c>
      <c r="H202" s="8" t="s">
        <v>24</v>
      </c>
      <c r="I202" s="8" t="s">
        <v>22</v>
      </c>
      <c r="J202" s="8" t="s">
        <v>740</v>
      </c>
      <c r="K202" s="8" t="s">
        <v>218</v>
      </c>
      <c r="M202" s="8" t="s">
        <v>196</v>
      </c>
    </row>
    <row r="203" spans="1:15" x14ac:dyDescent="0.25">
      <c r="A203" s="8" t="s">
        <v>21</v>
      </c>
      <c r="B203" s="15" t="s">
        <v>222</v>
      </c>
      <c r="C203" s="8">
        <v>804221</v>
      </c>
      <c r="D203" s="8" t="s">
        <v>24</v>
      </c>
      <c r="E203" s="8">
        <v>32</v>
      </c>
      <c r="F203" s="16">
        <v>104.369355500821</v>
      </c>
      <c r="G203" s="8" t="s">
        <v>25</v>
      </c>
      <c r="H203" s="8" t="s">
        <v>24</v>
      </c>
      <c r="I203" s="8" t="s">
        <v>22</v>
      </c>
      <c r="J203" s="8" t="s">
        <v>740</v>
      </c>
      <c r="K203" s="8" t="s">
        <v>222</v>
      </c>
      <c r="M203" s="8" t="s">
        <v>196</v>
      </c>
    </row>
    <row r="204" spans="1:15" x14ac:dyDescent="0.25">
      <c r="A204" s="8" t="s">
        <v>21</v>
      </c>
      <c r="B204" s="15" t="s">
        <v>219</v>
      </c>
      <c r="C204" s="8">
        <v>804241</v>
      </c>
      <c r="D204" s="8" t="s">
        <v>24</v>
      </c>
      <c r="E204" s="8">
        <v>208</v>
      </c>
      <c r="F204" s="16">
        <v>117.697523536191</v>
      </c>
      <c r="G204" s="8" t="s">
        <v>27</v>
      </c>
      <c r="H204" s="8" t="s">
        <v>24</v>
      </c>
      <c r="I204" s="8" t="s">
        <v>22</v>
      </c>
      <c r="J204" s="8" t="s">
        <v>740</v>
      </c>
      <c r="K204" s="8" t="s">
        <v>219</v>
      </c>
      <c r="M204" s="8" t="s">
        <v>196</v>
      </c>
    </row>
    <row r="205" spans="1:15" x14ac:dyDescent="0.25">
      <c r="A205" s="8" t="s">
        <v>21</v>
      </c>
      <c r="B205" s="15" t="s">
        <v>223</v>
      </c>
      <c r="C205" s="8">
        <v>804251</v>
      </c>
      <c r="D205" s="8" t="s">
        <v>24</v>
      </c>
      <c r="E205" s="8">
        <v>136</v>
      </c>
      <c r="F205" s="16">
        <v>112.402878435749</v>
      </c>
      <c r="G205" s="8" t="s">
        <v>25</v>
      </c>
      <c r="H205" s="8" t="s">
        <v>24</v>
      </c>
      <c r="I205" s="8" t="s">
        <v>22</v>
      </c>
      <c r="J205" s="8" t="s">
        <v>740</v>
      </c>
      <c r="K205" s="8" t="s">
        <v>855</v>
      </c>
      <c r="M205" s="8" t="s">
        <v>196</v>
      </c>
    </row>
    <row r="206" spans="1:15" x14ac:dyDescent="0.25">
      <c r="A206" s="8" t="s">
        <v>21</v>
      </c>
      <c r="B206" s="15" t="s">
        <v>201</v>
      </c>
      <c r="C206" s="8">
        <v>804261</v>
      </c>
      <c r="D206" s="8" t="s">
        <v>183</v>
      </c>
      <c r="E206" s="8">
        <v>161</v>
      </c>
      <c r="F206" s="16">
        <v>115.60743180319901</v>
      </c>
      <c r="G206" s="8" t="s">
        <v>27</v>
      </c>
      <c r="H206" s="8" t="s">
        <v>24</v>
      </c>
      <c r="I206" s="799" t="s">
        <v>22</v>
      </c>
      <c r="J206" s="799" t="s">
        <v>740</v>
      </c>
      <c r="K206" s="799" t="s">
        <v>856</v>
      </c>
      <c r="L206" s="799" t="s">
        <v>765</v>
      </c>
      <c r="M206" s="8" t="s">
        <v>196</v>
      </c>
      <c r="O206" s="799"/>
    </row>
    <row r="207" spans="1:15" x14ac:dyDescent="0.25">
      <c r="A207" s="8" t="s">
        <v>21</v>
      </c>
      <c r="B207" s="15" t="s">
        <v>201</v>
      </c>
      <c r="C207" s="8">
        <v>804271</v>
      </c>
      <c r="D207" s="8" t="s">
        <v>224</v>
      </c>
      <c r="E207" s="8">
        <v>65</v>
      </c>
      <c r="F207" s="16">
        <v>120.87260379184799</v>
      </c>
      <c r="G207" s="8" t="s">
        <v>27</v>
      </c>
      <c r="H207" s="8" t="s">
        <v>24</v>
      </c>
      <c r="I207" s="8" t="s">
        <v>22</v>
      </c>
      <c r="J207" s="8" t="s">
        <v>740</v>
      </c>
      <c r="K207" s="8" t="s">
        <v>857</v>
      </c>
      <c r="M207" s="8" t="s">
        <v>196</v>
      </c>
    </row>
    <row r="208" spans="1:15" x14ac:dyDescent="0.25">
      <c r="A208" s="8" t="s">
        <v>21</v>
      </c>
      <c r="B208" s="15" t="s">
        <v>225</v>
      </c>
      <c r="C208" s="8">
        <v>804281</v>
      </c>
      <c r="D208" s="8" t="s">
        <v>24</v>
      </c>
      <c r="E208" s="8">
        <v>15</v>
      </c>
      <c r="F208" s="16">
        <v>118.105158730159</v>
      </c>
      <c r="G208" s="8" t="s">
        <v>27</v>
      </c>
      <c r="H208" s="8" t="s">
        <v>24</v>
      </c>
      <c r="I208" s="8" t="s">
        <v>22</v>
      </c>
      <c r="J208" s="8" t="s">
        <v>740</v>
      </c>
      <c r="K208" s="8" t="s">
        <v>225</v>
      </c>
      <c r="M208" s="795" t="s">
        <v>196</v>
      </c>
      <c r="N208" s="8">
        <v>-0.5</v>
      </c>
    </row>
    <row r="209" spans="1:15" x14ac:dyDescent="0.25">
      <c r="A209" s="8" t="s">
        <v>21</v>
      </c>
      <c r="B209" s="15" t="s">
        <v>226</v>
      </c>
      <c r="C209" s="8">
        <v>804291</v>
      </c>
      <c r="D209" s="8" t="s">
        <v>24</v>
      </c>
      <c r="E209" s="8">
        <v>63</v>
      </c>
      <c r="F209" s="16">
        <v>110.089928655664</v>
      </c>
      <c r="G209" s="8" t="s">
        <v>25</v>
      </c>
      <c r="H209" s="8" t="s">
        <v>24</v>
      </c>
      <c r="I209" s="8" t="s">
        <v>22</v>
      </c>
      <c r="J209" s="8" t="s">
        <v>740</v>
      </c>
      <c r="K209" s="8" t="s">
        <v>858</v>
      </c>
      <c r="M209" s="8" t="s">
        <v>196</v>
      </c>
    </row>
    <row r="210" spans="1:15" x14ac:dyDescent="0.25">
      <c r="A210" s="8" t="s">
        <v>21</v>
      </c>
      <c r="B210" s="15" t="s">
        <v>194</v>
      </c>
      <c r="C210" s="8">
        <v>804301</v>
      </c>
      <c r="D210" s="8" t="s">
        <v>24</v>
      </c>
      <c r="E210" s="8">
        <v>118</v>
      </c>
      <c r="F210" s="16">
        <v>112.22795657479401</v>
      </c>
      <c r="G210" s="8" t="s">
        <v>25</v>
      </c>
      <c r="H210" s="8" t="s">
        <v>24</v>
      </c>
      <c r="I210" s="8" t="s">
        <v>22</v>
      </c>
      <c r="J210" s="8" t="s">
        <v>740</v>
      </c>
      <c r="K210" s="8" t="s">
        <v>194</v>
      </c>
      <c r="M210" s="8" t="s">
        <v>196</v>
      </c>
    </row>
    <row r="211" spans="1:15" x14ac:dyDescent="0.25">
      <c r="A211" s="8" t="s">
        <v>21</v>
      </c>
      <c r="B211" s="15" t="s">
        <v>227</v>
      </c>
      <c r="C211" s="8">
        <v>804311</v>
      </c>
      <c r="D211" s="8" t="s">
        <v>24</v>
      </c>
      <c r="E211" s="8">
        <v>104</v>
      </c>
      <c r="F211" s="16">
        <v>119.06866848857899</v>
      </c>
      <c r="G211" s="8" t="s">
        <v>27</v>
      </c>
      <c r="H211" s="8" t="s">
        <v>24</v>
      </c>
      <c r="I211" s="8" t="s">
        <v>22</v>
      </c>
      <c r="J211" s="8" t="s">
        <v>740</v>
      </c>
      <c r="K211" s="8" t="s">
        <v>227</v>
      </c>
      <c r="M211" s="795" t="s">
        <v>196</v>
      </c>
      <c r="N211" s="8">
        <v>-0.5</v>
      </c>
    </row>
    <row r="212" spans="1:15" x14ac:dyDescent="0.25">
      <c r="A212" s="8" t="s">
        <v>21</v>
      </c>
      <c r="B212" s="15" t="s">
        <v>228</v>
      </c>
      <c r="C212" s="8">
        <v>804321</v>
      </c>
      <c r="D212" s="8" t="s">
        <v>24</v>
      </c>
      <c r="E212" s="8">
        <v>30</v>
      </c>
      <c r="F212" s="16">
        <v>116.28908866516601</v>
      </c>
      <c r="G212" s="8" t="s">
        <v>27</v>
      </c>
      <c r="H212" s="8" t="s">
        <v>24</v>
      </c>
      <c r="I212" s="8" t="s">
        <v>22</v>
      </c>
      <c r="J212" s="8" t="s">
        <v>740</v>
      </c>
      <c r="K212" s="8" t="s">
        <v>228</v>
      </c>
      <c r="M212" s="8" t="s">
        <v>196</v>
      </c>
    </row>
    <row r="213" spans="1:15" x14ac:dyDescent="0.25">
      <c r="A213" s="8" t="s">
        <v>21</v>
      </c>
      <c r="B213" s="15" t="s">
        <v>226</v>
      </c>
      <c r="C213" s="8">
        <v>804331</v>
      </c>
      <c r="D213" s="8" t="s">
        <v>24</v>
      </c>
      <c r="E213" s="8">
        <v>106</v>
      </c>
      <c r="F213" s="16">
        <v>110.800281267823</v>
      </c>
      <c r="G213" s="8" t="s">
        <v>25</v>
      </c>
      <c r="H213" s="8" t="s">
        <v>24</v>
      </c>
      <c r="I213" s="8" t="s">
        <v>22</v>
      </c>
      <c r="J213" s="8" t="s">
        <v>740</v>
      </c>
      <c r="K213" s="8" t="s">
        <v>211</v>
      </c>
      <c r="M213" s="8" t="s">
        <v>196</v>
      </c>
    </row>
    <row r="214" spans="1:15" x14ac:dyDescent="0.25">
      <c r="A214" s="8" t="s">
        <v>21</v>
      </c>
      <c r="B214" s="15" t="s">
        <v>229</v>
      </c>
      <c r="C214" s="8">
        <v>804341</v>
      </c>
      <c r="D214" s="8" t="s">
        <v>24</v>
      </c>
      <c r="E214" s="8">
        <v>23</v>
      </c>
      <c r="F214" s="16">
        <v>104.102108036891</v>
      </c>
      <c r="G214" s="8" t="s">
        <v>25</v>
      </c>
      <c r="H214" s="8" t="s">
        <v>24</v>
      </c>
      <c r="I214" s="8" t="s">
        <v>22</v>
      </c>
      <c r="J214" s="8" t="s">
        <v>740</v>
      </c>
      <c r="K214" s="8" t="s">
        <v>229</v>
      </c>
      <c r="M214" s="8" t="s">
        <v>196</v>
      </c>
    </row>
    <row r="215" spans="1:15" x14ac:dyDescent="0.25">
      <c r="A215" s="8" t="s">
        <v>21</v>
      </c>
      <c r="B215" s="15" t="s">
        <v>230</v>
      </c>
      <c r="C215" s="8">
        <v>804351</v>
      </c>
      <c r="D215" s="8" t="s">
        <v>24</v>
      </c>
      <c r="E215" s="8">
        <v>15</v>
      </c>
      <c r="F215" s="16">
        <v>104.670138888889</v>
      </c>
      <c r="G215" s="8" t="s">
        <v>25</v>
      </c>
      <c r="H215" s="8" t="s">
        <v>24</v>
      </c>
      <c r="I215" s="8" t="s">
        <v>22</v>
      </c>
      <c r="J215" s="8" t="s">
        <v>740</v>
      </c>
      <c r="K215" s="8" t="s">
        <v>230</v>
      </c>
      <c r="M215" s="8" t="s">
        <v>196</v>
      </c>
    </row>
    <row r="216" spans="1:15" x14ac:dyDescent="0.25">
      <c r="A216" s="8" t="s">
        <v>21</v>
      </c>
      <c r="B216" s="15" t="s">
        <v>231</v>
      </c>
      <c r="C216" s="8">
        <v>804361</v>
      </c>
      <c r="D216" s="8" t="s">
        <v>24</v>
      </c>
      <c r="E216" s="8">
        <v>85</v>
      </c>
      <c r="F216" s="16">
        <v>112.927661589143</v>
      </c>
      <c r="G216" s="8" t="s">
        <v>25</v>
      </c>
      <c r="H216" s="8" t="s">
        <v>24</v>
      </c>
      <c r="I216" s="8" t="s">
        <v>22</v>
      </c>
      <c r="J216" s="8" t="s">
        <v>740</v>
      </c>
      <c r="K216" s="8" t="s">
        <v>231</v>
      </c>
      <c r="M216" s="8" t="s">
        <v>196</v>
      </c>
    </row>
    <row r="217" spans="1:15" x14ac:dyDescent="0.25">
      <c r="A217" s="8" t="s">
        <v>21</v>
      </c>
      <c r="B217" s="15" t="s">
        <v>232</v>
      </c>
      <c r="C217" s="8">
        <v>804371</v>
      </c>
      <c r="D217" s="8" t="s">
        <v>233</v>
      </c>
      <c r="E217" s="8">
        <v>61</v>
      </c>
      <c r="F217" s="16">
        <v>103.413199086661</v>
      </c>
      <c r="G217" s="8" t="s">
        <v>25</v>
      </c>
      <c r="H217" s="8" t="s">
        <v>24</v>
      </c>
      <c r="I217" s="8" t="s">
        <v>22</v>
      </c>
      <c r="J217" s="8" t="s">
        <v>740</v>
      </c>
      <c r="K217" s="8" t="s">
        <v>232</v>
      </c>
      <c r="M217" s="8" t="s">
        <v>196</v>
      </c>
    </row>
    <row r="218" spans="1:15" x14ac:dyDescent="0.25">
      <c r="A218" s="8" t="s">
        <v>21</v>
      </c>
      <c r="B218" s="15" t="s">
        <v>204</v>
      </c>
      <c r="C218" s="8">
        <v>804381</v>
      </c>
      <c r="D218" s="8" t="s">
        <v>234</v>
      </c>
      <c r="E218" s="8">
        <v>56</v>
      </c>
      <c r="F218" s="16">
        <v>112.35119047619</v>
      </c>
      <c r="G218" s="8" t="s">
        <v>25</v>
      </c>
      <c r="H218" s="8" t="s">
        <v>24</v>
      </c>
      <c r="I218" s="8" t="s">
        <v>22</v>
      </c>
      <c r="J218" s="8" t="s">
        <v>740</v>
      </c>
      <c r="K218" s="8" t="s">
        <v>844</v>
      </c>
      <c r="M218" s="8" t="s">
        <v>196</v>
      </c>
    </row>
    <row r="219" spans="1:15" x14ac:dyDescent="0.25">
      <c r="A219" s="8" t="s">
        <v>21</v>
      </c>
      <c r="B219" s="15" t="s">
        <v>199</v>
      </c>
      <c r="C219" s="8">
        <v>804391</v>
      </c>
      <c r="D219" s="8" t="s">
        <v>235</v>
      </c>
      <c r="E219" s="8">
        <v>167</v>
      </c>
      <c r="F219" s="16">
        <v>123.417394406298</v>
      </c>
      <c r="G219" s="8" t="s">
        <v>27</v>
      </c>
      <c r="H219" s="8" t="s">
        <v>24</v>
      </c>
      <c r="I219" s="8" t="s">
        <v>22</v>
      </c>
      <c r="J219" s="8" t="s">
        <v>740</v>
      </c>
      <c r="K219" s="8" t="s">
        <v>859</v>
      </c>
      <c r="M219" s="8" t="s">
        <v>196</v>
      </c>
    </row>
    <row r="220" spans="1:15" x14ac:dyDescent="0.25">
      <c r="A220" s="8" t="s">
        <v>21</v>
      </c>
      <c r="B220" s="15" t="s">
        <v>201</v>
      </c>
      <c r="C220" s="8">
        <v>804411</v>
      </c>
      <c r="D220" s="8" t="s">
        <v>236</v>
      </c>
      <c r="E220" s="8">
        <v>23</v>
      </c>
      <c r="F220" s="16">
        <v>107.898550724638</v>
      </c>
      <c r="G220" s="8" t="s">
        <v>25</v>
      </c>
      <c r="H220" s="8" t="s">
        <v>24</v>
      </c>
      <c r="I220" s="794" t="s">
        <v>57</v>
      </c>
      <c r="J220" s="794" t="s">
        <v>767</v>
      </c>
      <c r="K220" s="794" t="s">
        <v>860</v>
      </c>
      <c r="L220" s="793"/>
      <c r="M220" s="8" t="s">
        <v>196</v>
      </c>
      <c r="O220" s="794"/>
    </row>
    <row r="221" spans="1:15" x14ac:dyDescent="0.25">
      <c r="A221" s="8" t="s">
        <v>21</v>
      </c>
      <c r="B221" s="15" t="s">
        <v>201</v>
      </c>
      <c r="C221" s="8">
        <v>804421</v>
      </c>
      <c r="D221" s="8" t="s">
        <v>237</v>
      </c>
      <c r="E221" s="8">
        <v>230</v>
      </c>
      <c r="F221" s="16">
        <v>118.75463401180799</v>
      </c>
      <c r="G221" s="8" t="s">
        <v>27</v>
      </c>
      <c r="H221" s="8" t="s">
        <v>24</v>
      </c>
      <c r="I221" s="8" t="s">
        <v>22</v>
      </c>
      <c r="J221" s="8" t="s">
        <v>740</v>
      </c>
      <c r="K221" s="8" t="s">
        <v>861</v>
      </c>
      <c r="M221" s="8" t="s">
        <v>196</v>
      </c>
    </row>
    <row r="222" spans="1:15" x14ac:dyDescent="0.25">
      <c r="A222" s="8" t="s">
        <v>21</v>
      </c>
      <c r="B222" s="15" t="s">
        <v>193</v>
      </c>
      <c r="C222" s="8">
        <v>804441</v>
      </c>
      <c r="D222" s="8" t="s">
        <v>238</v>
      </c>
      <c r="E222" s="8">
        <v>135</v>
      </c>
      <c r="F222" s="16">
        <v>103.838137090947</v>
      </c>
      <c r="G222" s="8" t="s">
        <v>25</v>
      </c>
      <c r="H222" s="8" t="s">
        <v>31</v>
      </c>
      <c r="I222" s="794" t="s">
        <v>57</v>
      </c>
      <c r="J222" s="793" t="s">
        <v>767</v>
      </c>
      <c r="K222" s="793" t="s">
        <v>862</v>
      </c>
      <c r="L222" s="793"/>
      <c r="M222" s="8" t="s">
        <v>196</v>
      </c>
      <c r="O222" s="794"/>
    </row>
    <row r="223" spans="1:15" x14ac:dyDescent="0.25">
      <c r="A223" s="8" t="s">
        <v>21</v>
      </c>
      <c r="B223" s="15" t="s">
        <v>239</v>
      </c>
      <c r="C223" s="8">
        <v>804451</v>
      </c>
      <c r="D223" s="8" t="s">
        <v>24</v>
      </c>
      <c r="E223" s="8">
        <v>20</v>
      </c>
      <c r="F223" s="16">
        <v>110.927033492823</v>
      </c>
      <c r="G223" s="8" t="s">
        <v>25</v>
      </c>
      <c r="H223" s="8" t="s">
        <v>24</v>
      </c>
      <c r="I223" s="8" t="s">
        <v>22</v>
      </c>
      <c r="J223" s="8" t="s">
        <v>740</v>
      </c>
      <c r="K223" s="8" t="s">
        <v>239</v>
      </c>
      <c r="M223" s="8" t="s">
        <v>196</v>
      </c>
    </row>
    <row r="224" spans="1:15" x14ac:dyDescent="0.25">
      <c r="I224" s="800"/>
      <c r="J224" s="800"/>
      <c r="K224" s="800"/>
      <c r="L224" s="800"/>
      <c r="O224" s="800"/>
    </row>
    <row r="227" spans="1:15" x14ac:dyDescent="0.25">
      <c r="A227" s="8" t="s">
        <v>21</v>
      </c>
      <c r="B227" s="15" t="s">
        <v>155</v>
      </c>
      <c r="C227" s="8">
        <v>803231</v>
      </c>
      <c r="D227" s="8" t="s">
        <v>240</v>
      </c>
      <c r="E227" s="8">
        <v>20</v>
      </c>
      <c r="F227" s="16">
        <v>131.16185897435901</v>
      </c>
      <c r="G227" s="8" t="s">
        <v>51</v>
      </c>
      <c r="H227" s="8" t="s">
        <v>31</v>
      </c>
      <c r="I227" s="8" t="s">
        <v>57</v>
      </c>
    </row>
    <row r="228" spans="1:15" x14ac:dyDescent="0.25">
      <c r="A228" s="8" t="s">
        <v>21</v>
      </c>
      <c r="B228" s="15" t="s">
        <v>162</v>
      </c>
      <c r="C228" s="8">
        <v>803241</v>
      </c>
      <c r="D228" s="8" t="s">
        <v>241</v>
      </c>
      <c r="E228" s="8">
        <v>25</v>
      </c>
      <c r="F228" s="16">
        <v>106.758838383838</v>
      </c>
      <c r="G228" s="8" t="s">
        <v>25</v>
      </c>
      <c r="H228" s="8" t="s">
        <v>24</v>
      </c>
      <c r="I228" s="8" t="s">
        <v>57</v>
      </c>
    </row>
    <row r="229" spans="1:15" x14ac:dyDescent="0.25">
      <c r="A229" s="8" t="s">
        <v>21</v>
      </c>
      <c r="B229" s="15" t="s">
        <v>199</v>
      </c>
      <c r="C229" s="8">
        <v>804201</v>
      </c>
      <c r="D229" s="8" t="s">
        <v>242</v>
      </c>
      <c r="E229" s="8">
        <v>40</v>
      </c>
      <c r="F229" s="16">
        <v>107.72391456582599</v>
      </c>
      <c r="G229" s="8" t="s">
        <v>25</v>
      </c>
      <c r="H229" s="8" t="s">
        <v>81</v>
      </c>
      <c r="I229" s="8" t="s">
        <v>57</v>
      </c>
    </row>
    <row r="231" spans="1:15" x14ac:dyDescent="0.25">
      <c r="A231" s="8" t="s">
        <v>21</v>
      </c>
      <c r="B231" s="15" t="s">
        <v>155</v>
      </c>
      <c r="C231" s="8">
        <v>803043</v>
      </c>
      <c r="D231" s="8" t="s">
        <v>243</v>
      </c>
      <c r="E231" s="8">
        <v>55</v>
      </c>
      <c r="F231" s="16">
        <v>125.090098170009</v>
      </c>
      <c r="G231" s="8" t="s">
        <v>51</v>
      </c>
      <c r="H231" s="8" t="s">
        <v>244</v>
      </c>
      <c r="I231" s="8" t="s">
        <v>57</v>
      </c>
    </row>
    <row r="232" spans="1:15" x14ac:dyDescent="0.25">
      <c r="A232" s="8" t="s">
        <v>21</v>
      </c>
      <c r="B232" s="15" t="s">
        <v>196</v>
      </c>
      <c r="C232" s="8">
        <v>804013</v>
      </c>
      <c r="D232" s="8" t="s">
        <v>245</v>
      </c>
      <c r="E232" s="8">
        <v>59</v>
      </c>
      <c r="F232" s="16">
        <v>135.86194447067601</v>
      </c>
      <c r="G232" s="8" t="s">
        <v>30</v>
      </c>
      <c r="H232" s="8" t="s">
        <v>244</v>
      </c>
      <c r="I232" s="8" t="s">
        <v>22</v>
      </c>
    </row>
    <row r="233" spans="1:15" x14ac:dyDescent="0.25">
      <c r="A233" s="8" t="s">
        <v>21</v>
      </c>
      <c r="B233" s="15" t="s">
        <v>227</v>
      </c>
      <c r="C233" s="8">
        <v>804023</v>
      </c>
      <c r="D233" s="8" t="s">
        <v>246</v>
      </c>
      <c r="E233" s="8">
        <v>54</v>
      </c>
      <c r="F233" s="16">
        <v>122.565174075591</v>
      </c>
      <c r="G233" s="8" t="s">
        <v>27</v>
      </c>
      <c r="H233" s="8" t="s">
        <v>244</v>
      </c>
      <c r="I233" s="8" t="s">
        <v>57</v>
      </c>
    </row>
    <row r="234" spans="1:15" x14ac:dyDescent="0.25">
      <c r="A234" s="8" t="s">
        <v>21</v>
      </c>
      <c r="B234" s="15" t="s">
        <v>227</v>
      </c>
      <c r="C234" s="8">
        <v>804033</v>
      </c>
      <c r="D234" s="8" t="s">
        <v>247</v>
      </c>
      <c r="E234" s="8">
        <v>58</v>
      </c>
      <c r="F234" s="16">
        <v>122.466328777718</v>
      </c>
      <c r="G234" s="8" t="s">
        <v>27</v>
      </c>
      <c r="H234" s="8" t="s">
        <v>244</v>
      </c>
      <c r="I234" s="797" t="s">
        <v>22</v>
      </c>
      <c r="O234" s="797"/>
    </row>
    <row r="235" spans="1:15" x14ac:dyDescent="0.25">
      <c r="B235" s="22"/>
      <c r="F235" s="16"/>
      <c r="I235" s="797"/>
      <c r="O235" s="797"/>
    </row>
    <row r="236" spans="1:15" x14ac:dyDescent="0.25">
      <c r="B236" s="22"/>
      <c r="F236" s="16"/>
    </row>
    <row r="238" spans="1:15" x14ac:dyDescent="0.25">
      <c r="C238" s="23" t="s">
        <v>273</v>
      </c>
      <c r="E238" s="372" t="str">
        <f>COUNTIF(E240:E296,"n")&amp;"x = 'n'"</f>
        <v>0x = 'n'</v>
      </c>
    </row>
    <row r="239" spans="1:15" x14ac:dyDescent="0.25">
      <c r="C239" s="34" t="s">
        <v>274</v>
      </c>
      <c r="D239" s="8" t="s">
        <v>275</v>
      </c>
      <c r="E239" s="8" t="s">
        <v>483</v>
      </c>
      <c r="F239" s="8" t="s">
        <v>418</v>
      </c>
      <c r="G239" s="20" t="s">
        <v>437</v>
      </c>
      <c r="H239" s="20"/>
      <c r="I239" s="8" t="s">
        <v>373</v>
      </c>
    </row>
    <row r="240" spans="1:15" x14ac:dyDescent="0.25">
      <c r="C240" s="8">
        <v>0</v>
      </c>
      <c r="D240" s="8" t="s">
        <v>331</v>
      </c>
      <c r="E240" s="8" t="s">
        <v>484</v>
      </c>
      <c r="F240" s="8" t="s">
        <v>419</v>
      </c>
    </row>
    <row r="241" spans="2:15" x14ac:dyDescent="0.25">
      <c r="C241" s="8">
        <v>801022</v>
      </c>
      <c r="D241" s="8" t="s">
        <v>276</v>
      </c>
      <c r="E241" s="8" t="s">
        <v>484</v>
      </c>
      <c r="F241" s="8" t="s">
        <v>419</v>
      </c>
    </row>
    <row r="242" spans="2:15" x14ac:dyDescent="0.25">
      <c r="C242" s="8">
        <v>801032</v>
      </c>
      <c r="D242" s="8" t="s">
        <v>277</v>
      </c>
      <c r="E242" s="8" t="s">
        <v>484</v>
      </c>
      <c r="F242" s="8" t="s">
        <v>419</v>
      </c>
    </row>
    <row r="243" spans="2:15" x14ac:dyDescent="0.25">
      <c r="C243" s="8">
        <v>801042</v>
      </c>
      <c r="D243" s="8" t="s">
        <v>278</v>
      </c>
      <c r="E243" s="510" t="s">
        <v>485</v>
      </c>
      <c r="F243" s="8" t="s">
        <v>419</v>
      </c>
    </row>
    <row r="244" spans="2:15" x14ac:dyDescent="0.25">
      <c r="C244" s="8">
        <v>801052</v>
      </c>
      <c r="D244" s="8" t="s">
        <v>279</v>
      </c>
      <c r="E244" s="8" t="s">
        <v>484</v>
      </c>
      <c r="F244" s="8" t="s">
        <v>419</v>
      </c>
    </row>
    <row r="245" spans="2:15" x14ac:dyDescent="0.25">
      <c r="C245" s="8">
        <v>801062</v>
      </c>
      <c r="D245" s="8" t="s">
        <v>280</v>
      </c>
      <c r="E245" s="8" t="s">
        <v>484</v>
      </c>
      <c r="F245" s="8" t="s">
        <v>419</v>
      </c>
    </row>
    <row r="246" spans="2:15" x14ac:dyDescent="0.25">
      <c r="C246" s="8">
        <v>801072</v>
      </c>
      <c r="D246" s="8" t="s">
        <v>281</v>
      </c>
      <c r="E246" s="8" t="s">
        <v>484</v>
      </c>
      <c r="F246" s="8" t="s">
        <v>419</v>
      </c>
    </row>
    <row r="247" spans="2:15" x14ac:dyDescent="0.25">
      <c r="C247" s="8">
        <v>801082</v>
      </c>
      <c r="D247" s="8" t="s">
        <v>282</v>
      </c>
      <c r="E247" s="510" t="s">
        <v>485</v>
      </c>
      <c r="F247" s="8" t="s">
        <v>419</v>
      </c>
      <c r="G247" s="277">
        <v>2</v>
      </c>
      <c r="H247" s="277" t="s">
        <v>440</v>
      </c>
    </row>
    <row r="248" spans="2:15" x14ac:dyDescent="0.25">
      <c r="B248" s="112" t="s">
        <v>283</v>
      </c>
      <c r="C248" s="8">
        <v>801092</v>
      </c>
      <c r="D248" s="231" t="s">
        <v>405</v>
      </c>
      <c r="E248" s="510" t="s">
        <v>485</v>
      </c>
      <c r="F248" s="8" t="s">
        <v>419</v>
      </c>
    </row>
    <row r="249" spans="2:15" x14ac:dyDescent="0.25">
      <c r="C249" s="8">
        <v>801102</v>
      </c>
      <c r="D249" s="8" t="s">
        <v>284</v>
      </c>
      <c r="E249" s="510" t="s">
        <v>485</v>
      </c>
      <c r="F249" s="8" t="s">
        <v>419</v>
      </c>
    </row>
    <row r="250" spans="2:15" x14ac:dyDescent="0.25">
      <c r="C250" s="8">
        <v>801112</v>
      </c>
      <c r="D250" s="8" t="s">
        <v>285</v>
      </c>
      <c r="E250" s="8" t="s">
        <v>484</v>
      </c>
      <c r="F250" s="8" t="s">
        <v>419</v>
      </c>
    </row>
    <row r="251" spans="2:15" x14ac:dyDescent="0.25">
      <c r="C251" s="8">
        <v>801122</v>
      </c>
      <c r="D251" s="8" t="s">
        <v>286</v>
      </c>
      <c r="E251" s="8" t="s">
        <v>484</v>
      </c>
      <c r="F251" s="8" t="s">
        <v>419</v>
      </c>
      <c r="G251" s="281"/>
      <c r="H251" s="281" t="s">
        <v>447</v>
      </c>
    </row>
    <row r="252" spans="2:15" x14ac:dyDescent="0.25">
      <c r="B252" s="112" t="s">
        <v>287</v>
      </c>
      <c r="C252" s="136">
        <v>801132</v>
      </c>
      <c r="D252" s="231" t="s">
        <v>406</v>
      </c>
      <c r="E252" s="8" t="s">
        <v>484</v>
      </c>
      <c r="F252" s="8" t="s">
        <v>419</v>
      </c>
      <c r="I252" s="8" t="s">
        <v>372</v>
      </c>
    </row>
    <row r="253" spans="2:15" x14ac:dyDescent="0.25">
      <c r="C253" s="8">
        <v>802012</v>
      </c>
      <c r="D253" s="231" t="s">
        <v>288</v>
      </c>
      <c r="E253" s="8" t="s">
        <v>484</v>
      </c>
      <c r="F253" s="8" t="s">
        <v>419</v>
      </c>
      <c r="I253" s="136"/>
      <c r="O253" s="136"/>
    </row>
    <row r="254" spans="2:15" x14ac:dyDescent="0.25">
      <c r="B254" s="112" t="s">
        <v>289</v>
      </c>
      <c r="C254" s="136">
        <v>802022</v>
      </c>
      <c r="D254" s="231" t="s">
        <v>407</v>
      </c>
      <c r="E254" s="672" t="s">
        <v>716</v>
      </c>
      <c r="F254" s="8" t="s">
        <v>419</v>
      </c>
      <c r="I254" s="8" t="s">
        <v>372</v>
      </c>
    </row>
    <row r="255" spans="2:15" x14ac:dyDescent="0.25">
      <c r="C255" s="8">
        <v>802032</v>
      </c>
      <c r="D255" s="8" t="s">
        <v>290</v>
      </c>
      <c r="E255" s="8" t="s">
        <v>484</v>
      </c>
      <c r="F255" s="8" t="s">
        <v>419</v>
      </c>
      <c r="I255" s="136"/>
      <c r="O255" s="136"/>
    </row>
    <row r="256" spans="2:15" x14ac:dyDescent="0.25">
      <c r="C256" s="8">
        <v>802042</v>
      </c>
      <c r="D256" s="8" t="s">
        <v>291</v>
      </c>
      <c r="E256" s="8" t="s">
        <v>484</v>
      </c>
      <c r="F256" s="8" t="s">
        <v>419</v>
      </c>
    </row>
    <row r="257" spans="2:8" x14ac:dyDescent="0.25">
      <c r="C257" s="8">
        <v>802052</v>
      </c>
      <c r="D257" s="8" t="s">
        <v>292</v>
      </c>
      <c r="E257" s="8" t="s">
        <v>484</v>
      </c>
      <c r="F257" s="8" t="s">
        <v>419</v>
      </c>
      <c r="G257" s="277">
        <v>5</v>
      </c>
      <c r="H257" s="281" t="s">
        <v>442</v>
      </c>
    </row>
    <row r="258" spans="2:8" x14ac:dyDescent="0.25">
      <c r="C258" s="8">
        <v>802062</v>
      </c>
      <c r="D258" s="8" t="s">
        <v>293</v>
      </c>
      <c r="E258" s="8" t="s">
        <v>484</v>
      </c>
      <c r="F258" s="8" t="s">
        <v>419</v>
      </c>
    </row>
    <row r="259" spans="2:8" x14ac:dyDescent="0.25">
      <c r="C259" s="8">
        <v>802072</v>
      </c>
      <c r="D259" s="8" t="s">
        <v>294</v>
      </c>
      <c r="E259" s="8" t="s">
        <v>484</v>
      </c>
      <c r="F259" s="8" t="s">
        <v>419</v>
      </c>
    </row>
    <row r="260" spans="2:8" x14ac:dyDescent="0.25">
      <c r="C260" s="8">
        <v>802082</v>
      </c>
      <c r="D260" s="8" t="s">
        <v>295</v>
      </c>
      <c r="E260" s="8" t="s">
        <v>484</v>
      </c>
      <c r="F260" s="8" t="s">
        <v>419</v>
      </c>
    </row>
    <row r="261" spans="2:8" x14ac:dyDescent="0.25">
      <c r="B261" s="112" t="s">
        <v>296</v>
      </c>
      <c r="C261" s="8">
        <v>802092</v>
      </c>
      <c r="D261" s="231" t="s">
        <v>408</v>
      </c>
      <c r="E261" s="8" t="s">
        <v>484</v>
      </c>
      <c r="F261" s="8" t="s">
        <v>419</v>
      </c>
    </row>
    <row r="262" spans="2:8" x14ac:dyDescent="0.25">
      <c r="C262" s="8">
        <v>802102</v>
      </c>
      <c r="D262" s="8" t="s">
        <v>297</v>
      </c>
      <c r="E262" s="8" t="s">
        <v>484</v>
      </c>
      <c r="F262" s="8" t="s">
        <v>419</v>
      </c>
    </row>
    <row r="263" spans="2:8" x14ac:dyDescent="0.25">
      <c r="C263" s="8">
        <v>802112</v>
      </c>
      <c r="D263" s="8" t="s">
        <v>298</v>
      </c>
      <c r="E263" s="8" t="s">
        <v>484</v>
      </c>
      <c r="F263" s="8" t="s">
        <v>419</v>
      </c>
    </row>
    <row r="264" spans="2:8" x14ac:dyDescent="0.25">
      <c r="C264" s="8">
        <v>802122</v>
      </c>
      <c r="D264" s="8" t="s">
        <v>299</v>
      </c>
      <c r="E264" s="8" t="s">
        <v>484</v>
      </c>
      <c r="F264" s="8" t="s">
        <v>419</v>
      </c>
      <c r="G264" s="277">
        <v>3</v>
      </c>
      <c r="H264" s="277" t="s">
        <v>438</v>
      </c>
    </row>
    <row r="265" spans="2:8" x14ac:dyDescent="0.25">
      <c r="C265" s="8">
        <v>802132</v>
      </c>
      <c r="D265" s="8" t="s">
        <v>300</v>
      </c>
      <c r="E265" s="8" t="s">
        <v>484</v>
      </c>
      <c r="F265" s="8" t="s">
        <v>419</v>
      </c>
      <c r="G265" s="674">
        <v>4</v>
      </c>
      <c r="H265" s="281" t="s">
        <v>717</v>
      </c>
    </row>
    <row r="266" spans="2:8" x14ac:dyDescent="0.25">
      <c r="C266" s="8">
        <v>802142</v>
      </c>
      <c r="D266" s="8" t="s">
        <v>301</v>
      </c>
      <c r="E266" s="8" t="s">
        <v>484</v>
      </c>
      <c r="F266" s="8" t="s">
        <v>419</v>
      </c>
    </row>
    <row r="267" spans="2:8" x14ac:dyDescent="0.25">
      <c r="C267" s="8">
        <v>802152</v>
      </c>
      <c r="D267" s="8" t="s">
        <v>302</v>
      </c>
      <c r="E267" s="8" t="s">
        <v>484</v>
      </c>
      <c r="F267" s="8" t="s">
        <v>419</v>
      </c>
    </row>
    <row r="268" spans="2:8" x14ac:dyDescent="0.25">
      <c r="C268" s="8">
        <v>802162</v>
      </c>
      <c r="D268" s="8" t="s">
        <v>303</v>
      </c>
      <c r="E268" s="8" t="s">
        <v>484</v>
      </c>
      <c r="F268" s="8" t="s">
        <v>419</v>
      </c>
    </row>
    <row r="269" spans="2:8" x14ac:dyDescent="0.25">
      <c r="C269" s="8">
        <v>802172</v>
      </c>
      <c r="D269" s="8" t="s">
        <v>304</v>
      </c>
      <c r="E269" s="8" t="s">
        <v>484</v>
      </c>
      <c r="F269" s="8" t="s">
        <v>419</v>
      </c>
    </row>
    <row r="270" spans="2:8" x14ac:dyDescent="0.25">
      <c r="C270" s="8">
        <v>802182</v>
      </c>
      <c r="D270" s="8" t="s">
        <v>305</v>
      </c>
      <c r="E270" s="8" t="s">
        <v>484</v>
      </c>
      <c r="F270" s="8" t="s">
        <v>419</v>
      </c>
    </row>
    <row r="271" spans="2:8" x14ac:dyDescent="0.25">
      <c r="C271" s="8">
        <v>802202</v>
      </c>
      <c r="D271" s="8" t="s">
        <v>306</v>
      </c>
      <c r="E271" s="8" t="s">
        <v>484</v>
      </c>
      <c r="F271" s="8" t="s">
        <v>419</v>
      </c>
    </row>
    <row r="272" spans="2:8" x14ac:dyDescent="0.25">
      <c r="C272" s="8">
        <v>802212</v>
      </c>
      <c r="D272" s="8" t="s">
        <v>307</v>
      </c>
      <c r="E272" s="8" t="s">
        <v>484</v>
      </c>
      <c r="F272" s="8" t="s">
        <v>419</v>
      </c>
      <c r="G272" s="277">
        <v>2</v>
      </c>
      <c r="H272" s="277" t="s">
        <v>439</v>
      </c>
    </row>
    <row r="273" spans="2:6" x14ac:dyDescent="0.25">
      <c r="C273" s="8">
        <v>803012</v>
      </c>
      <c r="D273" s="8" t="s">
        <v>308</v>
      </c>
      <c r="E273" s="8" t="s">
        <v>484</v>
      </c>
      <c r="F273" s="8" t="s">
        <v>419</v>
      </c>
    </row>
    <row r="274" spans="2:6" x14ac:dyDescent="0.25">
      <c r="C274" s="8">
        <v>803022</v>
      </c>
      <c r="D274" s="8" t="s">
        <v>309</v>
      </c>
      <c r="E274" s="8" t="s">
        <v>484</v>
      </c>
      <c r="F274" s="8" t="s">
        <v>419</v>
      </c>
    </row>
    <row r="275" spans="2:6" x14ac:dyDescent="0.25">
      <c r="C275" s="8">
        <v>803032</v>
      </c>
      <c r="D275" s="8" t="s">
        <v>310</v>
      </c>
      <c r="E275" s="8" t="s">
        <v>484</v>
      </c>
      <c r="F275" s="8" t="s">
        <v>419</v>
      </c>
    </row>
    <row r="276" spans="2:6" x14ac:dyDescent="0.25">
      <c r="C276" s="8">
        <v>803042</v>
      </c>
      <c r="D276" s="8" t="s">
        <v>311</v>
      </c>
      <c r="E276" s="8" t="s">
        <v>484</v>
      </c>
      <c r="F276" s="8" t="s">
        <v>419</v>
      </c>
    </row>
    <row r="277" spans="2:6" x14ac:dyDescent="0.25">
      <c r="C277" s="8">
        <v>803052</v>
      </c>
      <c r="D277" s="8" t="s">
        <v>312</v>
      </c>
      <c r="E277" s="8" t="s">
        <v>484</v>
      </c>
      <c r="F277" s="8" t="s">
        <v>419</v>
      </c>
    </row>
    <row r="278" spans="2:6" x14ac:dyDescent="0.25">
      <c r="C278" s="8">
        <v>803062</v>
      </c>
      <c r="D278" s="8" t="s">
        <v>313</v>
      </c>
      <c r="E278" s="8" t="s">
        <v>484</v>
      </c>
      <c r="F278" s="8" t="s">
        <v>419</v>
      </c>
    </row>
    <row r="279" spans="2:6" x14ac:dyDescent="0.25">
      <c r="C279" s="8">
        <v>803072</v>
      </c>
      <c r="D279" s="8" t="s">
        <v>314</v>
      </c>
      <c r="E279" s="8" t="s">
        <v>484</v>
      </c>
      <c r="F279" s="8" t="s">
        <v>419</v>
      </c>
    </row>
    <row r="280" spans="2:6" x14ac:dyDescent="0.25">
      <c r="C280" s="8">
        <v>803082</v>
      </c>
      <c r="D280" s="8" t="s">
        <v>315</v>
      </c>
      <c r="E280" s="8" t="s">
        <v>484</v>
      </c>
      <c r="F280" s="8" t="s">
        <v>419</v>
      </c>
    </row>
    <row r="281" spans="2:6" x14ac:dyDescent="0.25">
      <c r="C281" s="8">
        <v>803092</v>
      </c>
      <c r="D281" s="8" t="s">
        <v>316</v>
      </c>
      <c r="E281" s="8" t="s">
        <v>484</v>
      </c>
      <c r="F281" s="8" t="s">
        <v>419</v>
      </c>
    </row>
    <row r="282" spans="2:6" x14ac:dyDescent="0.25">
      <c r="C282" s="8">
        <v>803102</v>
      </c>
      <c r="D282" s="8" t="s">
        <v>317</v>
      </c>
      <c r="E282" s="8" t="s">
        <v>484</v>
      </c>
      <c r="F282" s="8" t="s">
        <v>419</v>
      </c>
    </row>
    <row r="283" spans="2:6" x14ac:dyDescent="0.25">
      <c r="C283" s="8">
        <v>804012</v>
      </c>
      <c r="D283" s="8" t="s">
        <v>318</v>
      </c>
      <c r="E283" s="8" t="s">
        <v>484</v>
      </c>
      <c r="F283" s="8" t="s">
        <v>419</v>
      </c>
    </row>
    <row r="284" spans="2:6" x14ac:dyDescent="0.25">
      <c r="B284" s="112" t="s">
        <v>319</v>
      </c>
      <c r="C284" s="8">
        <v>804022</v>
      </c>
      <c r="D284" s="231" t="s">
        <v>409</v>
      </c>
      <c r="E284" s="8" t="s">
        <v>484</v>
      </c>
      <c r="F284" s="8" t="s">
        <v>419</v>
      </c>
    </row>
    <row r="285" spans="2:6" x14ac:dyDescent="0.25">
      <c r="C285" s="8">
        <v>804032</v>
      </c>
      <c r="D285" s="8" t="s">
        <v>320</v>
      </c>
      <c r="E285" s="8" t="s">
        <v>484</v>
      </c>
      <c r="F285" s="8" t="s">
        <v>419</v>
      </c>
    </row>
    <row r="286" spans="2:6" x14ac:dyDescent="0.25">
      <c r="C286" s="8">
        <v>804042</v>
      </c>
      <c r="D286" s="8" t="s">
        <v>321</v>
      </c>
      <c r="E286" s="8" t="s">
        <v>484</v>
      </c>
      <c r="F286" s="8" t="s">
        <v>419</v>
      </c>
    </row>
    <row r="287" spans="2:6" x14ac:dyDescent="0.25">
      <c r="C287" s="8">
        <v>804052</v>
      </c>
      <c r="D287" s="8" t="s">
        <v>322</v>
      </c>
      <c r="E287" s="510" t="s">
        <v>485</v>
      </c>
      <c r="F287" s="8" t="s">
        <v>419</v>
      </c>
    </row>
    <row r="288" spans="2:6" x14ac:dyDescent="0.25">
      <c r="C288" s="8">
        <v>804062</v>
      </c>
      <c r="D288" s="8" t="s">
        <v>323</v>
      </c>
      <c r="E288" s="510" t="s">
        <v>485</v>
      </c>
      <c r="F288" s="8" t="s">
        <v>419</v>
      </c>
    </row>
    <row r="289" spans="2:15" x14ac:dyDescent="0.25">
      <c r="C289" s="8">
        <v>804072</v>
      </c>
      <c r="D289" s="8" t="s">
        <v>324</v>
      </c>
      <c r="E289" s="510" t="s">
        <v>485</v>
      </c>
      <c r="F289" s="8" t="s">
        <v>419</v>
      </c>
    </row>
    <row r="290" spans="2:15" x14ac:dyDescent="0.25">
      <c r="B290" s="112" t="s">
        <v>325</v>
      </c>
      <c r="C290" s="136">
        <v>804082</v>
      </c>
      <c r="D290" s="231" t="s">
        <v>410</v>
      </c>
      <c r="E290" s="8" t="s">
        <v>484</v>
      </c>
      <c r="F290" s="8" t="s">
        <v>419</v>
      </c>
      <c r="I290" s="8" t="s">
        <v>372</v>
      </c>
    </row>
    <row r="291" spans="2:15" x14ac:dyDescent="0.25">
      <c r="C291" s="8">
        <v>804112</v>
      </c>
      <c r="D291" s="8" t="s">
        <v>326</v>
      </c>
      <c r="E291" s="8" t="s">
        <v>484</v>
      </c>
      <c r="F291" s="8" t="s">
        <v>419</v>
      </c>
      <c r="I291" s="136"/>
      <c r="O291" s="136"/>
    </row>
    <row r="292" spans="2:15" x14ac:dyDescent="0.25">
      <c r="C292" s="8">
        <v>804122</v>
      </c>
      <c r="D292" s="8" t="s">
        <v>327</v>
      </c>
      <c r="E292" s="8" t="s">
        <v>484</v>
      </c>
      <c r="F292" s="8" t="s">
        <v>419</v>
      </c>
    </row>
    <row r="293" spans="2:15" x14ac:dyDescent="0.25">
      <c r="C293" s="8">
        <v>804132</v>
      </c>
      <c r="D293" s="8" t="s">
        <v>328</v>
      </c>
      <c r="E293" s="8" t="s">
        <v>484</v>
      </c>
      <c r="F293" s="8" t="s">
        <v>419</v>
      </c>
    </row>
    <row r="294" spans="2:15" x14ac:dyDescent="0.25">
      <c r="C294" s="8">
        <v>804142</v>
      </c>
      <c r="D294" s="8" t="s">
        <v>329</v>
      </c>
      <c r="E294" s="510" t="s">
        <v>485</v>
      </c>
      <c r="F294" s="8" t="s">
        <v>419</v>
      </c>
    </row>
    <row r="295" spans="2:15" x14ac:dyDescent="0.25">
      <c r="C295" s="8">
        <v>804152</v>
      </c>
      <c r="D295" s="8" t="s">
        <v>330</v>
      </c>
      <c r="E295" s="8" t="s">
        <v>484</v>
      </c>
      <c r="F295" s="8" t="s">
        <v>419</v>
      </c>
    </row>
    <row r="296" spans="2:15" x14ac:dyDescent="0.25">
      <c r="C296" s="8">
        <v>804162</v>
      </c>
      <c r="D296" s="8" t="s">
        <v>371</v>
      </c>
      <c r="E296" s="510" t="s">
        <v>485</v>
      </c>
      <c r="F296" s="8" t="s">
        <v>419</v>
      </c>
    </row>
  </sheetData>
  <sheetProtection algorithmName="SHA-512" hashValue="clUIRaWsP8WtPB1p1WVIzCsIadujNte6S7QoZsW3ZwcNlFpyQBGGclAJQMlU2V57Bwz42QH4aziwHqnzJMQ/wg==" saltValue="XsQInk5kTTUsg6hNjGFa4Q==" spinCount="100000" sheet="1" formatRows="0"/>
  <autoFilter ref="A2:I223"/>
  <pageMargins left="0.54" right="0.3" top="0.62" bottom="0.56999999999999995" header="0.31496062992125984" footer="0.31496062992125984"/>
  <pageSetup paperSize="9" scale="93" fitToHeight="0"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FF99"/>
    <pageSetUpPr fitToPage="1"/>
  </sheetPr>
  <dimension ref="A1:T106"/>
  <sheetViews>
    <sheetView showGridLines="0" showZeros="0" zoomScaleNormal="100" workbookViewId="0">
      <selection activeCell="A6" sqref="A6:C6"/>
    </sheetView>
  </sheetViews>
  <sheetFormatPr baseColWidth="10" defaultColWidth="12.85546875" defaultRowHeight="15" customHeight="1" zeroHeight="1" x14ac:dyDescent="0.25"/>
  <cols>
    <col min="1" max="1" width="3.42578125" style="561" customWidth="1"/>
    <col min="2" max="2" width="32.85546875" style="561" customWidth="1"/>
    <col min="3" max="3" width="6.28515625" style="561" customWidth="1"/>
    <col min="4" max="10" width="12.7109375" style="561" customWidth="1"/>
    <col min="11" max="11" width="11.42578125" style="561" customWidth="1"/>
    <col min="12" max="12" width="2" style="561" customWidth="1"/>
    <col min="13" max="14" width="12.85546875" style="560" customWidth="1"/>
    <col min="15" max="256" width="12.85546875" style="561"/>
    <col min="257" max="257" width="3.42578125" style="561" customWidth="1"/>
    <col min="258" max="258" width="32.85546875" style="561" customWidth="1"/>
    <col min="259" max="259" width="6.28515625" style="561" customWidth="1"/>
    <col min="260" max="266" width="12.7109375" style="561" customWidth="1"/>
    <col min="267" max="267" width="11.42578125" style="561" customWidth="1"/>
    <col min="268" max="268" width="2" style="561" customWidth="1"/>
    <col min="269" max="270" width="12.85546875" style="561" customWidth="1"/>
    <col min="271" max="512" width="12.85546875" style="561"/>
    <col min="513" max="513" width="3.42578125" style="561" customWidth="1"/>
    <col min="514" max="514" width="32.85546875" style="561" customWidth="1"/>
    <col min="515" max="515" width="6.28515625" style="561" customWidth="1"/>
    <col min="516" max="522" width="12.7109375" style="561" customWidth="1"/>
    <col min="523" max="523" width="11.42578125" style="561" customWidth="1"/>
    <col min="524" max="524" width="2" style="561" customWidth="1"/>
    <col min="525" max="526" width="12.85546875" style="561" customWidth="1"/>
    <col min="527" max="768" width="12.85546875" style="561"/>
    <col min="769" max="769" width="3.42578125" style="561" customWidth="1"/>
    <col min="770" max="770" width="32.85546875" style="561" customWidth="1"/>
    <col min="771" max="771" width="6.28515625" style="561" customWidth="1"/>
    <col min="772" max="778" width="12.7109375" style="561" customWidth="1"/>
    <col min="779" max="779" width="11.42578125" style="561" customWidth="1"/>
    <col min="780" max="780" width="2" style="561" customWidth="1"/>
    <col min="781" max="782" width="12.85546875" style="561" customWidth="1"/>
    <col min="783" max="1024" width="12.85546875" style="561"/>
    <col min="1025" max="1025" width="3.42578125" style="561" customWidth="1"/>
    <col min="1026" max="1026" width="32.85546875" style="561" customWidth="1"/>
    <col min="1027" max="1027" width="6.28515625" style="561" customWidth="1"/>
    <col min="1028" max="1034" width="12.7109375" style="561" customWidth="1"/>
    <col min="1035" max="1035" width="11.42578125" style="561" customWidth="1"/>
    <col min="1036" max="1036" width="2" style="561" customWidth="1"/>
    <col min="1037" max="1038" width="12.85546875" style="561" customWidth="1"/>
    <col min="1039" max="1280" width="12.85546875" style="561"/>
    <col min="1281" max="1281" width="3.42578125" style="561" customWidth="1"/>
    <col min="1282" max="1282" width="32.85546875" style="561" customWidth="1"/>
    <col min="1283" max="1283" width="6.28515625" style="561" customWidth="1"/>
    <col min="1284" max="1290" width="12.7109375" style="561" customWidth="1"/>
    <col min="1291" max="1291" width="11.42578125" style="561" customWidth="1"/>
    <col min="1292" max="1292" width="2" style="561" customWidth="1"/>
    <col min="1293" max="1294" width="12.85546875" style="561" customWidth="1"/>
    <col min="1295" max="1536" width="12.85546875" style="561"/>
    <col min="1537" max="1537" width="3.42578125" style="561" customWidth="1"/>
    <col min="1538" max="1538" width="32.85546875" style="561" customWidth="1"/>
    <col min="1539" max="1539" width="6.28515625" style="561" customWidth="1"/>
    <col min="1540" max="1546" width="12.7109375" style="561" customWidth="1"/>
    <col min="1547" max="1547" width="11.42578125" style="561" customWidth="1"/>
    <col min="1548" max="1548" width="2" style="561" customWidth="1"/>
    <col min="1549" max="1550" width="12.85546875" style="561" customWidth="1"/>
    <col min="1551" max="1792" width="12.85546875" style="561"/>
    <col min="1793" max="1793" width="3.42578125" style="561" customWidth="1"/>
    <col min="1794" max="1794" width="32.85546875" style="561" customWidth="1"/>
    <col min="1795" max="1795" width="6.28515625" style="561" customWidth="1"/>
    <col min="1796" max="1802" width="12.7109375" style="561" customWidth="1"/>
    <col min="1803" max="1803" width="11.42578125" style="561" customWidth="1"/>
    <col min="1804" max="1804" width="2" style="561" customWidth="1"/>
    <col min="1805" max="1806" width="12.85546875" style="561" customWidth="1"/>
    <col min="1807" max="2048" width="12.85546875" style="561"/>
    <col min="2049" max="2049" width="3.42578125" style="561" customWidth="1"/>
    <col min="2050" max="2050" width="32.85546875" style="561" customWidth="1"/>
    <col min="2051" max="2051" width="6.28515625" style="561" customWidth="1"/>
    <col min="2052" max="2058" width="12.7109375" style="561" customWidth="1"/>
    <col min="2059" max="2059" width="11.42578125" style="561" customWidth="1"/>
    <col min="2060" max="2060" width="2" style="561" customWidth="1"/>
    <col min="2061" max="2062" width="12.85546875" style="561" customWidth="1"/>
    <col min="2063" max="2304" width="12.85546875" style="561"/>
    <col min="2305" max="2305" width="3.42578125" style="561" customWidth="1"/>
    <col min="2306" max="2306" width="32.85546875" style="561" customWidth="1"/>
    <col min="2307" max="2307" width="6.28515625" style="561" customWidth="1"/>
    <col min="2308" max="2314" width="12.7109375" style="561" customWidth="1"/>
    <col min="2315" max="2315" width="11.42578125" style="561" customWidth="1"/>
    <col min="2316" max="2316" width="2" style="561" customWidth="1"/>
    <col min="2317" max="2318" width="12.85546875" style="561" customWidth="1"/>
    <col min="2319" max="2560" width="12.85546875" style="561"/>
    <col min="2561" max="2561" width="3.42578125" style="561" customWidth="1"/>
    <col min="2562" max="2562" width="32.85546875" style="561" customWidth="1"/>
    <col min="2563" max="2563" width="6.28515625" style="561" customWidth="1"/>
    <col min="2564" max="2570" width="12.7109375" style="561" customWidth="1"/>
    <col min="2571" max="2571" width="11.42578125" style="561" customWidth="1"/>
    <col min="2572" max="2572" width="2" style="561" customWidth="1"/>
    <col min="2573" max="2574" width="12.85546875" style="561" customWidth="1"/>
    <col min="2575" max="2816" width="12.85546875" style="561"/>
    <col min="2817" max="2817" width="3.42578125" style="561" customWidth="1"/>
    <col min="2818" max="2818" width="32.85546875" style="561" customWidth="1"/>
    <col min="2819" max="2819" width="6.28515625" style="561" customWidth="1"/>
    <col min="2820" max="2826" width="12.7109375" style="561" customWidth="1"/>
    <col min="2827" max="2827" width="11.42578125" style="561" customWidth="1"/>
    <col min="2828" max="2828" width="2" style="561" customWidth="1"/>
    <col min="2829" max="2830" width="12.85546875" style="561" customWidth="1"/>
    <col min="2831" max="3072" width="12.85546875" style="561"/>
    <col min="3073" max="3073" width="3.42578125" style="561" customWidth="1"/>
    <col min="3074" max="3074" width="32.85546875" style="561" customWidth="1"/>
    <col min="3075" max="3075" width="6.28515625" style="561" customWidth="1"/>
    <col min="3076" max="3082" width="12.7109375" style="561" customWidth="1"/>
    <col min="3083" max="3083" width="11.42578125" style="561" customWidth="1"/>
    <col min="3084" max="3084" width="2" style="561" customWidth="1"/>
    <col min="3085" max="3086" width="12.85546875" style="561" customWidth="1"/>
    <col min="3087" max="3328" width="12.85546875" style="561"/>
    <col min="3329" max="3329" width="3.42578125" style="561" customWidth="1"/>
    <col min="3330" max="3330" width="32.85546875" style="561" customWidth="1"/>
    <col min="3331" max="3331" width="6.28515625" style="561" customWidth="1"/>
    <col min="3332" max="3338" width="12.7109375" style="561" customWidth="1"/>
    <col min="3339" max="3339" width="11.42578125" style="561" customWidth="1"/>
    <col min="3340" max="3340" width="2" style="561" customWidth="1"/>
    <col min="3341" max="3342" width="12.85546875" style="561" customWidth="1"/>
    <col min="3343" max="3584" width="12.85546875" style="561"/>
    <col min="3585" max="3585" width="3.42578125" style="561" customWidth="1"/>
    <col min="3586" max="3586" width="32.85546875" style="561" customWidth="1"/>
    <col min="3587" max="3587" width="6.28515625" style="561" customWidth="1"/>
    <col min="3588" max="3594" width="12.7109375" style="561" customWidth="1"/>
    <col min="3595" max="3595" width="11.42578125" style="561" customWidth="1"/>
    <col min="3596" max="3596" width="2" style="561" customWidth="1"/>
    <col min="3597" max="3598" width="12.85546875" style="561" customWidth="1"/>
    <col min="3599" max="3840" width="12.85546875" style="561"/>
    <col min="3841" max="3841" width="3.42578125" style="561" customWidth="1"/>
    <col min="3842" max="3842" width="32.85546875" style="561" customWidth="1"/>
    <col min="3843" max="3843" width="6.28515625" style="561" customWidth="1"/>
    <col min="3844" max="3850" width="12.7109375" style="561" customWidth="1"/>
    <col min="3851" max="3851" width="11.42578125" style="561" customWidth="1"/>
    <col min="3852" max="3852" width="2" style="561" customWidth="1"/>
    <col min="3853" max="3854" width="12.85546875" style="561" customWidth="1"/>
    <col min="3855" max="4096" width="12.85546875" style="561"/>
    <col min="4097" max="4097" width="3.42578125" style="561" customWidth="1"/>
    <col min="4098" max="4098" width="32.85546875" style="561" customWidth="1"/>
    <col min="4099" max="4099" width="6.28515625" style="561" customWidth="1"/>
    <col min="4100" max="4106" width="12.7109375" style="561" customWidth="1"/>
    <col min="4107" max="4107" width="11.42578125" style="561" customWidth="1"/>
    <col min="4108" max="4108" width="2" style="561" customWidth="1"/>
    <col min="4109" max="4110" width="12.85546875" style="561" customWidth="1"/>
    <col min="4111" max="4352" width="12.85546875" style="561"/>
    <col min="4353" max="4353" width="3.42578125" style="561" customWidth="1"/>
    <col min="4354" max="4354" width="32.85546875" style="561" customWidth="1"/>
    <col min="4355" max="4355" width="6.28515625" style="561" customWidth="1"/>
    <col min="4356" max="4362" width="12.7109375" style="561" customWidth="1"/>
    <col min="4363" max="4363" width="11.42578125" style="561" customWidth="1"/>
    <col min="4364" max="4364" width="2" style="561" customWidth="1"/>
    <col min="4365" max="4366" width="12.85546875" style="561" customWidth="1"/>
    <col min="4367" max="4608" width="12.85546875" style="561"/>
    <col min="4609" max="4609" width="3.42578125" style="561" customWidth="1"/>
    <col min="4610" max="4610" width="32.85546875" style="561" customWidth="1"/>
    <col min="4611" max="4611" width="6.28515625" style="561" customWidth="1"/>
    <col min="4612" max="4618" width="12.7109375" style="561" customWidth="1"/>
    <col min="4619" max="4619" width="11.42578125" style="561" customWidth="1"/>
    <col min="4620" max="4620" width="2" style="561" customWidth="1"/>
    <col min="4621" max="4622" width="12.85546875" style="561" customWidth="1"/>
    <col min="4623" max="4864" width="12.85546875" style="561"/>
    <col min="4865" max="4865" width="3.42578125" style="561" customWidth="1"/>
    <col min="4866" max="4866" width="32.85546875" style="561" customWidth="1"/>
    <col min="4867" max="4867" width="6.28515625" style="561" customWidth="1"/>
    <col min="4868" max="4874" width="12.7109375" style="561" customWidth="1"/>
    <col min="4875" max="4875" width="11.42578125" style="561" customWidth="1"/>
    <col min="4876" max="4876" width="2" style="561" customWidth="1"/>
    <col min="4877" max="4878" width="12.85546875" style="561" customWidth="1"/>
    <col min="4879" max="5120" width="12.85546875" style="561"/>
    <col min="5121" max="5121" width="3.42578125" style="561" customWidth="1"/>
    <col min="5122" max="5122" width="32.85546875" style="561" customWidth="1"/>
    <col min="5123" max="5123" width="6.28515625" style="561" customWidth="1"/>
    <col min="5124" max="5130" width="12.7109375" style="561" customWidth="1"/>
    <col min="5131" max="5131" width="11.42578125" style="561" customWidth="1"/>
    <col min="5132" max="5132" width="2" style="561" customWidth="1"/>
    <col min="5133" max="5134" width="12.85546875" style="561" customWidth="1"/>
    <col min="5135" max="5376" width="12.85546875" style="561"/>
    <col min="5377" max="5377" width="3.42578125" style="561" customWidth="1"/>
    <col min="5378" max="5378" width="32.85546875" style="561" customWidth="1"/>
    <col min="5379" max="5379" width="6.28515625" style="561" customWidth="1"/>
    <col min="5380" max="5386" width="12.7109375" style="561" customWidth="1"/>
    <col min="5387" max="5387" width="11.42578125" style="561" customWidth="1"/>
    <col min="5388" max="5388" width="2" style="561" customWidth="1"/>
    <col min="5389" max="5390" width="12.85546875" style="561" customWidth="1"/>
    <col min="5391" max="5632" width="12.85546875" style="561"/>
    <col min="5633" max="5633" width="3.42578125" style="561" customWidth="1"/>
    <col min="5634" max="5634" width="32.85546875" style="561" customWidth="1"/>
    <col min="5635" max="5635" width="6.28515625" style="561" customWidth="1"/>
    <col min="5636" max="5642" width="12.7109375" style="561" customWidth="1"/>
    <col min="5643" max="5643" width="11.42578125" style="561" customWidth="1"/>
    <col min="5644" max="5644" width="2" style="561" customWidth="1"/>
    <col min="5645" max="5646" width="12.85546875" style="561" customWidth="1"/>
    <col min="5647" max="5888" width="12.85546875" style="561"/>
    <col min="5889" max="5889" width="3.42578125" style="561" customWidth="1"/>
    <col min="5890" max="5890" width="32.85546875" style="561" customWidth="1"/>
    <col min="5891" max="5891" width="6.28515625" style="561" customWidth="1"/>
    <col min="5892" max="5898" width="12.7109375" style="561" customWidth="1"/>
    <col min="5899" max="5899" width="11.42578125" style="561" customWidth="1"/>
    <col min="5900" max="5900" width="2" style="561" customWidth="1"/>
    <col min="5901" max="5902" width="12.85546875" style="561" customWidth="1"/>
    <col min="5903" max="6144" width="12.85546875" style="561"/>
    <col min="6145" max="6145" width="3.42578125" style="561" customWidth="1"/>
    <col min="6146" max="6146" width="32.85546875" style="561" customWidth="1"/>
    <col min="6147" max="6147" width="6.28515625" style="561" customWidth="1"/>
    <col min="6148" max="6154" width="12.7109375" style="561" customWidth="1"/>
    <col min="6155" max="6155" width="11.42578125" style="561" customWidth="1"/>
    <col min="6156" max="6156" width="2" style="561" customWidth="1"/>
    <col min="6157" max="6158" width="12.85546875" style="561" customWidth="1"/>
    <col min="6159" max="6400" width="12.85546875" style="561"/>
    <col min="6401" max="6401" width="3.42578125" style="561" customWidth="1"/>
    <col min="6402" max="6402" width="32.85546875" style="561" customWidth="1"/>
    <col min="6403" max="6403" width="6.28515625" style="561" customWidth="1"/>
    <col min="6404" max="6410" width="12.7109375" style="561" customWidth="1"/>
    <col min="6411" max="6411" width="11.42578125" style="561" customWidth="1"/>
    <col min="6412" max="6412" width="2" style="561" customWidth="1"/>
    <col min="6413" max="6414" width="12.85546875" style="561" customWidth="1"/>
    <col min="6415" max="6656" width="12.85546875" style="561"/>
    <col min="6657" max="6657" width="3.42578125" style="561" customWidth="1"/>
    <col min="6658" max="6658" width="32.85546875" style="561" customWidth="1"/>
    <col min="6659" max="6659" width="6.28515625" style="561" customWidth="1"/>
    <col min="6660" max="6666" width="12.7109375" style="561" customWidth="1"/>
    <col min="6667" max="6667" width="11.42578125" style="561" customWidth="1"/>
    <col min="6668" max="6668" width="2" style="561" customWidth="1"/>
    <col min="6669" max="6670" width="12.85546875" style="561" customWidth="1"/>
    <col min="6671" max="6912" width="12.85546875" style="561"/>
    <col min="6913" max="6913" width="3.42578125" style="561" customWidth="1"/>
    <col min="6914" max="6914" width="32.85546875" style="561" customWidth="1"/>
    <col min="6915" max="6915" width="6.28515625" style="561" customWidth="1"/>
    <col min="6916" max="6922" width="12.7109375" style="561" customWidth="1"/>
    <col min="6923" max="6923" width="11.42578125" style="561" customWidth="1"/>
    <col min="6924" max="6924" width="2" style="561" customWidth="1"/>
    <col min="6925" max="6926" width="12.85546875" style="561" customWidth="1"/>
    <col min="6927" max="7168" width="12.85546875" style="561"/>
    <col min="7169" max="7169" width="3.42578125" style="561" customWidth="1"/>
    <col min="7170" max="7170" width="32.85546875" style="561" customWidth="1"/>
    <col min="7171" max="7171" width="6.28515625" style="561" customWidth="1"/>
    <col min="7172" max="7178" width="12.7109375" style="561" customWidth="1"/>
    <col min="7179" max="7179" width="11.42578125" style="561" customWidth="1"/>
    <col min="7180" max="7180" width="2" style="561" customWidth="1"/>
    <col min="7181" max="7182" width="12.85546875" style="561" customWidth="1"/>
    <col min="7183" max="7424" width="12.85546875" style="561"/>
    <col min="7425" max="7425" width="3.42578125" style="561" customWidth="1"/>
    <col min="7426" max="7426" width="32.85546875" style="561" customWidth="1"/>
    <col min="7427" max="7427" width="6.28515625" style="561" customWidth="1"/>
    <col min="7428" max="7434" width="12.7109375" style="561" customWidth="1"/>
    <col min="7435" max="7435" width="11.42578125" style="561" customWidth="1"/>
    <col min="7436" max="7436" width="2" style="561" customWidth="1"/>
    <col min="7437" max="7438" width="12.85546875" style="561" customWidth="1"/>
    <col min="7439" max="7680" width="12.85546875" style="561"/>
    <col min="7681" max="7681" width="3.42578125" style="561" customWidth="1"/>
    <col min="7682" max="7682" width="32.85546875" style="561" customWidth="1"/>
    <col min="7683" max="7683" width="6.28515625" style="561" customWidth="1"/>
    <col min="7684" max="7690" width="12.7109375" style="561" customWidth="1"/>
    <col min="7691" max="7691" width="11.42578125" style="561" customWidth="1"/>
    <col min="7692" max="7692" width="2" style="561" customWidth="1"/>
    <col min="7693" max="7694" width="12.85546875" style="561" customWidth="1"/>
    <col min="7695" max="7936" width="12.85546875" style="561"/>
    <col min="7937" max="7937" width="3.42578125" style="561" customWidth="1"/>
    <col min="7938" max="7938" width="32.85546875" style="561" customWidth="1"/>
    <col min="7939" max="7939" width="6.28515625" style="561" customWidth="1"/>
    <col min="7940" max="7946" width="12.7109375" style="561" customWidth="1"/>
    <col min="7947" max="7947" width="11.42578125" style="561" customWidth="1"/>
    <col min="7948" max="7948" width="2" style="561" customWidth="1"/>
    <col min="7949" max="7950" width="12.85546875" style="561" customWidth="1"/>
    <col min="7951" max="8192" width="12.85546875" style="561"/>
    <col min="8193" max="8193" width="3.42578125" style="561" customWidth="1"/>
    <col min="8194" max="8194" width="32.85546875" style="561" customWidth="1"/>
    <col min="8195" max="8195" width="6.28515625" style="561" customWidth="1"/>
    <col min="8196" max="8202" width="12.7109375" style="561" customWidth="1"/>
    <col min="8203" max="8203" width="11.42578125" style="561" customWidth="1"/>
    <col min="8204" max="8204" width="2" style="561" customWidth="1"/>
    <col min="8205" max="8206" width="12.85546875" style="561" customWidth="1"/>
    <col min="8207" max="8448" width="12.85546875" style="561"/>
    <col min="8449" max="8449" width="3.42578125" style="561" customWidth="1"/>
    <col min="8450" max="8450" width="32.85546875" style="561" customWidth="1"/>
    <col min="8451" max="8451" width="6.28515625" style="561" customWidth="1"/>
    <col min="8452" max="8458" width="12.7109375" style="561" customWidth="1"/>
    <col min="8459" max="8459" width="11.42578125" style="561" customWidth="1"/>
    <col min="8460" max="8460" width="2" style="561" customWidth="1"/>
    <col min="8461" max="8462" width="12.85546875" style="561" customWidth="1"/>
    <col min="8463" max="8704" width="12.85546875" style="561"/>
    <col min="8705" max="8705" width="3.42578125" style="561" customWidth="1"/>
    <col min="8706" max="8706" width="32.85546875" style="561" customWidth="1"/>
    <col min="8707" max="8707" width="6.28515625" style="561" customWidth="1"/>
    <col min="8708" max="8714" width="12.7109375" style="561" customWidth="1"/>
    <col min="8715" max="8715" width="11.42578125" style="561" customWidth="1"/>
    <col min="8716" max="8716" width="2" style="561" customWidth="1"/>
    <col min="8717" max="8718" width="12.85546875" style="561" customWidth="1"/>
    <col min="8719" max="8960" width="12.85546875" style="561"/>
    <col min="8961" max="8961" width="3.42578125" style="561" customWidth="1"/>
    <col min="8962" max="8962" width="32.85546875" style="561" customWidth="1"/>
    <col min="8963" max="8963" width="6.28515625" style="561" customWidth="1"/>
    <col min="8964" max="8970" width="12.7109375" style="561" customWidth="1"/>
    <col min="8971" max="8971" width="11.42578125" style="561" customWidth="1"/>
    <col min="8972" max="8972" width="2" style="561" customWidth="1"/>
    <col min="8973" max="8974" width="12.85546875" style="561" customWidth="1"/>
    <col min="8975" max="9216" width="12.85546875" style="561"/>
    <col min="9217" max="9217" width="3.42578125" style="561" customWidth="1"/>
    <col min="9218" max="9218" width="32.85546875" style="561" customWidth="1"/>
    <col min="9219" max="9219" width="6.28515625" style="561" customWidth="1"/>
    <col min="9220" max="9226" width="12.7109375" style="561" customWidth="1"/>
    <col min="9227" max="9227" width="11.42578125" style="561" customWidth="1"/>
    <col min="9228" max="9228" width="2" style="561" customWidth="1"/>
    <col min="9229" max="9230" width="12.85546875" style="561" customWidth="1"/>
    <col min="9231" max="9472" width="12.85546875" style="561"/>
    <col min="9473" max="9473" width="3.42578125" style="561" customWidth="1"/>
    <col min="9474" max="9474" width="32.85546875" style="561" customWidth="1"/>
    <col min="9475" max="9475" width="6.28515625" style="561" customWidth="1"/>
    <col min="9476" max="9482" width="12.7109375" style="561" customWidth="1"/>
    <col min="9483" max="9483" width="11.42578125" style="561" customWidth="1"/>
    <col min="9484" max="9484" width="2" style="561" customWidth="1"/>
    <col min="9485" max="9486" width="12.85546875" style="561" customWidth="1"/>
    <col min="9487" max="9728" width="12.85546875" style="561"/>
    <col min="9729" max="9729" width="3.42578125" style="561" customWidth="1"/>
    <col min="9730" max="9730" width="32.85546875" style="561" customWidth="1"/>
    <col min="9731" max="9731" width="6.28515625" style="561" customWidth="1"/>
    <col min="9732" max="9738" width="12.7109375" style="561" customWidth="1"/>
    <col min="9739" max="9739" width="11.42578125" style="561" customWidth="1"/>
    <col min="9740" max="9740" width="2" style="561" customWidth="1"/>
    <col min="9741" max="9742" width="12.85546875" style="561" customWidth="1"/>
    <col min="9743" max="9984" width="12.85546875" style="561"/>
    <col min="9985" max="9985" width="3.42578125" style="561" customWidth="1"/>
    <col min="9986" max="9986" width="32.85546875" style="561" customWidth="1"/>
    <col min="9987" max="9987" width="6.28515625" style="561" customWidth="1"/>
    <col min="9988" max="9994" width="12.7109375" style="561" customWidth="1"/>
    <col min="9995" max="9995" width="11.42578125" style="561" customWidth="1"/>
    <col min="9996" max="9996" width="2" style="561" customWidth="1"/>
    <col min="9997" max="9998" width="12.85546875" style="561" customWidth="1"/>
    <col min="9999" max="10240" width="12.85546875" style="561"/>
    <col min="10241" max="10241" width="3.42578125" style="561" customWidth="1"/>
    <col min="10242" max="10242" width="32.85546875" style="561" customWidth="1"/>
    <col min="10243" max="10243" width="6.28515625" style="561" customWidth="1"/>
    <col min="10244" max="10250" width="12.7109375" style="561" customWidth="1"/>
    <col min="10251" max="10251" width="11.42578125" style="561" customWidth="1"/>
    <col min="10252" max="10252" width="2" style="561" customWidth="1"/>
    <col min="10253" max="10254" width="12.85546875" style="561" customWidth="1"/>
    <col min="10255" max="10496" width="12.85546875" style="561"/>
    <col min="10497" max="10497" width="3.42578125" style="561" customWidth="1"/>
    <col min="10498" max="10498" width="32.85546875" style="561" customWidth="1"/>
    <col min="10499" max="10499" width="6.28515625" style="561" customWidth="1"/>
    <col min="10500" max="10506" width="12.7109375" style="561" customWidth="1"/>
    <col min="10507" max="10507" width="11.42578125" style="561" customWidth="1"/>
    <col min="10508" max="10508" width="2" style="561" customWidth="1"/>
    <col min="10509" max="10510" width="12.85546875" style="561" customWidth="1"/>
    <col min="10511" max="10752" width="12.85546875" style="561"/>
    <col min="10753" max="10753" width="3.42578125" style="561" customWidth="1"/>
    <col min="10754" max="10754" width="32.85546875" style="561" customWidth="1"/>
    <col min="10755" max="10755" width="6.28515625" style="561" customWidth="1"/>
    <col min="10756" max="10762" width="12.7109375" style="561" customWidth="1"/>
    <col min="10763" max="10763" width="11.42578125" style="561" customWidth="1"/>
    <col min="10764" max="10764" width="2" style="561" customWidth="1"/>
    <col min="10765" max="10766" width="12.85546875" style="561" customWidth="1"/>
    <col min="10767" max="11008" width="12.85546875" style="561"/>
    <col min="11009" max="11009" width="3.42578125" style="561" customWidth="1"/>
    <col min="11010" max="11010" width="32.85546875" style="561" customWidth="1"/>
    <col min="11011" max="11011" width="6.28515625" style="561" customWidth="1"/>
    <col min="11012" max="11018" width="12.7109375" style="561" customWidth="1"/>
    <col min="11019" max="11019" width="11.42578125" style="561" customWidth="1"/>
    <col min="11020" max="11020" width="2" style="561" customWidth="1"/>
    <col min="11021" max="11022" width="12.85546875" style="561" customWidth="1"/>
    <col min="11023" max="11264" width="12.85546875" style="561"/>
    <col min="11265" max="11265" width="3.42578125" style="561" customWidth="1"/>
    <col min="11266" max="11266" width="32.85546875" style="561" customWidth="1"/>
    <col min="11267" max="11267" width="6.28515625" style="561" customWidth="1"/>
    <col min="11268" max="11274" width="12.7109375" style="561" customWidth="1"/>
    <col min="11275" max="11275" width="11.42578125" style="561" customWidth="1"/>
    <col min="11276" max="11276" width="2" style="561" customWidth="1"/>
    <col min="11277" max="11278" width="12.85546875" style="561" customWidth="1"/>
    <col min="11279" max="11520" width="12.85546875" style="561"/>
    <col min="11521" max="11521" width="3.42578125" style="561" customWidth="1"/>
    <col min="11522" max="11522" width="32.85546875" style="561" customWidth="1"/>
    <col min="11523" max="11523" width="6.28515625" style="561" customWidth="1"/>
    <col min="11524" max="11530" width="12.7109375" style="561" customWidth="1"/>
    <col min="11531" max="11531" width="11.42578125" style="561" customWidth="1"/>
    <col min="11532" max="11532" width="2" style="561" customWidth="1"/>
    <col min="11533" max="11534" width="12.85546875" style="561" customWidth="1"/>
    <col min="11535" max="11776" width="12.85546875" style="561"/>
    <col min="11777" max="11777" width="3.42578125" style="561" customWidth="1"/>
    <col min="11778" max="11778" width="32.85546875" style="561" customWidth="1"/>
    <col min="11779" max="11779" width="6.28515625" style="561" customWidth="1"/>
    <col min="11780" max="11786" width="12.7109375" style="561" customWidth="1"/>
    <col min="11787" max="11787" width="11.42578125" style="561" customWidth="1"/>
    <col min="11788" max="11788" width="2" style="561" customWidth="1"/>
    <col min="11789" max="11790" width="12.85546875" style="561" customWidth="1"/>
    <col min="11791" max="12032" width="12.85546875" style="561"/>
    <col min="12033" max="12033" width="3.42578125" style="561" customWidth="1"/>
    <col min="12034" max="12034" width="32.85546875" style="561" customWidth="1"/>
    <col min="12035" max="12035" width="6.28515625" style="561" customWidth="1"/>
    <col min="12036" max="12042" width="12.7109375" style="561" customWidth="1"/>
    <col min="12043" max="12043" width="11.42578125" style="561" customWidth="1"/>
    <col min="12044" max="12044" width="2" style="561" customWidth="1"/>
    <col min="12045" max="12046" width="12.85546875" style="561" customWidth="1"/>
    <col min="12047" max="12288" width="12.85546875" style="561"/>
    <col min="12289" max="12289" width="3.42578125" style="561" customWidth="1"/>
    <col min="12290" max="12290" width="32.85546875" style="561" customWidth="1"/>
    <col min="12291" max="12291" width="6.28515625" style="561" customWidth="1"/>
    <col min="12292" max="12298" width="12.7109375" style="561" customWidth="1"/>
    <col min="12299" max="12299" width="11.42578125" style="561" customWidth="1"/>
    <col min="12300" max="12300" width="2" style="561" customWidth="1"/>
    <col min="12301" max="12302" width="12.85546875" style="561" customWidth="1"/>
    <col min="12303" max="12544" width="12.85546875" style="561"/>
    <col min="12545" max="12545" width="3.42578125" style="561" customWidth="1"/>
    <col min="12546" max="12546" width="32.85546875" style="561" customWidth="1"/>
    <col min="12547" max="12547" width="6.28515625" style="561" customWidth="1"/>
    <col min="12548" max="12554" width="12.7109375" style="561" customWidth="1"/>
    <col min="12555" max="12555" width="11.42578125" style="561" customWidth="1"/>
    <col min="12556" max="12556" width="2" style="561" customWidth="1"/>
    <col min="12557" max="12558" width="12.85546875" style="561" customWidth="1"/>
    <col min="12559" max="12800" width="12.85546875" style="561"/>
    <col min="12801" max="12801" width="3.42578125" style="561" customWidth="1"/>
    <col min="12802" max="12802" width="32.85546875" style="561" customWidth="1"/>
    <col min="12803" max="12803" width="6.28515625" style="561" customWidth="1"/>
    <col min="12804" max="12810" width="12.7109375" style="561" customWidth="1"/>
    <col min="12811" max="12811" width="11.42578125" style="561" customWidth="1"/>
    <col min="12812" max="12812" width="2" style="561" customWidth="1"/>
    <col min="12813" max="12814" width="12.85546875" style="561" customWidth="1"/>
    <col min="12815" max="13056" width="12.85546875" style="561"/>
    <col min="13057" max="13057" width="3.42578125" style="561" customWidth="1"/>
    <col min="13058" max="13058" width="32.85546875" style="561" customWidth="1"/>
    <col min="13059" max="13059" width="6.28515625" style="561" customWidth="1"/>
    <col min="13060" max="13066" width="12.7109375" style="561" customWidth="1"/>
    <col min="13067" max="13067" width="11.42578125" style="561" customWidth="1"/>
    <col min="13068" max="13068" width="2" style="561" customWidth="1"/>
    <col min="13069" max="13070" width="12.85546875" style="561" customWidth="1"/>
    <col min="13071" max="13312" width="12.85546875" style="561"/>
    <col min="13313" max="13313" width="3.42578125" style="561" customWidth="1"/>
    <col min="13314" max="13314" width="32.85546875" style="561" customWidth="1"/>
    <col min="13315" max="13315" width="6.28515625" style="561" customWidth="1"/>
    <col min="13316" max="13322" width="12.7109375" style="561" customWidth="1"/>
    <col min="13323" max="13323" width="11.42578125" style="561" customWidth="1"/>
    <col min="13324" max="13324" width="2" style="561" customWidth="1"/>
    <col min="13325" max="13326" width="12.85546875" style="561" customWidth="1"/>
    <col min="13327" max="13568" width="12.85546875" style="561"/>
    <col min="13569" max="13569" width="3.42578125" style="561" customWidth="1"/>
    <col min="13570" max="13570" width="32.85546875" style="561" customWidth="1"/>
    <col min="13571" max="13571" width="6.28515625" style="561" customWidth="1"/>
    <col min="13572" max="13578" width="12.7109375" style="561" customWidth="1"/>
    <col min="13579" max="13579" width="11.42578125" style="561" customWidth="1"/>
    <col min="13580" max="13580" width="2" style="561" customWidth="1"/>
    <col min="13581" max="13582" width="12.85546875" style="561" customWidth="1"/>
    <col min="13583" max="13824" width="12.85546875" style="561"/>
    <col min="13825" max="13825" width="3.42578125" style="561" customWidth="1"/>
    <col min="13826" max="13826" width="32.85546875" style="561" customWidth="1"/>
    <col min="13827" max="13827" width="6.28515625" style="561" customWidth="1"/>
    <col min="13828" max="13834" width="12.7109375" style="561" customWidth="1"/>
    <col min="13835" max="13835" width="11.42578125" style="561" customWidth="1"/>
    <col min="13836" max="13836" width="2" style="561" customWidth="1"/>
    <col min="13837" max="13838" width="12.85546875" style="561" customWidth="1"/>
    <col min="13839" max="14080" width="12.85546875" style="561"/>
    <col min="14081" max="14081" width="3.42578125" style="561" customWidth="1"/>
    <col min="14082" max="14082" width="32.85546875" style="561" customWidth="1"/>
    <col min="14083" max="14083" width="6.28515625" style="561" customWidth="1"/>
    <col min="14084" max="14090" width="12.7109375" style="561" customWidth="1"/>
    <col min="14091" max="14091" width="11.42578125" style="561" customWidth="1"/>
    <col min="14092" max="14092" width="2" style="561" customWidth="1"/>
    <col min="14093" max="14094" width="12.85546875" style="561" customWidth="1"/>
    <col min="14095" max="14336" width="12.85546875" style="561"/>
    <col min="14337" max="14337" width="3.42578125" style="561" customWidth="1"/>
    <col min="14338" max="14338" width="32.85546875" style="561" customWidth="1"/>
    <col min="14339" max="14339" width="6.28515625" style="561" customWidth="1"/>
    <col min="14340" max="14346" width="12.7109375" style="561" customWidth="1"/>
    <col min="14347" max="14347" width="11.42578125" style="561" customWidth="1"/>
    <col min="14348" max="14348" width="2" style="561" customWidth="1"/>
    <col min="14349" max="14350" width="12.85546875" style="561" customWidth="1"/>
    <col min="14351" max="14592" width="12.85546875" style="561"/>
    <col min="14593" max="14593" width="3.42578125" style="561" customWidth="1"/>
    <col min="14594" max="14594" width="32.85546875" style="561" customWidth="1"/>
    <col min="14595" max="14595" width="6.28515625" style="561" customWidth="1"/>
    <col min="14596" max="14602" width="12.7109375" style="561" customWidth="1"/>
    <col min="14603" max="14603" width="11.42578125" style="561" customWidth="1"/>
    <col min="14604" max="14604" width="2" style="561" customWidth="1"/>
    <col min="14605" max="14606" width="12.85546875" style="561" customWidth="1"/>
    <col min="14607" max="14848" width="12.85546875" style="561"/>
    <col min="14849" max="14849" width="3.42578125" style="561" customWidth="1"/>
    <col min="14850" max="14850" width="32.85546875" style="561" customWidth="1"/>
    <col min="14851" max="14851" width="6.28515625" style="561" customWidth="1"/>
    <col min="14852" max="14858" width="12.7109375" style="561" customWidth="1"/>
    <col min="14859" max="14859" width="11.42578125" style="561" customWidth="1"/>
    <col min="14860" max="14860" width="2" style="561" customWidth="1"/>
    <col min="14861" max="14862" width="12.85546875" style="561" customWidth="1"/>
    <col min="14863" max="15104" width="12.85546875" style="561"/>
    <col min="15105" max="15105" width="3.42578125" style="561" customWidth="1"/>
    <col min="15106" max="15106" width="32.85546875" style="561" customWidth="1"/>
    <col min="15107" max="15107" width="6.28515625" style="561" customWidth="1"/>
    <col min="15108" max="15114" width="12.7109375" style="561" customWidth="1"/>
    <col min="15115" max="15115" width="11.42578125" style="561" customWidth="1"/>
    <col min="15116" max="15116" width="2" style="561" customWidth="1"/>
    <col min="15117" max="15118" width="12.85546875" style="561" customWidth="1"/>
    <col min="15119" max="15360" width="12.85546875" style="561"/>
    <col min="15361" max="15361" width="3.42578125" style="561" customWidth="1"/>
    <col min="15362" max="15362" width="32.85546875" style="561" customWidth="1"/>
    <col min="15363" max="15363" width="6.28515625" style="561" customWidth="1"/>
    <col min="15364" max="15370" width="12.7109375" style="561" customWidth="1"/>
    <col min="15371" max="15371" width="11.42578125" style="561" customWidth="1"/>
    <col min="15372" max="15372" width="2" style="561" customWidth="1"/>
    <col min="15373" max="15374" width="12.85546875" style="561" customWidth="1"/>
    <col min="15375" max="15616" width="12.85546875" style="561"/>
    <col min="15617" max="15617" width="3.42578125" style="561" customWidth="1"/>
    <col min="15618" max="15618" width="32.85546875" style="561" customWidth="1"/>
    <col min="15619" max="15619" width="6.28515625" style="561" customWidth="1"/>
    <col min="15620" max="15626" width="12.7109375" style="561" customWidth="1"/>
    <col min="15627" max="15627" width="11.42578125" style="561" customWidth="1"/>
    <col min="15628" max="15628" width="2" style="561" customWidth="1"/>
    <col min="15629" max="15630" width="12.85546875" style="561" customWidth="1"/>
    <col min="15631" max="15872" width="12.85546875" style="561"/>
    <col min="15873" max="15873" width="3.42578125" style="561" customWidth="1"/>
    <col min="15874" max="15874" width="32.85546875" style="561" customWidth="1"/>
    <col min="15875" max="15875" width="6.28515625" style="561" customWidth="1"/>
    <col min="15876" max="15882" width="12.7109375" style="561" customWidth="1"/>
    <col min="15883" max="15883" width="11.42578125" style="561" customWidth="1"/>
    <col min="15884" max="15884" width="2" style="561" customWidth="1"/>
    <col min="15885" max="15886" width="12.85546875" style="561" customWidth="1"/>
    <col min="15887" max="16128" width="12.85546875" style="561"/>
    <col min="16129" max="16129" width="3.42578125" style="561" customWidth="1"/>
    <col min="16130" max="16130" width="32.85546875" style="561" customWidth="1"/>
    <col min="16131" max="16131" width="6.28515625" style="561" customWidth="1"/>
    <col min="16132" max="16138" width="12.7109375" style="561" customWidth="1"/>
    <col min="16139" max="16139" width="11.42578125" style="561" customWidth="1"/>
    <col min="16140" max="16140" width="2" style="561" customWidth="1"/>
    <col min="16141" max="16142" width="12.85546875" style="561" customWidth="1"/>
    <col min="16143" max="16384" width="12.85546875" style="561"/>
  </cols>
  <sheetData>
    <row r="1" spans="1:20" s="551" customFormat="1" ht="31.5" x14ac:dyDescent="0.35">
      <c r="A1" s="681" t="str">
        <f>Konti_MS!C7</f>
        <v>MS  . . .</v>
      </c>
      <c r="B1" s="552"/>
      <c r="C1" s="553"/>
      <c r="D1" s="550"/>
      <c r="E1" s="550"/>
      <c r="F1" s="554"/>
      <c r="G1" s="554"/>
      <c r="H1" s="554"/>
      <c r="I1" s="555"/>
      <c r="J1" s="632" t="str">
        <f>"Schuljahr 20"&amp;RIGHT(Konti_MS!H1,5)</f>
        <v>Schuljahr 2024/25</v>
      </c>
      <c r="M1" s="556"/>
      <c r="N1" s="556"/>
      <c r="T1" s="557"/>
    </row>
    <row r="2" spans="1:20" ht="28.5" x14ac:dyDescent="0.25">
      <c r="A2" s="978" t="s">
        <v>721</v>
      </c>
      <c r="B2" s="979"/>
      <c r="C2" s="979"/>
      <c r="D2" s="979"/>
      <c r="E2" s="979"/>
      <c r="F2" s="979"/>
      <c r="G2" s="979"/>
      <c r="H2" s="979"/>
      <c r="I2" s="979"/>
      <c r="J2" s="979"/>
      <c r="K2" s="558"/>
      <c r="L2" s="559"/>
      <c r="N2" s="561"/>
    </row>
    <row r="3" spans="1:20" ht="28.5" x14ac:dyDescent="0.25">
      <c r="A3" s="986" t="str">
        <f>"die zum 01.09.20"&amp;RIGHT(J1,2)-1&amp;" voraussichtlich bei uns unterrichten:"</f>
        <v>die zum 01.09.2024 voraussichtlich bei uns unterrichten:</v>
      </c>
      <c r="B3" s="979"/>
      <c r="C3" s="979"/>
      <c r="D3" s="979"/>
      <c r="E3" s="979"/>
      <c r="F3" s="979"/>
      <c r="G3" s="979"/>
      <c r="H3" s="979"/>
      <c r="I3" s="979"/>
      <c r="J3" s="979"/>
      <c r="K3" s="558"/>
      <c r="L3" s="559"/>
      <c r="N3" s="561"/>
    </row>
    <row r="4" spans="1:20" s="549" customFormat="1" ht="135.75" customHeight="1" x14ac:dyDescent="0.4">
      <c r="A4" s="562"/>
      <c r="B4" s="563" t="s">
        <v>678</v>
      </c>
      <c r="C4" s="564"/>
      <c r="D4" s="565" t="s">
        <v>872</v>
      </c>
      <c r="E4" s="566" t="s">
        <v>674</v>
      </c>
      <c r="F4" s="565" t="s">
        <v>675</v>
      </c>
      <c r="G4" s="565" t="s">
        <v>679</v>
      </c>
      <c r="H4" s="566" t="s">
        <v>695</v>
      </c>
      <c r="I4" s="567" t="s">
        <v>680</v>
      </c>
      <c r="J4" s="568" t="s">
        <v>681</v>
      </c>
    </row>
    <row r="5" spans="1:20" s="575" customFormat="1" ht="3.75" customHeight="1" thickBot="1" x14ac:dyDescent="0.3">
      <c r="A5" s="569"/>
      <c r="B5" s="570"/>
      <c r="C5" s="571"/>
      <c r="D5" s="572"/>
      <c r="E5" s="572"/>
      <c r="F5" s="572"/>
      <c r="G5" s="572"/>
      <c r="H5" s="572"/>
      <c r="I5" s="573"/>
      <c r="J5" s="571"/>
      <c r="K5" s="574"/>
    </row>
    <row r="6" spans="1:20" s="549" customFormat="1" ht="21.75" customHeight="1" thickTop="1" x14ac:dyDescent="0.25">
      <c r="A6" s="980"/>
      <c r="B6" s="981"/>
      <c r="C6" s="982"/>
      <c r="D6" s="576"/>
      <c r="E6" s="576"/>
      <c r="F6" s="577"/>
      <c r="G6" s="577"/>
      <c r="H6" s="577"/>
      <c r="I6" s="578"/>
      <c r="J6" s="579"/>
      <c r="K6" s="580"/>
    </row>
    <row r="7" spans="1:20" s="549" customFormat="1" ht="21.75" customHeight="1" x14ac:dyDescent="0.25">
      <c r="A7" s="983"/>
      <c r="B7" s="984"/>
      <c r="C7" s="985"/>
      <c r="D7" s="581"/>
      <c r="E7" s="581"/>
      <c r="F7" s="582"/>
      <c r="G7" s="582"/>
      <c r="H7" s="582"/>
      <c r="I7" s="583"/>
      <c r="J7" s="584"/>
      <c r="K7" s="580"/>
    </row>
    <row r="8" spans="1:20" s="549" customFormat="1" ht="21.75" customHeight="1" x14ac:dyDescent="0.25">
      <c r="A8" s="983"/>
      <c r="B8" s="984"/>
      <c r="C8" s="985"/>
      <c r="D8" s="581"/>
      <c r="E8" s="581"/>
      <c r="F8" s="582"/>
      <c r="G8" s="582"/>
      <c r="H8" s="582"/>
      <c r="I8" s="583"/>
      <c r="J8" s="584"/>
      <c r="K8" s="580"/>
    </row>
    <row r="9" spans="1:20" s="549" customFormat="1" ht="21.75" customHeight="1" x14ac:dyDescent="0.25">
      <c r="A9" s="983"/>
      <c r="B9" s="984"/>
      <c r="C9" s="985"/>
      <c r="D9" s="581"/>
      <c r="E9" s="581"/>
      <c r="F9" s="582"/>
      <c r="G9" s="582"/>
      <c r="H9" s="582"/>
      <c r="I9" s="583"/>
      <c r="J9" s="584"/>
      <c r="K9" s="580"/>
    </row>
    <row r="10" spans="1:20" s="549" customFormat="1" ht="21.75" customHeight="1" x14ac:dyDescent="0.25">
      <c r="A10" s="983"/>
      <c r="B10" s="984"/>
      <c r="C10" s="985"/>
      <c r="D10" s="581"/>
      <c r="E10" s="581"/>
      <c r="F10" s="582"/>
      <c r="G10" s="582"/>
      <c r="H10" s="582"/>
      <c r="I10" s="583"/>
      <c r="J10" s="584"/>
      <c r="K10" s="580"/>
    </row>
    <row r="11" spans="1:20" s="549" customFormat="1" ht="21.75" customHeight="1" x14ac:dyDescent="0.25">
      <c r="A11" s="983"/>
      <c r="B11" s="984"/>
      <c r="C11" s="985"/>
      <c r="D11" s="581"/>
      <c r="E11" s="581"/>
      <c r="F11" s="582"/>
      <c r="G11" s="582"/>
      <c r="H11" s="582"/>
      <c r="I11" s="583"/>
      <c r="J11" s="584"/>
      <c r="K11" s="580"/>
    </row>
    <row r="12" spans="1:20" s="549" customFormat="1" ht="27" customHeight="1" x14ac:dyDescent="0.25">
      <c r="A12" s="585"/>
      <c r="B12" s="585"/>
      <c r="C12" s="585"/>
      <c r="D12" s="586"/>
      <c r="E12" s="586"/>
      <c r="F12" s="587"/>
      <c r="G12" s="587"/>
      <c r="H12" s="587"/>
      <c r="I12" s="588"/>
      <c r="J12" s="586"/>
      <c r="K12" s="585"/>
      <c r="L12" s="585"/>
    </row>
    <row r="13" spans="1:20" ht="31.5" x14ac:dyDescent="0.45">
      <c r="A13" s="589" t="s">
        <v>682</v>
      </c>
      <c r="B13" s="590"/>
      <c r="C13" s="591"/>
      <c r="D13" s="591"/>
      <c r="E13" s="591"/>
      <c r="F13" s="591"/>
      <c r="G13" s="591"/>
      <c r="H13" s="591"/>
      <c r="I13" s="591"/>
      <c r="J13" s="591"/>
      <c r="K13" s="592"/>
      <c r="L13" s="593"/>
      <c r="M13" s="594"/>
      <c r="N13" s="594"/>
    </row>
    <row r="14" spans="1:20" ht="12" customHeight="1" x14ac:dyDescent="0.45">
      <c r="A14" s="595"/>
      <c r="B14" s="596"/>
      <c r="C14" s="597"/>
      <c r="D14" s="597"/>
      <c r="E14" s="597"/>
      <c r="F14" s="597"/>
      <c r="G14" s="597"/>
      <c r="H14" s="597"/>
      <c r="I14" s="597"/>
      <c r="J14" s="597"/>
      <c r="K14" s="592"/>
      <c r="L14" s="593"/>
      <c r="M14" s="594"/>
      <c r="N14" s="594"/>
    </row>
    <row r="15" spans="1:20" s="599" customFormat="1" ht="21.75" thickBot="1" x14ac:dyDescent="0.4">
      <c r="A15" s="630"/>
      <c r="B15" s="598" t="s">
        <v>683</v>
      </c>
    </row>
    <row r="16" spans="1:20" s="601" customFormat="1" ht="21.75" thickTop="1" x14ac:dyDescent="0.35">
      <c r="A16" s="600"/>
      <c r="F16" s="599"/>
    </row>
    <row r="17" spans="1:15" s="599" customFormat="1" ht="21.75" thickBot="1" x14ac:dyDescent="0.4">
      <c r="A17" s="630"/>
      <c r="B17" s="598" t="s">
        <v>684</v>
      </c>
    </row>
    <row r="18" spans="1:15" s="600" customFormat="1" ht="19.5" thickTop="1" x14ac:dyDescent="0.3">
      <c r="B18" s="600" t="s">
        <v>868</v>
      </c>
    </row>
    <row r="19" spans="1:15" s="600" customFormat="1" ht="18.75" x14ac:dyDescent="0.3">
      <c r="B19" s="600" t="s">
        <v>685</v>
      </c>
    </row>
    <row r="20" spans="1:15" s="600" customFormat="1" ht="26.25" x14ac:dyDescent="0.4">
      <c r="A20" s="602"/>
      <c r="B20" s="598" t="s">
        <v>686</v>
      </c>
      <c r="C20" s="603"/>
      <c r="D20" s="604"/>
    </row>
    <row r="21" spans="1:15" s="600" customFormat="1" ht="26.25" x14ac:dyDescent="0.4">
      <c r="A21" s="602"/>
      <c r="B21" s="944"/>
      <c r="C21" s="945"/>
      <c r="D21" s="945"/>
      <c r="E21" s="945"/>
      <c r="F21" s="945"/>
      <c r="G21" s="945"/>
      <c r="H21" s="945"/>
      <c r="I21" s="945"/>
      <c r="J21" s="945"/>
      <c r="K21" s="946"/>
    </row>
    <row r="22" spans="1:15" s="600" customFormat="1" ht="26.25" x14ac:dyDescent="0.4">
      <c r="A22" s="602"/>
      <c r="B22" s="947"/>
      <c r="C22" s="948"/>
      <c r="D22" s="948"/>
      <c r="E22" s="948"/>
      <c r="F22" s="948"/>
      <c r="G22" s="948"/>
      <c r="H22" s="948"/>
      <c r="I22" s="948"/>
      <c r="J22" s="948"/>
      <c r="K22" s="949"/>
    </row>
    <row r="23" spans="1:15" s="600" customFormat="1" ht="26.25" x14ac:dyDescent="0.4">
      <c r="A23" s="602"/>
      <c r="B23" s="950"/>
      <c r="C23" s="951"/>
      <c r="D23" s="951"/>
      <c r="E23" s="951"/>
      <c r="F23" s="951"/>
      <c r="G23" s="951"/>
      <c r="H23" s="951"/>
      <c r="I23" s="951"/>
      <c r="J23" s="951"/>
      <c r="K23" s="952"/>
    </row>
    <row r="24" spans="1:15" s="605" customFormat="1" ht="17.25" customHeight="1" thickBot="1" x14ac:dyDescent="0.3">
      <c r="C24" s="606"/>
      <c r="I24" s="607"/>
      <c r="J24" s="608"/>
      <c r="K24" s="608"/>
      <c r="L24" s="608"/>
      <c r="M24" s="609"/>
      <c r="N24" s="609"/>
      <c r="O24" s="610"/>
    </row>
    <row r="25" spans="1:15" ht="26.25" customHeight="1" thickBot="1" x14ac:dyDescent="0.3">
      <c r="A25" s="630"/>
      <c r="B25" s="616"/>
      <c r="C25" s="617"/>
      <c r="D25" s="955" t="s">
        <v>688</v>
      </c>
      <c r="E25" s="957" t="s">
        <v>694</v>
      </c>
      <c r="F25" s="959" t="s">
        <v>689</v>
      </c>
      <c r="G25" s="953" t="s">
        <v>693</v>
      </c>
      <c r="H25" s="955" t="s">
        <v>690</v>
      </c>
      <c r="I25" s="957" t="s">
        <v>692</v>
      </c>
      <c r="J25" s="953" t="s">
        <v>691</v>
      </c>
      <c r="K25" s="942" t="s">
        <v>696</v>
      </c>
      <c r="M25" s="561"/>
      <c r="N25" s="561"/>
    </row>
    <row r="26" spans="1:15" ht="84.75" customHeight="1" thickTop="1" thickBot="1" x14ac:dyDescent="0.3">
      <c r="A26" s="974" t="s">
        <v>687</v>
      </c>
      <c r="B26" s="975"/>
      <c r="C26" s="975"/>
      <c r="D26" s="956"/>
      <c r="E26" s="958"/>
      <c r="F26" s="960"/>
      <c r="G26" s="954"/>
      <c r="H26" s="956"/>
      <c r="I26" s="958"/>
      <c r="J26" s="954"/>
      <c r="K26" s="943"/>
      <c r="M26" s="561"/>
      <c r="N26" s="561"/>
    </row>
    <row r="27" spans="1:15" ht="21" customHeight="1" thickTop="1" x14ac:dyDescent="0.25">
      <c r="A27" s="976"/>
      <c r="B27" s="977"/>
      <c r="C27" s="977"/>
      <c r="D27" s="618"/>
      <c r="E27" s="619"/>
      <c r="F27" s="624"/>
      <c r="G27" s="625"/>
      <c r="H27" s="618"/>
      <c r="I27" s="619"/>
      <c r="J27" s="840"/>
      <c r="K27" s="854">
        <f>E27+G27+I27+J27</f>
        <v>0</v>
      </c>
      <c r="L27" s="612"/>
      <c r="M27" s="612"/>
      <c r="N27" s="612"/>
      <c r="O27" s="612"/>
    </row>
    <row r="28" spans="1:15" ht="21" customHeight="1" x14ac:dyDescent="0.25">
      <c r="A28" s="961"/>
      <c r="B28" s="962"/>
      <c r="C28" s="962"/>
      <c r="D28" s="620"/>
      <c r="E28" s="621"/>
      <c r="F28" s="626"/>
      <c r="G28" s="627"/>
      <c r="H28" s="620"/>
      <c r="I28" s="621"/>
      <c r="J28" s="841"/>
      <c r="K28" s="855">
        <f t="shared" ref="K28:K37" si="0">E28+G28+I28+J28</f>
        <v>0</v>
      </c>
      <c r="L28" s="612"/>
      <c r="M28" s="612"/>
      <c r="N28" s="612"/>
      <c r="O28" s="612"/>
    </row>
    <row r="29" spans="1:15" ht="21" customHeight="1" x14ac:dyDescent="0.25">
      <c r="A29" s="961"/>
      <c r="B29" s="962"/>
      <c r="C29" s="962"/>
      <c r="D29" s="620"/>
      <c r="E29" s="621"/>
      <c r="F29" s="626"/>
      <c r="G29" s="627"/>
      <c r="H29" s="620"/>
      <c r="I29" s="621"/>
      <c r="J29" s="841"/>
      <c r="K29" s="855">
        <f t="shared" si="0"/>
        <v>0</v>
      </c>
      <c r="L29" s="612"/>
      <c r="M29" s="612"/>
      <c r="N29" s="612"/>
      <c r="O29" s="612"/>
    </row>
    <row r="30" spans="1:15" ht="21" customHeight="1" x14ac:dyDescent="0.25">
      <c r="A30" s="961"/>
      <c r="B30" s="962"/>
      <c r="C30" s="962"/>
      <c r="D30" s="620"/>
      <c r="E30" s="621"/>
      <c r="F30" s="626"/>
      <c r="G30" s="627"/>
      <c r="H30" s="620"/>
      <c r="I30" s="621"/>
      <c r="J30" s="841"/>
      <c r="K30" s="855">
        <f t="shared" si="0"/>
        <v>0</v>
      </c>
      <c r="L30" s="612"/>
      <c r="M30" s="612"/>
      <c r="N30" s="612"/>
      <c r="O30" s="612"/>
    </row>
    <row r="31" spans="1:15" ht="21" customHeight="1" x14ac:dyDescent="0.25">
      <c r="A31" s="961"/>
      <c r="B31" s="962"/>
      <c r="C31" s="962"/>
      <c r="D31" s="620"/>
      <c r="E31" s="621"/>
      <c r="F31" s="626"/>
      <c r="G31" s="627"/>
      <c r="H31" s="620"/>
      <c r="I31" s="621"/>
      <c r="J31" s="841"/>
      <c r="K31" s="855">
        <f t="shared" si="0"/>
        <v>0</v>
      </c>
      <c r="L31" s="612"/>
      <c r="M31" s="612"/>
      <c r="N31" s="612"/>
      <c r="O31" s="612"/>
    </row>
    <row r="32" spans="1:15" ht="21" customHeight="1" x14ac:dyDescent="0.25">
      <c r="A32" s="961"/>
      <c r="B32" s="962"/>
      <c r="C32" s="962"/>
      <c r="D32" s="620"/>
      <c r="E32" s="621"/>
      <c r="F32" s="626"/>
      <c r="G32" s="627"/>
      <c r="H32" s="620"/>
      <c r="I32" s="621"/>
      <c r="J32" s="841"/>
      <c r="K32" s="855">
        <f t="shared" si="0"/>
        <v>0</v>
      </c>
      <c r="L32" s="612"/>
      <c r="M32" s="612"/>
      <c r="N32" s="612"/>
      <c r="O32" s="612"/>
    </row>
    <row r="33" spans="1:15" ht="21" customHeight="1" x14ac:dyDescent="0.25">
      <c r="A33" s="961"/>
      <c r="B33" s="962"/>
      <c r="C33" s="962"/>
      <c r="D33" s="620"/>
      <c r="E33" s="621"/>
      <c r="F33" s="626"/>
      <c r="G33" s="627"/>
      <c r="H33" s="620"/>
      <c r="I33" s="621"/>
      <c r="J33" s="841"/>
      <c r="K33" s="855">
        <f t="shared" si="0"/>
        <v>0</v>
      </c>
      <c r="L33" s="612"/>
      <c r="M33" s="612"/>
      <c r="N33" s="612"/>
      <c r="O33" s="612"/>
    </row>
    <row r="34" spans="1:15" ht="21" customHeight="1" x14ac:dyDescent="0.25">
      <c r="A34" s="961"/>
      <c r="B34" s="962"/>
      <c r="C34" s="962"/>
      <c r="D34" s="620"/>
      <c r="E34" s="621"/>
      <c r="F34" s="626"/>
      <c r="G34" s="627"/>
      <c r="H34" s="620"/>
      <c r="I34" s="621"/>
      <c r="J34" s="841"/>
      <c r="K34" s="855">
        <f t="shared" si="0"/>
        <v>0</v>
      </c>
      <c r="L34" s="612"/>
      <c r="M34" s="612"/>
      <c r="N34" s="612"/>
      <c r="O34" s="612"/>
    </row>
    <row r="35" spans="1:15" ht="21" customHeight="1" x14ac:dyDescent="0.25">
      <c r="A35" s="961"/>
      <c r="B35" s="962"/>
      <c r="C35" s="962"/>
      <c r="D35" s="620"/>
      <c r="E35" s="621"/>
      <c r="F35" s="626"/>
      <c r="G35" s="627"/>
      <c r="H35" s="620"/>
      <c r="I35" s="621"/>
      <c r="J35" s="841"/>
      <c r="K35" s="855">
        <f t="shared" si="0"/>
        <v>0</v>
      </c>
      <c r="L35" s="612"/>
      <c r="M35" s="612"/>
      <c r="N35" s="612"/>
      <c r="O35" s="612"/>
    </row>
    <row r="36" spans="1:15" ht="21" customHeight="1" x14ac:dyDescent="0.25">
      <c r="A36" s="961"/>
      <c r="B36" s="962"/>
      <c r="C36" s="962"/>
      <c r="D36" s="620"/>
      <c r="E36" s="621"/>
      <c r="F36" s="626"/>
      <c r="G36" s="627"/>
      <c r="H36" s="620"/>
      <c r="I36" s="621"/>
      <c r="J36" s="841"/>
      <c r="K36" s="855">
        <f t="shared" si="0"/>
        <v>0</v>
      </c>
      <c r="L36" s="612"/>
      <c r="M36" s="612"/>
      <c r="N36" s="612"/>
      <c r="O36" s="612"/>
    </row>
    <row r="37" spans="1:15" ht="21" customHeight="1" thickBot="1" x14ac:dyDescent="0.3">
      <c r="A37" s="963"/>
      <c r="B37" s="964"/>
      <c r="C37" s="964"/>
      <c r="D37" s="622"/>
      <c r="E37" s="623"/>
      <c r="F37" s="628"/>
      <c r="G37" s="629"/>
      <c r="H37" s="622"/>
      <c r="I37" s="623"/>
      <c r="J37" s="842"/>
      <c r="K37" s="856">
        <f t="shared" si="0"/>
        <v>0</v>
      </c>
      <c r="L37" s="612"/>
      <c r="M37" s="612"/>
      <c r="N37" s="612"/>
      <c r="O37" s="612"/>
    </row>
    <row r="38" spans="1:15" ht="66" customHeight="1" x14ac:dyDescent="0.25">
      <c r="A38" s="611"/>
      <c r="B38" s="611"/>
      <c r="C38" s="611"/>
      <c r="D38" s="611"/>
      <c r="E38" s="611"/>
      <c r="F38" s="611"/>
      <c r="G38" s="611"/>
      <c r="H38" s="611"/>
      <c r="I38" s="611"/>
      <c r="J38" s="611"/>
      <c r="K38" s="613"/>
      <c r="M38" s="561"/>
      <c r="N38" s="561"/>
    </row>
    <row r="39" spans="1:15" x14ac:dyDescent="0.25">
      <c r="B39" s="965"/>
      <c r="C39" s="966"/>
      <c r="D39" s="966"/>
      <c r="E39" s="966"/>
      <c r="F39" s="966"/>
      <c r="G39" s="966"/>
      <c r="H39" s="966"/>
      <c r="I39" s="966"/>
      <c r="J39" s="967"/>
      <c r="K39" s="614"/>
      <c r="L39" s="614"/>
      <c r="M39" s="615"/>
      <c r="N39" s="615"/>
      <c r="O39" s="614"/>
    </row>
    <row r="40" spans="1:15" x14ac:dyDescent="0.25">
      <c r="B40" s="968"/>
      <c r="C40" s="969"/>
      <c r="D40" s="969"/>
      <c r="E40" s="969"/>
      <c r="F40" s="969"/>
      <c r="G40" s="969"/>
      <c r="H40" s="969"/>
      <c r="I40" s="969"/>
      <c r="J40" s="970"/>
    </row>
    <row r="41" spans="1:15" x14ac:dyDescent="0.25">
      <c r="B41" s="968"/>
      <c r="C41" s="969"/>
      <c r="D41" s="969"/>
      <c r="E41" s="969"/>
      <c r="F41" s="969"/>
      <c r="G41" s="969"/>
      <c r="H41" s="969"/>
      <c r="I41" s="969"/>
      <c r="J41" s="970"/>
    </row>
    <row r="42" spans="1:15" x14ac:dyDescent="0.25">
      <c r="B42" s="968"/>
      <c r="C42" s="969"/>
      <c r="D42" s="969"/>
      <c r="E42" s="969"/>
      <c r="F42" s="969"/>
      <c r="G42" s="969"/>
      <c r="H42" s="969"/>
      <c r="I42" s="969"/>
      <c r="J42" s="970"/>
    </row>
    <row r="43" spans="1:15" x14ac:dyDescent="0.25">
      <c r="B43" s="968"/>
      <c r="C43" s="969"/>
      <c r="D43" s="969"/>
      <c r="E43" s="969"/>
      <c r="F43" s="969"/>
      <c r="G43" s="969"/>
      <c r="H43" s="969"/>
      <c r="I43" s="969"/>
      <c r="J43" s="970"/>
    </row>
    <row r="44" spans="1:15" x14ac:dyDescent="0.25">
      <c r="B44" s="968"/>
      <c r="C44" s="969"/>
      <c r="D44" s="969"/>
      <c r="E44" s="969"/>
      <c r="F44" s="969"/>
      <c r="G44" s="969"/>
      <c r="H44" s="969"/>
      <c r="I44" s="969"/>
      <c r="J44" s="970"/>
    </row>
    <row r="45" spans="1:15" x14ac:dyDescent="0.25">
      <c r="B45" s="968"/>
      <c r="C45" s="969"/>
      <c r="D45" s="969"/>
      <c r="E45" s="969"/>
      <c r="F45" s="969"/>
      <c r="G45" s="969"/>
      <c r="H45" s="969"/>
      <c r="I45" s="969"/>
      <c r="J45" s="970"/>
    </row>
    <row r="46" spans="1:15" x14ac:dyDescent="0.25">
      <c r="B46" s="968"/>
      <c r="C46" s="969"/>
      <c r="D46" s="969"/>
      <c r="E46" s="969"/>
      <c r="F46" s="969"/>
      <c r="G46" s="969"/>
      <c r="H46" s="969"/>
      <c r="I46" s="969"/>
      <c r="J46" s="970"/>
    </row>
    <row r="47" spans="1:15" x14ac:dyDescent="0.25">
      <c r="B47" s="968"/>
      <c r="C47" s="969"/>
      <c r="D47" s="969"/>
      <c r="E47" s="969"/>
      <c r="F47" s="969"/>
      <c r="G47" s="969"/>
      <c r="H47" s="969"/>
      <c r="I47" s="969"/>
      <c r="J47" s="970"/>
    </row>
    <row r="48" spans="1:15" x14ac:dyDescent="0.25">
      <c r="B48" s="968"/>
      <c r="C48" s="969"/>
      <c r="D48" s="969"/>
      <c r="E48" s="969"/>
      <c r="F48" s="969"/>
      <c r="G48" s="969"/>
      <c r="H48" s="969"/>
      <c r="I48" s="969"/>
      <c r="J48" s="970"/>
    </row>
    <row r="49" spans="2:10" x14ac:dyDescent="0.25">
      <c r="B49" s="968"/>
      <c r="C49" s="969"/>
      <c r="D49" s="969"/>
      <c r="E49" s="969"/>
      <c r="F49" s="969"/>
      <c r="G49" s="969"/>
      <c r="H49" s="969"/>
      <c r="I49" s="969"/>
      <c r="J49" s="970"/>
    </row>
    <row r="50" spans="2:10" x14ac:dyDescent="0.25">
      <c r="B50" s="968"/>
      <c r="C50" s="969"/>
      <c r="D50" s="969"/>
      <c r="E50" s="969"/>
      <c r="F50" s="969"/>
      <c r="G50" s="969"/>
      <c r="H50" s="969"/>
      <c r="I50" s="969"/>
      <c r="J50" s="970"/>
    </row>
    <row r="51" spans="2:10" x14ac:dyDescent="0.25">
      <c r="B51" s="968"/>
      <c r="C51" s="969"/>
      <c r="D51" s="969"/>
      <c r="E51" s="969"/>
      <c r="F51" s="969"/>
      <c r="G51" s="969"/>
      <c r="H51" s="969"/>
      <c r="I51" s="969"/>
      <c r="J51" s="970"/>
    </row>
    <row r="52" spans="2:10" x14ac:dyDescent="0.25">
      <c r="B52" s="971"/>
      <c r="C52" s="972"/>
      <c r="D52" s="972"/>
      <c r="E52" s="972"/>
      <c r="F52" s="972"/>
      <c r="G52" s="972"/>
      <c r="H52" s="972"/>
      <c r="I52" s="972"/>
      <c r="J52" s="973"/>
    </row>
    <row r="53" spans="2:10" x14ac:dyDescent="0.25"/>
    <row r="54" spans="2:10" hidden="1" x14ac:dyDescent="0.25"/>
    <row r="55" spans="2:10" hidden="1" x14ac:dyDescent="0.25"/>
    <row r="56" spans="2:10" hidden="1" x14ac:dyDescent="0.25"/>
    <row r="57" spans="2:10" hidden="1" x14ac:dyDescent="0.25"/>
    <row r="58" spans="2:10" hidden="1" x14ac:dyDescent="0.25"/>
    <row r="59" spans="2:10" hidden="1" x14ac:dyDescent="0.25"/>
    <row r="60" spans="2:10" hidden="1" x14ac:dyDescent="0.25"/>
    <row r="61" spans="2:10" hidden="1" x14ac:dyDescent="0.25"/>
    <row r="62" spans="2:10" hidden="1" x14ac:dyDescent="0.25"/>
    <row r="63" spans="2:10" hidden="1" x14ac:dyDescent="0.25"/>
    <row r="64" spans="2:10"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t="15" hidden="1" customHeight="1" x14ac:dyDescent="0.25"/>
  </sheetData>
  <sheetProtection algorithmName="SHA-512" hashValue="ZnZsvIX+05R8DM08XiADgRg1xerr9x7/ye8lel+da4mkNupoJKt5VuweWOm54M+ArY6mdXjUXbjKbQlI3ec3/A==" saltValue="VkQ6VGdbIJjcBAp75Pb1wA==" spinCount="100000" sheet="1" formatRows="0"/>
  <mergeCells count="30">
    <mergeCell ref="A2:J2"/>
    <mergeCell ref="A6:C6"/>
    <mergeCell ref="A10:C10"/>
    <mergeCell ref="A11:C11"/>
    <mergeCell ref="A3:J3"/>
    <mergeCell ref="A7:C7"/>
    <mergeCell ref="A8:C8"/>
    <mergeCell ref="A9:C9"/>
    <mergeCell ref="A33:C33"/>
    <mergeCell ref="A32:C32"/>
    <mergeCell ref="A31:C31"/>
    <mergeCell ref="A26:C26"/>
    <mergeCell ref="A27:C27"/>
    <mergeCell ref="A28:C28"/>
    <mergeCell ref="A30:C30"/>
    <mergeCell ref="A29:C29"/>
    <mergeCell ref="A35:C35"/>
    <mergeCell ref="A36:C36"/>
    <mergeCell ref="A37:C37"/>
    <mergeCell ref="B39:J52"/>
    <mergeCell ref="A34:C34"/>
    <mergeCell ref="K25:K26"/>
    <mergeCell ref="B21:K23"/>
    <mergeCell ref="G25:G26"/>
    <mergeCell ref="H25:H26"/>
    <mergeCell ref="I25:I26"/>
    <mergeCell ref="J25:J26"/>
    <mergeCell ref="D25:D26"/>
    <mergeCell ref="E25:E26"/>
    <mergeCell ref="F25:F26"/>
  </mergeCells>
  <dataValidations count="3">
    <dataValidation type="decimal" allowBlank="1" showInputMessage="1" showErrorMessage="1" sqref="JA27:JB37 SW27:SX37 ACS27:ACT37 AMO27:AMP37 AWK27:AWL37 BGG27:BGH37 BQC27:BQD37 BZY27:BZZ37 CJU27:CJV37 CTQ27:CTR37 DDM27:DDN37 DNI27:DNJ37 DXE27:DXF37 EHA27:EHB37 EQW27:EQX37 FAS27:FAT37 FKO27:FKP37 FUK27:FUL37 GEG27:GEH37 GOC27:GOD37 GXY27:GXZ37 HHU27:HHV37 HRQ27:HRR37 IBM27:IBN37 ILI27:ILJ37 IVE27:IVF37 JFA27:JFB37 JOW27:JOX37 JYS27:JYT37 KIO27:KIP37 KSK27:KSL37 LCG27:LCH37 LMC27:LMD37 LVY27:LVZ37 MFU27:MFV37 MPQ27:MPR37 MZM27:MZN37 NJI27:NJJ37 NTE27:NTF37 ODA27:ODB37 OMW27:OMX37 OWS27:OWT37 PGO27:PGP37 PQK27:PQL37 QAG27:QAH37 QKC27:QKD37 QTY27:QTZ37 RDU27:RDV37 RNQ27:RNR37 RXM27:RXN37 SHI27:SHJ37 SRE27:SRF37 TBA27:TBB37 TKW27:TKX37 TUS27:TUT37 UEO27:UEP37 UOK27:UOL37 UYG27:UYH37 VIC27:VID37 VRY27:VRZ37 WBU27:WBV37 WLQ27:WLR37 WVM27:WVN37 E65563:F65573 JA65563:JB65573 SW65563:SX65573 ACS65563:ACT65573 AMO65563:AMP65573 AWK65563:AWL65573 BGG65563:BGH65573 BQC65563:BQD65573 BZY65563:BZZ65573 CJU65563:CJV65573 CTQ65563:CTR65573 DDM65563:DDN65573 DNI65563:DNJ65573 DXE65563:DXF65573 EHA65563:EHB65573 EQW65563:EQX65573 FAS65563:FAT65573 FKO65563:FKP65573 FUK65563:FUL65573 GEG65563:GEH65573 GOC65563:GOD65573 GXY65563:GXZ65573 HHU65563:HHV65573 HRQ65563:HRR65573 IBM65563:IBN65573 ILI65563:ILJ65573 IVE65563:IVF65573 JFA65563:JFB65573 JOW65563:JOX65573 JYS65563:JYT65573 KIO65563:KIP65573 KSK65563:KSL65573 LCG65563:LCH65573 LMC65563:LMD65573 LVY65563:LVZ65573 MFU65563:MFV65573 MPQ65563:MPR65573 MZM65563:MZN65573 NJI65563:NJJ65573 NTE65563:NTF65573 ODA65563:ODB65573 OMW65563:OMX65573 OWS65563:OWT65573 PGO65563:PGP65573 PQK65563:PQL65573 QAG65563:QAH65573 QKC65563:QKD65573 QTY65563:QTZ65573 RDU65563:RDV65573 RNQ65563:RNR65573 RXM65563:RXN65573 SHI65563:SHJ65573 SRE65563:SRF65573 TBA65563:TBB65573 TKW65563:TKX65573 TUS65563:TUT65573 UEO65563:UEP65573 UOK65563:UOL65573 UYG65563:UYH65573 VIC65563:VID65573 VRY65563:VRZ65573 WBU65563:WBV65573 WLQ65563:WLR65573 WVM65563:WVN65573 E131099:F131109 JA131099:JB131109 SW131099:SX131109 ACS131099:ACT131109 AMO131099:AMP131109 AWK131099:AWL131109 BGG131099:BGH131109 BQC131099:BQD131109 BZY131099:BZZ131109 CJU131099:CJV131109 CTQ131099:CTR131109 DDM131099:DDN131109 DNI131099:DNJ131109 DXE131099:DXF131109 EHA131099:EHB131109 EQW131099:EQX131109 FAS131099:FAT131109 FKO131099:FKP131109 FUK131099:FUL131109 GEG131099:GEH131109 GOC131099:GOD131109 GXY131099:GXZ131109 HHU131099:HHV131109 HRQ131099:HRR131109 IBM131099:IBN131109 ILI131099:ILJ131109 IVE131099:IVF131109 JFA131099:JFB131109 JOW131099:JOX131109 JYS131099:JYT131109 KIO131099:KIP131109 KSK131099:KSL131109 LCG131099:LCH131109 LMC131099:LMD131109 LVY131099:LVZ131109 MFU131099:MFV131109 MPQ131099:MPR131109 MZM131099:MZN131109 NJI131099:NJJ131109 NTE131099:NTF131109 ODA131099:ODB131109 OMW131099:OMX131109 OWS131099:OWT131109 PGO131099:PGP131109 PQK131099:PQL131109 QAG131099:QAH131109 QKC131099:QKD131109 QTY131099:QTZ131109 RDU131099:RDV131109 RNQ131099:RNR131109 RXM131099:RXN131109 SHI131099:SHJ131109 SRE131099:SRF131109 TBA131099:TBB131109 TKW131099:TKX131109 TUS131099:TUT131109 UEO131099:UEP131109 UOK131099:UOL131109 UYG131099:UYH131109 VIC131099:VID131109 VRY131099:VRZ131109 WBU131099:WBV131109 WLQ131099:WLR131109 WVM131099:WVN131109 E196635:F196645 JA196635:JB196645 SW196635:SX196645 ACS196635:ACT196645 AMO196635:AMP196645 AWK196635:AWL196645 BGG196635:BGH196645 BQC196635:BQD196645 BZY196635:BZZ196645 CJU196635:CJV196645 CTQ196635:CTR196645 DDM196635:DDN196645 DNI196635:DNJ196645 DXE196635:DXF196645 EHA196635:EHB196645 EQW196635:EQX196645 FAS196635:FAT196645 FKO196635:FKP196645 FUK196635:FUL196645 GEG196635:GEH196645 GOC196635:GOD196645 GXY196635:GXZ196645 HHU196635:HHV196645 HRQ196635:HRR196645 IBM196635:IBN196645 ILI196635:ILJ196645 IVE196635:IVF196645 JFA196635:JFB196645 JOW196635:JOX196645 JYS196635:JYT196645 KIO196635:KIP196645 KSK196635:KSL196645 LCG196635:LCH196645 LMC196635:LMD196645 LVY196635:LVZ196645 MFU196635:MFV196645 MPQ196635:MPR196645 MZM196635:MZN196645 NJI196635:NJJ196645 NTE196635:NTF196645 ODA196635:ODB196645 OMW196635:OMX196645 OWS196635:OWT196645 PGO196635:PGP196645 PQK196635:PQL196645 QAG196635:QAH196645 QKC196635:QKD196645 QTY196635:QTZ196645 RDU196635:RDV196645 RNQ196635:RNR196645 RXM196635:RXN196645 SHI196635:SHJ196645 SRE196635:SRF196645 TBA196635:TBB196645 TKW196635:TKX196645 TUS196635:TUT196645 UEO196635:UEP196645 UOK196635:UOL196645 UYG196635:UYH196645 VIC196635:VID196645 VRY196635:VRZ196645 WBU196635:WBV196645 WLQ196635:WLR196645 WVM196635:WVN196645 E262171:F262181 JA262171:JB262181 SW262171:SX262181 ACS262171:ACT262181 AMO262171:AMP262181 AWK262171:AWL262181 BGG262171:BGH262181 BQC262171:BQD262181 BZY262171:BZZ262181 CJU262171:CJV262181 CTQ262171:CTR262181 DDM262171:DDN262181 DNI262171:DNJ262181 DXE262171:DXF262181 EHA262171:EHB262181 EQW262171:EQX262181 FAS262171:FAT262181 FKO262171:FKP262181 FUK262171:FUL262181 GEG262171:GEH262181 GOC262171:GOD262181 GXY262171:GXZ262181 HHU262171:HHV262181 HRQ262171:HRR262181 IBM262171:IBN262181 ILI262171:ILJ262181 IVE262171:IVF262181 JFA262171:JFB262181 JOW262171:JOX262181 JYS262171:JYT262181 KIO262171:KIP262181 KSK262171:KSL262181 LCG262171:LCH262181 LMC262171:LMD262181 LVY262171:LVZ262181 MFU262171:MFV262181 MPQ262171:MPR262181 MZM262171:MZN262181 NJI262171:NJJ262181 NTE262171:NTF262181 ODA262171:ODB262181 OMW262171:OMX262181 OWS262171:OWT262181 PGO262171:PGP262181 PQK262171:PQL262181 QAG262171:QAH262181 QKC262171:QKD262181 QTY262171:QTZ262181 RDU262171:RDV262181 RNQ262171:RNR262181 RXM262171:RXN262181 SHI262171:SHJ262181 SRE262171:SRF262181 TBA262171:TBB262181 TKW262171:TKX262181 TUS262171:TUT262181 UEO262171:UEP262181 UOK262171:UOL262181 UYG262171:UYH262181 VIC262171:VID262181 VRY262171:VRZ262181 WBU262171:WBV262181 WLQ262171:WLR262181 WVM262171:WVN262181 E327707:F327717 JA327707:JB327717 SW327707:SX327717 ACS327707:ACT327717 AMO327707:AMP327717 AWK327707:AWL327717 BGG327707:BGH327717 BQC327707:BQD327717 BZY327707:BZZ327717 CJU327707:CJV327717 CTQ327707:CTR327717 DDM327707:DDN327717 DNI327707:DNJ327717 DXE327707:DXF327717 EHA327707:EHB327717 EQW327707:EQX327717 FAS327707:FAT327717 FKO327707:FKP327717 FUK327707:FUL327717 GEG327707:GEH327717 GOC327707:GOD327717 GXY327707:GXZ327717 HHU327707:HHV327717 HRQ327707:HRR327717 IBM327707:IBN327717 ILI327707:ILJ327717 IVE327707:IVF327717 JFA327707:JFB327717 JOW327707:JOX327717 JYS327707:JYT327717 KIO327707:KIP327717 KSK327707:KSL327717 LCG327707:LCH327717 LMC327707:LMD327717 LVY327707:LVZ327717 MFU327707:MFV327717 MPQ327707:MPR327717 MZM327707:MZN327717 NJI327707:NJJ327717 NTE327707:NTF327717 ODA327707:ODB327717 OMW327707:OMX327717 OWS327707:OWT327717 PGO327707:PGP327717 PQK327707:PQL327717 QAG327707:QAH327717 QKC327707:QKD327717 QTY327707:QTZ327717 RDU327707:RDV327717 RNQ327707:RNR327717 RXM327707:RXN327717 SHI327707:SHJ327717 SRE327707:SRF327717 TBA327707:TBB327717 TKW327707:TKX327717 TUS327707:TUT327717 UEO327707:UEP327717 UOK327707:UOL327717 UYG327707:UYH327717 VIC327707:VID327717 VRY327707:VRZ327717 WBU327707:WBV327717 WLQ327707:WLR327717 WVM327707:WVN327717 E393243:F393253 JA393243:JB393253 SW393243:SX393253 ACS393243:ACT393253 AMO393243:AMP393253 AWK393243:AWL393253 BGG393243:BGH393253 BQC393243:BQD393253 BZY393243:BZZ393253 CJU393243:CJV393253 CTQ393243:CTR393253 DDM393243:DDN393253 DNI393243:DNJ393253 DXE393243:DXF393253 EHA393243:EHB393253 EQW393243:EQX393253 FAS393243:FAT393253 FKO393243:FKP393253 FUK393243:FUL393253 GEG393243:GEH393253 GOC393243:GOD393253 GXY393243:GXZ393253 HHU393243:HHV393253 HRQ393243:HRR393253 IBM393243:IBN393253 ILI393243:ILJ393253 IVE393243:IVF393253 JFA393243:JFB393253 JOW393243:JOX393253 JYS393243:JYT393253 KIO393243:KIP393253 KSK393243:KSL393253 LCG393243:LCH393253 LMC393243:LMD393253 LVY393243:LVZ393253 MFU393243:MFV393253 MPQ393243:MPR393253 MZM393243:MZN393253 NJI393243:NJJ393253 NTE393243:NTF393253 ODA393243:ODB393253 OMW393243:OMX393253 OWS393243:OWT393253 PGO393243:PGP393253 PQK393243:PQL393253 QAG393243:QAH393253 QKC393243:QKD393253 QTY393243:QTZ393253 RDU393243:RDV393253 RNQ393243:RNR393253 RXM393243:RXN393253 SHI393243:SHJ393253 SRE393243:SRF393253 TBA393243:TBB393253 TKW393243:TKX393253 TUS393243:TUT393253 UEO393243:UEP393253 UOK393243:UOL393253 UYG393243:UYH393253 VIC393243:VID393253 VRY393243:VRZ393253 WBU393243:WBV393253 WLQ393243:WLR393253 WVM393243:WVN393253 E458779:F458789 JA458779:JB458789 SW458779:SX458789 ACS458779:ACT458789 AMO458779:AMP458789 AWK458779:AWL458789 BGG458779:BGH458789 BQC458779:BQD458789 BZY458779:BZZ458789 CJU458779:CJV458789 CTQ458779:CTR458789 DDM458779:DDN458789 DNI458779:DNJ458789 DXE458779:DXF458789 EHA458779:EHB458789 EQW458779:EQX458789 FAS458779:FAT458789 FKO458779:FKP458789 FUK458779:FUL458789 GEG458779:GEH458789 GOC458779:GOD458789 GXY458779:GXZ458789 HHU458779:HHV458789 HRQ458779:HRR458789 IBM458779:IBN458789 ILI458779:ILJ458789 IVE458779:IVF458789 JFA458779:JFB458789 JOW458779:JOX458789 JYS458779:JYT458789 KIO458779:KIP458789 KSK458779:KSL458789 LCG458779:LCH458789 LMC458779:LMD458789 LVY458779:LVZ458789 MFU458779:MFV458789 MPQ458779:MPR458789 MZM458779:MZN458789 NJI458779:NJJ458789 NTE458779:NTF458789 ODA458779:ODB458789 OMW458779:OMX458789 OWS458779:OWT458789 PGO458779:PGP458789 PQK458779:PQL458789 QAG458779:QAH458789 QKC458779:QKD458789 QTY458779:QTZ458789 RDU458779:RDV458789 RNQ458779:RNR458789 RXM458779:RXN458789 SHI458779:SHJ458789 SRE458779:SRF458789 TBA458779:TBB458789 TKW458779:TKX458789 TUS458779:TUT458789 UEO458779:UEP458789 UOK458779:UOL458789 UYG458779:UYH458789 VIC458779:VID458789 VRY458779:VRZ458789 WBU458779:WBV458789 WLQ458779:WLR458789 WVM458779:WVN458789 E524315:F524325 JA524315:JB524325 SW524315:SX524325 ACS524315:ACT524325 AMO524315:AMP524325 AWK524315:AWL524325 BGG524315:BGH524325 BQC524315:BQD524325 BZY524315:BZZ524325 CJU524315:CJV524325 CTQ524315:CTR524325 DDM524315:DDN524325 DNI524315:DNJ524325 DXE524315:DXF524325 EHA524315:EHB524325 EQW524315:EQX524325 FAS524315:FAT524325 FKO524315:FKP524325 FUK524315:FUL524325 GEG524315:GEH524325 GOC524315:GOD524325 GXY524315:GXZ524325 HHU524315:HHV524325 HRQ524315:HRR524325 IBM524315:IBN524325 ILI524315:ILJ524325 IVE524315:IVF524325 JFA524315:JFB524325 JOW524315:JOX524325 JYS524315:JYT524325 KIO524315:KIP524325 KSK524315:KSL524325 LCG524315:LCH524325 LMC524315:LMD524325 LVY524315:LVZ524325 MFU524315:MFV524325 MPQ524315:MPR524325 MZM524315:MZN524325 NJI524315:NJJ524325 NTE524315:NTF524325 ODA524315:ODB524325 OMW524315:OMX524325 OWS524315:OWT524325 PGO524315:PGP524325 PQK524315:PQL524325 QAG524315:QAH524325 QKC524315:QKD524325 QTY524315:QTZ524325 RDU524315:RDV524325 RNQ524315:RNR524325 RXM524315:RXN524325 SHI524315:SHJ524325 SRE524315:SRF524325 TBA524315:TBB524325 TKW524315:TKX524325 TUS524315:TUT524325 UEO524315:UEP524325 UOK524315:UOL524325 UYG524315:UYH524325 VIC524315:VID524325 VRY524315:VRZ524325 WBU524315:WBV524325 WLQ524315:WLR524325 WVM524315:WVN524325 E589851:F589861 JA589851:JB589861 SW589851:SX589861 ACS589851:ACT589861 AMO589851:AMP589861 AWK589851:AWL589861 BGG589851:BGH589861 BQC589851:BQD589861 BZY589851:BZZ589861 CJU589851:CJV589861 CTQ589851:CTR589861 DDM589851:DDN589861 DNI589851:DNJ589861 DXE589851:DXF589861 EHA589851:EHB589861 EQW589851:EQX589861 FAS589851:FAT589861 FKO589851:FKP589861 FUK589851:FUL589861 GEG589851:GEH589861 GOC589851:GOD589861 GXY589851:GXZ589861 HHU589851:HHV589861 HRQ589851:HRR589861 IBM589851:IBN589861 ILI589851:ILJ589861 IVE589851:IVF589861 JFA589851:JFB589861 JOW589851:JOX589861 JYS589851:JYT589861 KIO589851:KIP589861 KSK589851:KSL589861 LCG589851:LCH589861 LMC589851:LMD589861 LVY589851:LVZ589861 MFU589851:MFV589861 MPQ589851:MPR589861 MZM589851:MZN589861 NJI589851:NJJ589861 NTE589851:NTF589861 ODA589851:ODB589861 OMW589851:OMX589861 OWS589851:OWT589861 PGO589851:PGP589861 PQK589851:PQL589861 QAG589851:QAH589861 QKC589851:QKD589861 QTY589851:QTZ589861 RDU589851:RDV589861 RNQ589851:RNR589861 RXM589851:RXN589861 SHI589851:SHJ589861 SRE589851:SRF589861 TBA589851:TBB589861 TKW589851:TKX589861 TUS589851:TUT589861 UEO589851:UEP589861 UOK589851:UOL589861 UYG589851:UYH589861 VIC589851:VID589861 VRY589851:VRZ589861 WBU589851:WBV589861 WLQ589851:WLR589861 WVM589851:WVN589861 E655387:F655397 JA655387:JB655397 SW655387:SX655397 ACS655387:ACT655397 AMO655387:AMP655397 AWK655387:AWL655397 BGG655387:BGH655397 BQC655387:BQD655397 BZY655387:BZZ655397 CJU655387:CJV655397 CTQ655387:CTR655397 DDM655387:DDN655397 DNI655387:DNJ655397 DXE655387:DXF655397 EHA655387:EHB655397 EQW655387:EQX655397 FAS655387:FAT655397 FKO655387:FKP655397 FUK655387:FUL655397 GEG655387:GEH655397 GOC655387:GOD655397 GXY655387:GXZ655397 HHU655387:HHV655397 HRQ655387:HRR655397 IBM655387:IBN655397 ILI655387:ILJ655397 IVE655387:IVF655397 JFA655387:JFB655397 JOW655387:JOX655397 JYS655387:JYT655397 KIO655387:KIP655397 KSK655387:KSL655397 LCG655387:LCH655397 LMC655387:LMD655397 LVY655387:LVZ655397 MFU655387:MFV655397 MPQ655387:MPR655397 MZM655387:MZN655397 NJI655387:NJJ655397 NTE655387:NTF655397 ODA655387:ODB655397 OMW655387:OMX655397 OWS655387:OWT655397 PGO655387:PGP655397 PQK655387:PQL655397 QAG655387:QAH655397 QKC655387:QKD655397 QTY655387:QTZ655397 RDU655387:RDV655397 RNQ655387:RNR655397 RXM655387:RXN655397 SHI655387:SHJ655397 SRE655387:SRF655397 TBA655387:TBB655397 TKW655387:TKX655397 TUS655387:TUT655397 UEO655387:UEP655397 UOK655387:UOL655397 UYG655387:UYH655397 VIC655387:VID655397 VRY655387:VRZ655397 WBU655387:WBV655397 WLQ655387:WLR655397 WVM655387:WVN655397 E720923:F720933 JA720923:JB720933 SW720923:SX720933 ACS720923:ACT720933 AMO720923:AMP720933 AWK720923:AWL720933 BGG720923:BGH720933 BQC720923:BQD720933 BZY720923:BZZ720933 CJU720923:CJV720933 CTQ720923:CTR720933 DDM720923:DDN720933 DNI720923:DNJ720933 DXE720923:DXF720933 EHA720923:EHB720933 EQW720923:EQX720933 FAS720923:FAT720933 FKO720923:FKP720933 FUK720923:FUL720933 GEG720923:GEH720933 GOC720923:GOD720933 GXY720923:GXZ720933 HHU720923:HHV720933 HRQ720923:HRR720933 IBM720923:IBN720933 ILI720923:ILJ720933 IVE720923:IVF720933 JFA720923:JFB720933 JOW720923:JOX720933 JYS720923:JYT720933 KIO720923:KIP720933 KSK720923:KSL720933 LCG720923:LCH720933 LMC720923:LMD720933 LVY720923:LVZ720933 MFU720923:MFV720933 MPQ720923:MPR720933 MZM720923:MZN720933 NJI720923:NJJ720933 NTE720923:NTF720933 ODA720923:ODB720933 OMW720923:OMX720933 OWS720923:OWT720933 PGO720923:PGP720933 PQK720923:PQL720933 QAG720923:QAH720933 QKC720923:QKD720933 QTY720923:QTZ720933 RDU720923:RDV720933 RNQ720923:RNR720933 RXM720923:RXN720933 SHI720923:SHJ720933 SRE720923:SRF720933 TBA720923:TBB720933 TKW720923:TKX720933 TUS720923:TUT720933 UEO720923:UEP720933 UOK720923:UOL720933 UYG720923:UYH720933 VIC720923:VID720933 VRY720923:VRZ720933 WBU720923:WBV720933 WLQ720923:WLR720933 WVM720923:WVN720933 E786459:F786469 JA786459:JB786469 SW786459:SX786469 ACS786459:ACT786469 AMO786459:AMP786469 AWK786459:AWL786469 BGG786459:BGH786469 BQC786459:BQD786469 BZY786459:BZZ786469 CJU786459:CJV786469 CTQ786459:CTR786469 DDM786459:DDN786469 DNI786459:DNJ786469 DXE786459:DXF786469 EHA786459:EHB786469 EQW786459:EQX786469 FAS786459:FAT786469 FKO786459:FKP786469 FUK786459:FUL786469 GEG786459:GEH786469 GOC786459:GOD786469 GXY786459:GXZ786469 HHU786459:HHV786469 HRQ786459:HRR786469 IBM786459:IBN786469 ILI786459:ILJ786469 IVE786459:IVF786469 JFA786459:JFB786469 JOW786459:JOX786469 JYS786459:JYT786469 KIO786459:KIP786469 KSK786459:KSL786469 LCG786459:LCH786469 LMC786459:LMD786469 LVY786459:LVZ786469 MFU786459:MFV786469 MPQ786459:MPR786469 MZM786459:MZN786469 NJI786459:NJJ786469 NTE786459:NTF786469 ODA786459:ODB786469 OMW786459:OMX786469 OWS786459:OWT786469 PGO786459:PGP786469 PQK786459:PQL786469 QAG786459:QAH786469 QKC786459:QKD786469 QTY786459:QTZ786469 RDU786459:RDV786469 RNQ786459:RNR786469 RXM786459:RXN786469 SHI786459:SHJ786469 SRE786459:SRF786469 TBA786459:TBB786469 TKW786459:TKX786469 TUS786459:TUT786469 UEO786459:UEP786469 UOK786459:UOL786469 UYG786459:UYH786469 VIC786459:VID786469 VRY786459:VRZ786469 WBU786459:WBV786469 WLQ786459:WLR786469 WVM786459:WVN786469 E851995:F852005 JA851995:JB852005 SW851995:SX852005 ACS851995:ACT852005 AMO851995:AMP852005 AWK851995:AWL852005 BGG851995:BGH852005 BQC851995:BQD852005 BZY851995:BZZ852005 CJU851995:CJV852005 CTQ851995:CTR852005 DDM851995:DDN852005 DNI851995:DNJ852005 DXE851995:DXF852005 EHA851995:EHB852005 EQW851995:EQX852005 FAS851995:FAT852005 FKO851995:FKP852005 FUK851995:FUL852005 GEG851995:GEH852005 GOC851995:GOD852005 GXY851995:GXZ852005 HHU851995:HHV852005 HRQ851995:HRR852005 IBM851995:IBN852005 ILI851995:ILJ852005 IVE851995:IVF852005 JFA851995:JFB852005 JOW851995:JOX852005 JYS851995:JYT852005 KIO851995:KIP852005 KSK851995:KSL852005 LCG851995:LCH852005 LMC851995:LMD852005 LVY851995:LVZ852005 MFU851995:MFV852005 MPQ851995:MPR852005 MZM851995:MZN852005 NJI851995:NJJ852005 NTE851995:NTF852005 ODA851995:ODB852005 OMW851995:OMX852005 OWS851995:OWT852005 PGO851995:PGP852005 PQK851995:PQL852005 QAG851995:QAH852005 QKC851995:QKD852005 QTY851995:QTZ852005 RDU851995:RDV852005 RNQ851995:RNR852005 RXM851995:RXN852005 SHI851995:SHJ852005 SRE851995:SRF852005 TBA851995:TBB852005 TKW851995:TKX852005 TUS851995:TUT852005 UEO851995:UEP852005 UOK851995:UOL852005 UYG851995:UYH852005 VIC851995:VID852005 VRY851995:VRZ852005 WBU851995:WBV852005 WLQ851995:WLR852005 WVM851995:WVN852005 E917531:F917541 JA917531:JB917541 SW917531:SX917541 ACS917531:ACT917541 AMO917531:AMP917541 AWK917531:AWL917541 BGG917531:BGH917541 BQC917531:BQD917541 BZY917531:BZZ917541 CJU917531:CJV917541 CTQ917531:CTR917541 DDM917531:DDN917541 DNI917531:DNJ917541 DXE917531:DXF917541 EHA917531:EHB917541 EQW917531:EQX917541 FAS917531:FAT917541 FKO917531:FKP917541 FUK917531:FUL917541 GEG917531:GEH917541 GOC917531:GOD917541 GXY917531:GXZ917541 HHU917531:HHV917541 HRQ917531:HRR917541 IBM917531:IBN917541 ILI917531:ILJ917541 IVE917531:IVF917541 JFA917531:JFB917541 JOW917531:JOX917541 JYS917531:JYT917541 KIO917531:KIP917541 KSK917531:KSL917541 LCG917531:LCH917541 LMC917531:LMD917541 LVY917531:LVZ917541 MFU917531:MFV917541 MPQ917531:MPR917541 MZM917531:MZN917541 NJI917531:NJJ917541 NTE917531:NTF917541 ODA917531:ODB917541 OMW917531:OMX917541 OWS917531:OWT917541 PGO917531:PGP917541 PQK917531:PQL917541 QAG917531:QAH917541 QKC917531:QKD917541 QTY917531:QTZ917541 RDU917531:RDV917541 RNQ917531:RNR917541 RXM917531:RXN917541 SHI917531:SHJ917541 SRE917531:SRF917541 TBA917531:TBB917541 TKW917531:TKX917541 TUS917531:TUT917541 UEO917531:UEP917541 UOK917531:UOL917541 UYG917531:UYH917541 VIC917531:VID917541 VRY917531:VRZ917541 WBU917531:WBV917541 WLQ917531:WLR917541 WVM917531:WVN917541 E983067:F983077 JA983067:JB983077 SW983067:SX983077 ACS983067:ACT983077 AMO983067:AMP983077 AWK983067:AWL983077 BGG983067:BGH983077 BQC983067:BQD983077 BZY983067:BZZ983077 CJU983067:CJV983077 CTQ983067:CTR983077 DDM983067:DDN983077 DNI983067:DNJ983077 DXE983067:DXF983077 EHA983067:EHB983077 EQW983067:EQX983077 FAS983067:FAT983077 FKO983067:FKP983077 FUK983067:FUL983077 GEG983067:GEH983077 GOC983067:GOD983077 GXY983067:GXZ983077 HHU983067:HHV983077 HRQ983067:HRR983077 IBM983067:IBN983077 ILI983067:ILJ983077 IVE983067:IVF983077 JFA983067:JFB983077 JOW983067:JOX983077 JYS983067:JYT983077 KIO983067:KIP983077 KSK983067:KSL983077 LCG983067:LCH983077 LMC983067:LMD983077 LVY983067:LVZ983077 MFU983067:MFV983077 MPQ983067:MPR983077 MZM983067:MZN983077 NJI983067:NJJ983077 NTE983067:NTF983077 ODA983067:ODB983077 OMW983067:OMX983077 OWS983067:OWT983077 PGO983067:PGP983077 PQK983067:PQL983077 QAG983067:QAH983077 QKC983067:QKD983077 QTY983067:QTZ983077 RDU983067:RDV983077 RNQ983067:RNR983077 RXM983067:RXN983077 SHI983067:SHJ983077 SRE983067:SRF983077 TBA983067:TBB983077 TKW983067:TKX983077 TUS983067:TUT983077 UEO983067:UEP983077 UOK983067:UOL983077 UYG983067:UYH983077 VIC983067:VID983077 VRY983067:VRZ983077 WBU983067:WBV983077 WLQ983067:WLR983077 WVM983067:WVN983077">
      <formula1>0</formula1>
      <formula2>33</formula2>
    </dataValidation>
    <dataValidation type="decimal" allowBlank="1" showInputMessage="1" showErrorMessage="1" error="bitte Zahl eingeben!" sqref="WVL983045:WVM983050 IZ6:JA11 SV6:SW11 ACR6:ACS11 AMN6:AMO11 AWJ6:AWK11 BGF6:BGG11 BQB6:BQC11 BZX6:BZY11 CJT6:CJU11 CTP6:CTQ11 DDL6:DDM11 DNH6:DNI11 DXD6:DXE11 EGZ6:EHA11 EQV6:EQW11 FAR6:FAS11 FKN6:FKO11 FUJ6:FUK11 GEF6:GEG11 GOB6:GOC11 GXX6:GXY11 HHT6:HHU11 HRP6:HRQ11 IBL6:IBM11 ILH6:ILI11 IVD6:IVE11 JEZ6:JFA11 JOV6:JOW11 JYR6:JYS11 KIN6:KIO11 KSJ6:KSK11 LCF6:LCG11 LMB6:LMC11 LVX6:LVY11 MFT6:MFU11 MPP6:MPQ11 MZL6:MZM11 NJH6:NJI11 NTD6:NTE11 OCZ6:ODA11 OMV6:OMW11 OWR6:OWS11 PGN6:PGO11 PQJ6:PQK11 QAF6:QAG11 QKB6:QKC11 QTX6:QTY11 RDT6:RDU11 RNP6:RNQ11 RXL6:RXM11 SHH6:SHI11 SRD6:SRE11 TAZ6:TBA11 TKV6:TKW11 TUR6:TUS11 UEN6:UEO11 UOJ6:UOK11 UYF6:UYG11 VIB6:VIC11 VRX6:VRY11 WBT6:WBU11 WLP6:WLQ11 WVL6:WVM11 D65541:E65546 IZ65541:JA65546 SV65541:SW65546 ACR65541:ACS65546 AMN65541:AMO65546 AWJ65541:AWK65546 BGF65541:BGG65546 BQB65541:BQC65546 BZX65541:BZY65546 CJT65541:CJU65546 CTP65541:CTQ65546 DDL65541:DDM65546 DNH65541:DNI65546 DXD65541:DXE65546 EGZ65541:EHA65546 EQV65541:EQW65546 FAR65541:FAS65546 FKN65541:FKO65546 FUJ65541:FUK65546 GEF65541:GEG65546 GOB65541:GOC65546 GXX65541:GXY65546 HHT65541:HHU65546 HRP65541:HRQ65546 IBL65541:IBM65546 ILH65541:ILI65546 IVD65541:IVE65546 JEZ65541:JFA65546 JOV65541:JOW65546 JYR65541:JYS65546 KIN65541:KIO65546 KSJ65541:KSK65546 LCF65541:LCG65546 LMB65541:LMC65546 LVX65541:LVY65546 MFT65541:MFU65546 MPP65541:MPQ65546 MZL65541:MZM65546 NJH65541:NJI65546 NTD65541:NTE65546 OCZ65541:ODA65546 OMV65541:OMW65546 OWR65541:OWS65546 PGN65541:PGO65546 PQJ65541:PQK65546 QAF65541:QAG65546 QKB65541:QKC65546 QTX65541:QTY65546 RDT65541:RDU65546 RNP65541:RNQ65546 RXL65541:RXM65546 SHH65541:SHI65546 SRD65541:SRE65546 TAZ65541:TBA65546 TKV65541:TKW65546 TUR65541:TUS65546 UEN65541:UEO65546 UOJ65541:UOK65546 UYF65541:UYG65546 VIB65541:VIC65546 VRX65541:VRY65546 WBT65541:WBU65546 WLP65541:WLQ65546 WVL65541:WVM65546 D131077:E131082 IZ131077:JA131082 SV131077:SW131082 ACR131077:ACS131082 AMN131077:AMO131082 AWJ131077:AWK131082 BGF131077:BGG131082 BQB131077:BQC131082 BZX131077:BZY131082 CJT131077:CJU131082 CTP131077:CTQ131082 DDL131077:DDM131082 DNH131077:DNI131082 DXD131077:DXE131082 EGZ131077:EHA131082 EQV131077:EQW131082 FAR131077:FAS131082 FKN131077:FKO131082 FUJ131077:FUK131082 GEF131077:GEG131082 GOB131077:GOC131082 GXX131077:GXY131082 HHT131077:HHU131082 HRP131077:HRQ131082 IBL131077:IBM131082 ILH131077:ILI131082 IVD131077:IVE131082 JEZ131077:JFA131082 JOV131077:JOW131082 JYR131077:JYS131082 KIN131077:KIO131082 KSJ131077:KSK131082 LCF131077:LCG131082 LMB131077:LMC131082 LVX131077:LVY131082 MFT131077:MFU131082 MPP131077:MPQ131082 MZL131077:MZM131082 NJH131077:NJI131082 NTD131077:NTE131082 OCZ131077:ODA131082 OMV131077:OMW131082 OWR131077:OWS131082 PGN131077:PGO131082 PQJ131077:PQK131082 QAF131077:QAG131082 QKB131077:QKC131082 QTX131077:QTY131082 RDT131077:RDU131082 RNP131077:RNQ131082 RXL131077:RXM131082 SHH131077:SHI131082 SRD131077:SRE131082 TAZ131077:TBA131082 TKV131077:TKW131082 TUR131077:TUS131082 UEN131077:UEO131082 UOJ131077:UOK131082 UYF131077:UYG131082 VIB131077:VIC131082 VRX131077:VRY131082 WBT131077:WBU131082 WLP131077:WLQ131082 WVL131077:WVM131082 D196613:E196618 IZ196613:JA196618 SV196613:SW196618 ACR196613:ACS196618 AMN196613:AMO196618 AWJ196613:AWK196618 BGF196613:BGG196618 BQB196613:BQC196618 BZX196613:BZY196618 CJT196613:CJU196618 CTP196613:CTQ196618 DDL196613:DDM196618 DNH196613:DNI196618 DXD196613:DXE196618 EGZ196613:EHA196618 EQV196613:EQW196618 FAR196613:FAS196618 FKN196613:FKO196618 FUJ196613:FUK196618 GEF196613:GEG196618 GOB196613:GOC196618 GXX196613:GXY196618 HHT196613:HHU196618 HRP196613:HRQ196618 IBL196613:IBM196618 ILH196613:ILI196618 IVD196613:IVE196618 JEZ196613:JFA196618 JOV196613:JOW196618 JYR196613:JYS196618 KIN196613:KIO196618 KSJ196613:KSK196618 LCF196613:LCG196618 LMB196613:LMC196618 LVX196613:LVY196618 MFT196613:MFU196618 MPP196613:MPQ196618 MZL196613:MZM196618 NJH196613:NJI196618 NTD196613:NTE196618 OCZ196613:ODA196618 OMV196613:OMW196618 OWR196613:OWS196618 PGN196613:PGO196618 PQJ196613:PQK196618 QAF196613:QAG196618 QKB196613:QKC196618 QTX196613:QTY196618 RDT196613:RDU196618 RNP196613:RNQ196618 RXL196613:RXM196618 SHH196613:SHI196618 SRD196613:SRE196618 TAZ196613:TBA196618 TKV196613:TKW196618 TUR196613:TUS196618 UEN196613:UEO196618 UOJ196613:UOK196618 UYF196613:UYG196618 VIB196613:VIC196618 VRX196613:VRY196618 WBT196613:WBU196618 WLP196613:WLQ196618 WVL196613:WVM196618 D262149:E262154 IZ262149:JA262154 SV262149:SW262154 ACR262149:ACS262154 AMN262149:AMO262154 AWJ262149:AWK262154 BGF262149:BGG262154 BQB262149:BQC262154 BZX262149:BZY262154 CJT262149:CJU262154 CTP262149:CTQ262154 DDL262149:DDM262154 DNH262149:DNI262154 DXD262149:DXE262154 EGZ262149:EHA262154 EQV262149:EQW262154 FAR262149:FAS262154 FKN262149:FKO262154 FUJ262149:FUK262154 GEF262149:GEG262154 GOB262149:GOC262154 GXX262149:GXY262154 HHT262149:HHU262154 HRP262149:HRQ262154 IBL262149:IBM262154 ILH262149:ILI262154 IVD262149:IVE262154 JEZ262149:JFA262154 JOV262149:JOW262154 JYR262149:JYS262154 KIN262149:KIO262154 KSJ262149:KSK262154 LCF262149:LCG262154 LMB262149:LMC262154 LVX262149:LVY262154 MFT262149:MFU262154 MPP262149:MPQ262154 MZL262149:MZM262154 NJH262149:NJI262154 NTD262149:NTE262154 OCZ262149:ODA262154 OMV262149:OMW262154 OWR262149:OWS262154 PGN262149:PGO262154 PQJ262149:PQK262154 QAF262149:QAG262154 QKB262149:QKC262154 QTX262149:QTY262154 RDT262149:RDU262154 RNP262149:RNQ262154 RXL262149:RXM262154 SHH262149:SHI262154 SRD262149:SRE262154 TAZ262149:TBA262154 TKV262149:TKW262154 TUR262149:TUS262154 UEN262149:UEO262154 UOJ262149:UOK262154 UYF262149:UYG262154 VIB262149:VIC262154 VRX262149:VRY262154 WBT262149:WBU262154 WLP262149:WLQ262154 WVL262149:WVM262154 D327685:E327690 IZ327685:JA327690 SV327685:SW327690 ACR327685:ACS327690 AMN327685:AMO327690 AWJ327685:AWK327690 BGF327685:BGG327690 BQB327685:BQC327690 BZX327685:BZY327690 CJT327685:CJU327690 CTP327685:CTQ327690 DDL327685:DDM327690 DNH327685:DNI327690 DXD327685:DXE327690 EGZ327685:EHA327690 EQV327685:EQW327690 FAR327685:FAS327690 FKN327685:FKO327690 FUJ327685:FUK327690 GEF327685:GEG327690 GOB327685:GOC327690 GXX327685:GXY327690 HHT327685:HHU327690 HRP327685:HRQ327690 IBL327685:IBM327690 ILH327685:ILI327690 IVD327685:IVE327690 JEZ327685:JFA327690 JOV327685:JOW327690 JYR327685:JYS327690 KIN327685:KIO327690 KSJ327685:KSK327690 LCF327685:LCG327690 LMB327685:LMC327690 LVX327685:LVY327690 MFT327685:MFU327690 MPP327685:MPQ327690 MZL327685:MZM327690 NJH327685:NJI327690 NTD327685:NTE327690 OCZ327685:ODA327690 OMV327685:OMW327690 OWR327685:OWS327690 PGN327685:PGO327690 PQJ327685:PQK327690 QAF327685:QAG327690 QKB327685:QKC327690 QTX327685:QTY327690 RDT327685:RDU327690 RNP327685:RNQ327690 RXL327685:RXM327690 SHH327685:SHI327690 SRD327685:SRE327690 TAZ327685:TBA327690 TKV327685:TKW327690 TUR327685:TUS327690 UEN327685:UEO327690 UOJ327685:UOK327690 UYF327685:UYG327690 VIB327685:VIC327690 VRX327685:VRY327690 WBT327685:WBU327690 WLP327685:WLQ327690 WVL327685:WVM327690 D393221:E393226 IZ393221:JA393226 SV393221:SW393226 ACR393221:ACS393226 AMN393221:AMO393226 AWJ393221:AWK393226 BGF393221:BGG393226 BQB393221:BQC393226 BZX393221:BZY393226 CJT393221:CJU393226 CTP393221:CTQ393226 DDL393221:DDM393226 DNH393221:DNI393226 DXD393221:DXE393226 EGZ393221:EHA393226 EQV393221:EQW393226 FAR393221:FAS393226 FKN393221:FKO393226 FUJ393221:FUK393226 GEF393221:GEG393226 GOB393221:GOC393226 GXX393221:GXY393226 HHT393221:HHU393226 HRP393221:HRQ393226 IBL393221:IBM393226 ILH393221:ILI393226 IVD393221:IVE393226 JEZ393221:JFA393226 JOV393221:JOW393226 JYR393221:JYS393226 KIN393221:KIO393226 KSJ393221:KSK393226 LCF393221:LCG393226 LMB393221:LMC393226 LVX393221:LVY393226 MFT393221:MFU393226 MPP393221:MPQ393226 MZL393221:MZM393226 NJH393221:NJI393226 NTD393221:NTE393226 OCZ393221:ODA393226 OMV393221:OMW393226 OWR393221:OWS393226 PGN393221:PGO393226 PQJ393221:PQK393226 QAF393221:QAG393226 QKB393221:QKC393226 QTX393221:QTY393226 RDT393221:RDU393226 RNP393221:RNQ393226 RXL393221:RXM393226 SHH393221:SHI393226 SRD393221:SRE393226 TAZ393221:TBA393226 TKV393221:TKW393226 TUR393221:TUS393226 UEN393221:UEO393226 UOJ393221:UOK393226 UYF393221:UYG393226 VIB393221:VIC393226 VRX393221:VRY393226 WBT393221:WBU393226 WLP393221:WLQ393226 WVL393221:WVM393226 D458757:E458762 IZ458757:JA458762 SV458757:SW458762 ACR458757:ACS458762 AMN458757:AMO458762 AWJ458757:AWK458762 BGF458757:BGG458762 BQB458757:BQC458762 BZX458757:BZY458762 CJT458757:CJU458762 CTP458757:CTQ458762 DDL458757:DDM458762 DNH458757:DNI458762 DXD458757:DXE458762 EGZ458757:EHA458762 EQV458757:EQW458762 FAR458757:FAS458762 FKN458757:FKO458762 FUJ458757:FUK458762 GEF458757:GEG458762 GOB458757:GOC458762 GXX458757:GXY458762 HHT458757:HHU458762 HRP458757:HRQ458762 IBL458757:IBM458762 ILH458757:ILI458762 IVD458757:IVE458762 JEZ458757:JFA458762 JOV458757:JOW458762 JYR458757:JYS458762 KIN458757:KIO458762 KSJ458757:KSK458762 LCF458757:LCG458762 LMB458757:LMC458762 LVX458757:LVY458762 MFT458757:MFU458762 MPP458757:MPQ458762 MZL458757:MZM458762 NJH458757:NJI458762 NTD458757:NTE458762 OCZ458757:ODA458762 OMV458757:OMW458762 OWR458757:OWS458762 PGN458757:PGO458762 PQJ458757:PQK458762 QAF458757:QAG458762 QKB458757:QKC458762 QTX458757:QTY458762 RDT458757:RDU458762 RNP458757:RNQ458762 RXL458757:RXM458762 SHH458757:SHI458762 SRD458757:SRE458762 TAZ458757:TBA458762 TKV458757:TKW458762 TUR458757:TUS458762 UEN458757:UEO458762 UOJ458757:UOK458762 UYF458757:UYG458762 VIB458757:VIC458762 VRX458757:VRY458762 WBT458757:WBU458762 WLP458757:WLQ458762 WVL458757:WVM458762 D524293:E524298 IZ524293:JA524298 SV524293:SW524298 ACR524293:ACS524298 AMN524293:AMO524298 AWJ524293:AWK524298 BGF524293:BGG524298 BQB524293:BQC524298 BZX524293:BZY524298 CJT524293:CJU524298 CTP524293:CTQ524298 DDL524293:DDM524298 DNH524293:DNI524298 DXD524293:DXE524298 EGZ524293:EHA524298 EQV524293:EQW524298 FAR524293:FAS524298 FKN524293:FKO524298 FUJ524293:FUK524298 GEF524293:GEG524298 GOB524293:GOC524298 GXX524293:GXY524298 HHT524293:HHU524298 HRP524293:HRQ524298 IBL524293:IBM524298 ILH524293:ILI524298 IVD524293:IVE524298 JEZ524293:JFA524298 JOV524293:JOW524298 JYR524293:JYS524298 KIN524293:KIO524298 KSJ524293:KSK524298 LCF524293:LCG524298 LMB524293:LMC524298 LVX524293:LVY524298 MFT524293:MFU524298 MPP524293:MPQ524298 MZL524293:MZM524298 NJH524293:NJI524298 NTD524293:NTE524298 OCZ524293:ODA524298 OMV524293:OMW524298 OWR524293:OWS524298 PGN524293:PGO524298 PQJ524293:PQK524298 QAF524293:QAG524298 QKB524293:QKC524298 QTX524293:QTY524298 RDT524293:RDU524298 RNP524293:RNQ524298 RXL524293:RXM524298 SHH524293:SHI524298 SRD524293:SRE524298 TAZ524293:TBA524298 TKV524293:TKW524298 TUR524293:TUS524298 UEN524293:UEO524298 UOJ524293:UOK524298 UYF524293:UYG524298 VIB524293:VIC524298 VRX524293:VRY524298 WBT524293:WBU524298 WLP524293:WLQ524298 WVL524293:WVM524298 D589829:E589834 IZ589829:JA589834 SV589829:SW589834 ACR589829:ACS589834 AMN589829:AMO589834 AWJ589829:AWK589834 BGF589829:BGG589834 BQB589829:BQC589834 BZX589829:BZY589834 CJT589829:CJU589834 CTP589829:CTQ589834 DDL589829:DDM589834 DNH589829:DNI589834 DXD589829:DXE589834 EGZ589829:EHA589834 EQV589829:EQW589834 FAR589829:FAS589834 FKN589829:FKO589834 FUJ589829:FUK589834 GEF589829:GEG589834 GOB589829:GOC589834 GXX589829:GXY589834 HHT589829:HHU589834 HRP589829:HRQ589834 IBL589829:IBM589834 ILH589829:ILI589834 IVD589829:IVE589834 JEZ589829:JFA589834 JOV589829:JOW589834 JYR589829:JYS589834 KIN589829:KIO589834 KSJ589829:KSK589834 LCF589829:LCG589834 LMB589829:LMC589834 LVX589829:LVY589834 MFT589829:MFU589834 MPP589829:MPQ589834 MZL589829:MZM589834 NJH589829:NJI589834 NTD589829:NTE589834 OCZ589829:ODA589834 OMV589829:OMW589834 OWR589829:OWS589834 PGN589829:PGO589834 PQJ589829:PQK589834 QAF589829:QAG589834 QKB589829:QKC589834 QTX589829:QTY589834 RDT589829:RDU589834 RNP589829:RNQ589834 RXL589829:RXM589834 SHH589829:SHI589834 SRD589829:SRE589834 TAZ589829:TBA589834 TKV589829:TKW589834 TUR589829:TUS589834 UEN589829:UEO589834 UOJ589829:UOK589834 UYF589829:UYG589834 VIB589829:VIC589834 VRX589829:VRY589834 WBT589829:WBU589834 WLP589829:WLQ589834 WVL589829:WVM589834 D655365:E655370 IZ655365:JA655370 SV655365:SW655370 ACR655365:ACS655370 AMN655365:AMO655370 AWJ655365:AWK655370 BGF655365:BGG655370 BQB655365:BQC655370 BZX655365:BZY655370 CJT655365:CJU655370 CTP655365:CTQ655370 DDL655365:DDM655370 DNH655365:DNI655370 DXD655365:DXE655370 EGZ655365:EHA655370 EQV655365:EQW655370 FAR655365:FAS655370 FKN655365:FKO655370 FUJ655365:FUK655370 GEF655365:GEG655370 GOB655365:GOC655370 GXX655365:GXY655370 HHT655365:HHU655370 HRP655365:HRQ655370 IBL655365:IBM655370 ILH655365:ILI655370 IVD655365:IVE655370 JEZ655365:JFA655370 JOV655365:JOW655370 JYR655365:JYS655370 KIN655365:KIO655370 KSJ655365:KSK655370 LCF655365:LCG655370 LMB655365:LMC655370 LVX655365:LVY655370 MFT655365:MFU655370 MPP655365:MPQ655370 MZL655365:MZM655370 NJH655365:NJI655370 NTD655365:NTE655370 OCZ655365:ODA655370 OMV655365:OMW655370 OWR655365:OWS655370 PGN655365:PGO655370 PQJ655365:PQK655370 QAF655365:QAG655370 QKB655365:QKC655370 QTX655365:QTY655370 RDT655365:RDU655370 RNP655365:RNQ655370 RXL655365:RXM655370 SHH655365:SHI655370 SRD655365:SRE655370 TAZ655365:TBA655370 TKV655365:TKW655370 TUR655365:TUS655370 UEN655365:UEO655370 UOJ655365:UOK655370 UYF655365:UYG655370 VIB655365:VIC655370 VRX655365:VRY655370 WBT655365:WBU655370 WLP655365:WLQ655370 WVL655365:WVM655370 D720901:E720906 IZ720901:JA720906 SV720901:SW720906 ACR720901:ACS720906 AMN720901:AMO720906 AWJ720901:AWK720906 BGF720901:BGG720906 BQB720901:BQC720906 BZX720901:BZY720906 CJT720901:CJU720906 CTP720901:CTQ720906 DDL720901:DDM720906 DNH720901:DNI720906 DXD720901:DXE720906 EGZ720901:EHA720906 EQV720901:EQW720906 FAR720901:FAS720906 FKN720901:FKO720906 FUJ720901:FUK720906 GEF720901:GEG720906 GOB720901:GOC720906 GXX720901:GXY720906 HHT720901:HHU720906 HRP720901:HRQ720906 IBL720901:IBM720906 ILH720901:ILI720906 IVD720901:IVE720906 JEZ720901:JFA720906 JOV720901:JOW720906 JYR720901:JYS720906 KIN720901:KIO720906 KSJ720901:KSK720906 LCF720901:LCG720906 LMB720901:LMC720906 LVX720901:LVY720906 MFT720901:MFU720906 MPP720901:MPQ720906 MZL720901:MZM720906 NJH720901:NJI720906 NTD720901:NTE720906 OCZ720901:ODA720906 OMV720901:OMW720906 OWR720901:OWS720906 PGN720901:PGO720906 PQJ720901:PQK720906 QAF720901:QAG720906 QKB720901:QKC720906 QTX720901:QTY720906 RDT720901:RDU720906 RNP720901:RNQ720906 RXL720901:RXM720906 SHH720901:SHI720906 SRD720901:SRE720906 TAZ720901:TBA720906 TKV720901:TKW720906 TUR720901:TUS720906 UEN720901:UEO720906 UOJ720901:UOK720906 UYF720901:UYG720906 VIB720901:VIC720906 VRX720901:VRY720906 WBT720901:WBU720906 WLP720901:WLQ720906 WVL720901:WVM720906 D786437:E786442 IZ786437:JA786442 SV786437:SW786442 ACR786437:ACS786442 AMN786437:AMO786442 AWJ786437:AWK786442 BGF786437:BGG786442 BQB786437:BQC786442 BZX786437:BZY786442 CJT786437:CJU786442 CTP786437:CTQ786442 DDL786437:DDM786442 DNH786437:DNI786442 DXD786437:DXE786442 EGZ786437:EHA786442 EQV786437:EQW786442 FAR786437:FAS786442 FKN786437:FKO786442 FUJ786437:FUK786442 GEF786437:GEG786442 GOB786437:GOC786442 GXX786437:GXY786442 HHT786437:HHU786442 HRP786437:HRQ786442 IBL786437:IBM786442 ILH786437:ILI786442 IVD786437:IVE786442 JEZ786437:JFA786442 JOV786437:JOW786442 JYR786437:JYS786442 KIN786437:KIO786442 KSJ786437:KSK786442 LCF786437:LCG786442 LMB786437:LMC786442 LVX786437:LVY786442 MFT786437:MFU786442 MPP786437:MPQ786442 MZL786437:MZM786442 NJH786437:NJI786442 NTD786437:NTE786442 OCZ786437:ODA786442 OMV786437:OMW786442 OWR786437:OWS786442 PGN786437:PGO786442 PQJ786437:PQK786442 QAF786437:QAG786442 QKB786437:QKC786442 QTX786437:QTY786442 RDT786437:RDU786442 RNP786437:RNQ786442 RXL786437:RXM786442 SHH786437:SHI786442 SRD786437:SRE786442 TAZ786437:TBA786442 TKV786437:TKW786442 TUR786437:TUS786442 UEN786437:UEO786442 UOJ786437:UOK786442 UYF786437:UYG786442 VIB786437:VIC786442 VRX786437:VRY786442 WBT786437:WBU786442 WLP786437:WLQ786442 WVL786437:WVM786442 D851973:E851978 IZ851973:JA851978 SV851973:SW851978 ACR851973:ACS851978 AMN851973:AMO851978 AWJ851973:AWK851978 BGF851973:BGG851978 BQB851973:BQC851978 BZX851973:BZY851978 CJT851973:CJU851978 CTP851973:CTQ851978 DDL851973:DDM851978 DNH851973:DNI851978 DXD851973:DXE851978 EGZ851973:EHA851978 EQV851973:EQW851978 FAR851973:FAS851978 FKN851973:FKO851978 FUJ851973:FUK851978 GEF851973:GEG851978 GOB851973:GOC851978 GXX851973:GXY851978 HHT851973:HHU851978 HRP851973:HRQ851978 IBL851973:IBM851978 ILH851973:ILI851978 IVD851973:IVE851978 JEZ851973:JFA851978 JOV851973:JOW851978 JYR851973:JYS851978 KIN851973:KIO851978 KSJ851973:KSK851978 LCF851973:LCG851978 LMB851973:LMC851978 LVX851973:LVY851978 MFT851973:MFU851978 MPP851973:MPQ851978 MZL851973:MZM851978 NJH851973:NJI851978 NTD851973:NTE851978 OCZ851973:ODA851978 OMV851973:OMW851978 OWR851973:OWS851978 PGN851973:PGO851978 PQJ851973:PQK851978 QAF851973:QAG851978 QKB851973:QKC851978 QTX851973:QTY851978 RDT851973:RDU851978 RNP851973:RNQ851978 RXL851973:RXM851978 SHH851973:SHI851978 SRD851973:SRE851978 TAZ851973:TBA851978 TKV851973:TKW851978 TUR851973:TUS851978 UEN851973:UEO851978 UOJ851973:UOK851978 UYF851973:UYG851978 VIB851973:VIC851978 VRX851973:VRY851978 WBT851973:WBU851978 WLP851973:WLQ851978 WVL851973:WVM851978 D917509:E917514 IZ917509:JA917514 SV917509:SW917514 ACR917509:ACS917514 AMN917509:AMO917514 AWJ917509:AWK917514 BGF917509:BGG917514 BQB917509:BQC917514 BZX917509:BZY917514 CJT917509:CJU917514 CTP917509:CTQ917514 DDL917509:DDM917514 DNH917509:DNI917514 DXD917509:DXE917514 EGZ917509:EHA917514 EQV917509:EQW917514 FAR917509:FAS917514 FKN917509:FKO917514 FUJ917509:FUK917514 GEF917509:GEG917514 GOB917509:GOC917514 GXX917509:GXY917514 HHT917509:HHU917514 HRP917509:HRQ917514 IBL917509:IBM917514 ILH917509:ILI917514 IVD917509:IVE917514 JEZ917509:JFA917514 JOV917509:JOW917514 JYR917509:JYS917514 KIN917509:KIO917514 KSJ917509:KSK917514 LCF917509:LCG917514 LMB917509:LMC917514 LVX917509:LVY917514 MFT917509:MFU917514 MPP917509:MPQ917514 MZL917509:MZM917514 NJH917509:NJI917514 NTD917509:NTE917514 OCZ917509:ODA917514 OMV917509:OMW917514 OWR917509:OWS917514 PGN917509:PGO917514 PQJ917509:PQK917514 QAF917509:QAG917514 QKB917509:QKC917514 QTX917509:QTY917514 RDT917509:RDU917514 RNP917509:RNQ917514 RXL917509:RXM917514 SHH917509:SHI917514 SRD917509:SRE917514 TAZ917509:TBA917514 TKV917509:TKW917514 TUR917509:TUS917514 UEN917509:UEO917514 UOJ917509:UOK917514 UYF917509:UYG917514 VIB917509:VIC917514 VRX917509:VRY917514 WBT917509:WBU917514 WLP917509:WLQ917514 WVL917509:WVM917514 D983045:E983050 IZ983045:JA983050 SV983045:SW983050 ACR983045:ACS983050 AMN983045:AMO983050 AWJ983045:AWK983050 BGF983045:BGG983050 BQB983045:BQC983050 BZX983045:BZY983050 CJT983045:CJU983050 CTP983045:CTQ983050 DDL983045:DDM983050 DNH983045:DNI983050 DXD983045:DXE983050 EGZ983045:EHA983050 EQV983045:EQW983050 FAR983045:FAS983050 FKN983045:FKO983050 FUJ983045:FUK983050 GEF983045:GEG983050 GOB983045:GOC983050 GXX983045:GXY983050 HHT983045:HHU983050 HRP983045:HRQ983050 IBL983045:IBM983050 ILH983045:ILI983050 IVD983045:IVE983050 JEZ983045:JFA983050 JOV983045:JOW983050 JYR983045:JYS983050 KIN983045:KIO983050 KSJ983045:KSK983050 LCF983045:LCG983050 LMB983045:LMC983050 LVX983045:LVY983050 MFT983045:MFU983050 MPP983045:MPQ983050 MZL983045:MZM983050 NJH983045:NJI983050 NTD983045:NTE983050 OCZ983045:ODA983050 OMV983045:OMW983050 OWR983045:OWS983050 PGN983045:PGO983050 PQJ983045:PQK983050 QAF983045:QAG983050 QKB983045:QKC983050 QTX983045:QTY983050 RDT983045:RDU983050 RNP983045:RNQ983050 RXL983045:RXM983050 SHH983045:SHI983050 SRD983045:SRE983050 TAZ983045:TBA983050 TKV983045:TKW983050 TUR983045:TUS983050 UEN983045:UEO983050 UOJ983045:UOK983050 UYF983045:UYG983050 VIB983045:VIC983050 VRX983045:VRY983050 WBT983045:WBU983050 WLP983045:WLQ983050">
      <formula1>0</formula1>
      <formula2>33</formula2>
    </dataValidation>
    <dataValidation type="decimal" allowBlank="1" showInputMessage="1" showErrorMessage="1" sqref="E27:E37 G27:G37 I27:I37 J25:J37 D5:H11 J6:J11">
      <formula1>0</formula1>
      <formula2>40</formula2>
    </dataValidation>
  </dataValidations>
  <printOptions gridLinesSet="0"/>
  <pageMargins left="0.59055118110236227" right="0.39370078740157483" top="0.39370078740157483" bottom="0.31496062992125984" header="0.31496062992125984" footer="0.51181102362204722"/>
  <pageSetup paperSize="9" scale="63" orientation="portrait" r:id="rId1"/>
  <headerFooter alignWithMargins="0">
    <oddFooter>&amp;C&amp;5                                                             &amp;A von:  &amp;F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7030A0"/>
  </sheetPr>
  <dimension ref="A1:O345"/>
  <sheetViews>
    <sheetView topLeftCell="A11" workbookViewId="0">
      <selection activeCell="D72" sqref="D72"/>
    </sheetView>
  </sheetViews>
  <sheetFormatPr baseColWidth="10" defaultRowHeight="15" x14ac:dyDescent="0.25"/>
  <cols>
    <col min="1" max="1" width="1.28515625" customWidth="1"/>
    <col min="2" max="2" width="6.42578125" customWidth="1"/>
    <col min="3" max="3" width="11.42578125" customWidth="1"/>
    <col min="4" max="5" width="2.85546875" customWidth="1"/>
    <col min="12" max="12" width="6.42578125" customWidth="1"/>
    <col min="13" max="13" width="11" customWidth="1"/>
  </cols>
  <sheetData>
    <row r="1" spans="1:15" ht="23.25" x14ac:dyDescent="0.35">
      <c r="A1" s="487" t="s">
        <v>621</v>
      </c>
      <c r="B1" t="s">
        <v>583</v>
      </c>
      <c r="E1" s="474"/>
    </row>
    <row r="2" spans="1:15" ht="21" x14ac:dyDescent="0.35">
      <c r="A2" s="28"/>
      <c r="B2" t="s">
        <v>582</v>
      </c>
      <c r="D2" s="475"/>
      <c r="H2" s="128"/>
      <c r="I2" s="128"/>
      <c r="J2" s="128"/>
      <c r="K2" s="128"/>
      <c r="L2" s="128"/>
      <c r="M2" s="489" t="s">
        <v>623</v>
      </c>
      <c r="N2" s="486" t="s">
        <v>619</v>
      </c>
      <c r="O2" s="52" t="s">
        <v>620</v>
      </c>
    </row>
    <row r="3" spans="1:15" x14ac:dyDescent="0.25">
      <c r="B3" t="s">
        <v>581</v>
      </c>
      <c r="D3" s="475"/>
      <c r="E3" s="474"/>
    </row>
    <row r="4" spans="1:15" ht="9.75" customHeight="1" x14ac:dyDescent="0.25">
      <c r="B4" s="128" t="s">
        <v>580</v>
      </c>
    </row>
    <row r="5" spans="1:15" x14ac:dyDescent="0.25">
      <c r="B5" t="s">
        <v>579</v>
      </c>
    </row>
    <row r="6" spans="1:15" ht="18.75" x14ac:dyDescent="0.3">
      <c r="A6" s="5"/>
      <c r="B6" t="s">
        <v>578</v>
      </c>
    </row>
    <row r="7" spans="1:15" ht="18.75" x14ac:dyDescent="0.3">
      <c r="A7" s="5"/>
      <c r="B7" t="s">
        <v>577</v>
      </c>
      <c r="M7" s="491" t="s">
        <v>624</v>
      </c>
    </row>
    <row r="8" spans="1:15" x14ac:dyDescent="0.25">
      <c r="A8" s="490"/>
      <c r="B8" t="s">
        <v>584</v>
      </c>
    </row>
    <row r="9" spans="1:15" x14ac:dyDescent="0.25">
      <c r="C9" t="s">
        <v>585</v>
      </c>
    </row>
    <row r="11" spans="1:15" ht="18.75" x14ac:dyDescent="0.3">
      <c r="A11" s="5"/>
      <c r="B11" t="s">
        <v>576</v>
      </c>
    </row>
    <row r="12" spans="1:15" x14ac:dyDescent="0.25">
      <c r="C12" t="s">
        <v>586</v>
      </c>
    </row>
    <row r="13" spans="1:15" x14ac:dyDescent="0.25">
      <c r="D13" s="482" t="s">
        <v>591</v>
      </c>
    </row>
    <row r="14" spans="1:15" x14ac:dyDescent="0.25">
      <c r="D14" s="483" t="s">
        <v>590</v>
      </c>
    </row>
    <row r="15" spans="1:15" x14ac:dyDescent="0.25">
      <c r="C15" s="81" t="s">
        <v>575</v>
      </c>
    </row>
    <row r="16" spans="1:15" ht="15.75" x14ac:dyDescent="0.25">
      <c r="A16" s="4"/>
    </row>
    <row r="17" spans="1:4" x14ac:dyDescent="0.25">
      <c r="B17" t="s">
        <v>587</v>
      </c>
    </row>
    <row r="18" spans="1:4" x14ac:dyDescent="0.25">
      <c r="B18" t="s">
        <v>588</v>
      </c>
    </row>
    <row r="19" spans="1:4" x14ac:dyDescent="0.25">
      <c r="B19" t="s">
        <v>574</v>
      </c>
    </row>
    <row r="20" spans="1:4" ht="18.75" x14ac:dyDescent="0.3">
      <c r="A20" s="5"/>
      <c r="B20" t="s">
        <v>592</v>
      </c>
    </row>
    <row r="21" spans="1:4" ht="12.75" customHeight="1" x14ac:dyDescent="0.25">
      <c r="A21" s="61"/>
      <c r="C21" t="s">
        <v>573</v>
      </c>
    </row>
    <row r="22" spans="1:4" ht="12.75" customHeight="1" x14ac:dyDescent="0.25">
      <c r="A22" s="61"/>
      <c r="C22" t="s">
        <v>572</v>
      </c>
    </row>
    <row r="23" spans="1:4" ht="12.75" customHeight="1" x14ac:dyDescent="0.25">
      <c r="A23" s="61"/>
      <c r="C23" t="s">
        <v>571</v>
      </c>
    </row>
    <row r="24" spans="1:4" ht="12.75" customHeight="1" x14ac:dyDescent="0.25">
      <c r="A24" s="61"/>
      <c r="B24" t="s">
        <v>589</v>
      </c>
    </row>
    <row r="25" spans="1:4" ht="5.25" customHeight="1" x14ac:dyDescent="0.25"/>
    <row r="26" spans="1:4" x14ac:dyDescent="0.25">
      <c r="B26" t="s">
        <v>593</v>
      </c>
    </row>
    <row r="27" spans="1:4" x14ac:dyDescent="0.25">
      <c r="B27" t="s">
        <v>570</v>
      </c>
    </row>
    <row r="28" spans="1:4" ht="18.75" x14ac:dyDescent="0.3">
      <c r="A28" s="5"/>
      <c r="B28" t="s">
        <v>569</v>
      </c>
    </row>
    <row r="29" spans="1:4" ht="18.75" x14ac:dyDescent="0.3">
      <c r="A29" s="232"/>
      <c r="B29" s="232"/>
    </row>
    <row r="30" spans="1:4" ht="18.75" x14ac:dyDescent="0.3">
      <c r="A30" s="5"/>
      <c r="B30" t="s">
        <v>594</v>
      </c>
    </row>
    <row r="31" spans="1:4" x14ac:dyDescent="0.25">
      <c r="D31" t="s">
        <v>595</v>
      </c>
    </row>
    <row r="32" spans="1:4" x14ac:dyDescent="0.25">
      <c r="B32" t="s">
        <v>568</v>
      </c>
    </row>
    <row r="35" spans="1:5" x14ac:dyDescent="0.25">
      <c r="B35" t="s">
        <v>596</v>
      </c>
    </row>
    <row r="36" spans="1:5" x14ac:dyDescent="0.25">
      <c r="B36" t="s">
        <v>597</v>
      </c>
      <c r="E36" s="474"/>
    </row>
    <row r="38" spans="1:5" x14ac:dyDescent="0.25">
      <c r="B38" t="s">
        <v>567</v>
      </c>
    </row>
    <row r="39" spans="1:5" x14ac:dyDescent="0.25">
      <c r="B39" t="s">
        <v>566</v>
      </c>
    </row>
    <row r="41" spans="1:5" x14ac:dyDescent="0.25">
      <c r="B41" t="s">
        <v>565</v>
      </c>
    </row>
    <row r="42" spans="1:5" ht="5.25" customHeight="1" x14ac:dyDescent="0.25"/>
    <row r="43" spans="1:5" ht="15.75" x14ac:dyDescent="0.25">
      <c r="A43" s="4"/>
    </row>
    <row r="44" spans="1:5" ht="5.25" customHeight="1" x14ac:dyDescent="0.25"/>
    <row r="45" spans="1:5" x14ac:dyDescent="0.25">
      <c r="B45" t="s">
        <v>599</v>
      </c>
    </row>
    <row r="46" spans="1:5" x14ac:dyDescent="0.25">
      <c r="B46" t="s">
        <v>564</v>
      </c>
    </row>
    <row r="48" spans="1:5" ht="18.75" x14ac:dyDescent="0.3">
      <c r="A48" s="236"/>
      <c r="B48" t="s">
        <v>600</v>
      </c>
    </row>
    <row r="49" spans="1:5" ht="6.75" customHeight="1" x14ac:dyDescent="0.25">
      <c r="A49" s="116"/>
    </row>
    <row r="51" spans="1:5" x14ac:dyDescent="0.25">
      <c r="B51" t="s">
        <v>563</v>
      </c>
      <c r="D51" s="475"/>
    </row>
    <row r="52" spans="1:5" ht="18.75" x14ac:dyDescent="0.3">
      <c r="A52" s="5"/>
    </row>
    <row r="55" spans="1:5" x14ac:dyDescent="0.25">
      <c r="B55" t="s">
        <v>601</v>
      </c>
    </row>
    <row r="56" spans="1:5" ht="10.5" customHeight="1" x14ac:dyDescent="0.25">
      <c r="C56" t="s">
        <v>562</v>
      </c>
    </row>
    <row r="57" spans="1:5" ht="18.75" x14ac:dyDescent="0.3">
      <c r="A57" s="232"/>
      <c r="B57" s="232"/>
    </row>
    <row r="58" spans="1:5" ht="5.25" customHeight="1" x14ac:dyDescent="0.25">
      <c r="A58" s="116"/>
    </row>
    <row r="59" spans="1:5" ht="15.75" x14ac:dyDescent="0.25">
      <c r="A59" s="243"/>
    </row>
    <row r="60" spans="1:5" ht="15.75" x14ac:dyDescent="0.25">
      <c r="A60" s="243"/>
    </row>
    <row r="61" spans="1:5" ht="15.75" x14ac:dyDescent="0.25">
      <c r="A61" s="243"/>
      <c r="B61" t="s">
        <v>602</v>
      </c>
    </row>
    <row r="62" spans="1:5" ht="6.75" customHeight="1" x14ac:dyDescent="0.25">
      <c r="A62" s="116"/>
    </row>
    <row r="64" spans="1:5" x14ac:dyDescent="0.25">
      <c r="B64" t="s">
        <v>603</v>
      </c>
      <c r="E64" s="474"/>
    </row>
    <row r="65" spans="1:3" ht="11.25" customHeight="1" x14ac:dyDescent="0.25">
      <c r="A65" s="116"/>
    </row>
    <row r="66" spans="1:3" ht="18.75" customHeight="1" x14ac:dyDescent="0.25"/>
    <row r="67" spans="1:3" ht="8.25" customHeight="1" x14ac:dyDescent="0.25"/>
    <row r="68" spans="1:3" ht="15.75" x14ac:dyDescent="0.25">
      <c r="A68" s="243"/>
      <c r="B68" t="s">
        <v>604</v>
      </c>
    </row>
    <row r="69" spans="1:3" ht="6" customHeight="1" x14ac:dyDescent="0.25"/>
    <row r="70" spans="1:3" ht="15.75" x14ac:dyDescent="0.25">
      <c r="A70" s="243"/>
      <c r="B70" t="s">
        <v>561</v>
      </c>
    </row>
    <row r="71" spans="1:3" x14ac:dyDescent="0.25">
      <c r="A71" s="116"/>
    </row>
    <row r="72" spans="1:3" ht="3.75" customHeight="1" x14ac:dyDescent="0.25"/>
    <row r="73" spans="1:3" x14ac:dyDescent="0.25">
      <c r="A73" s="116"/>
      <c r="B73" t="s">
        <v>560</v>
      </c>
    </row>
    <row r="74" spans="1:3" x14ac:dyDescent="0.25">
      <c r="A74" s="116"/>
    </row>
    <row r="75" spans="1:3" x14ac:dyDescent="0.25">
      <c r="A75" s="116"/>
    </row>
    <row r="76" spans="1:3" x14ac:dyDescent="0.25">
      <c r="A76" s="116"/>
      <c r="B76" t="s">
        <v>559</v>
      </c>
    </row>
    <row r="77" spans="1:3" x14ac:dyDescent="0.25">
      <c r="A77" s="116"/>
      <c r="B77" t="s">
        <v>558</v>
      </c>
    </row>
    <row r="78" spans="1:3" ht="13.5" customHeight="1" x14ac:dyDescent="0.25">
      <c r="A78" s="116"/>
      <c r="C78" t="s">
        <v>557</v>
      </c>
    </row>
    <row r="79" spans="1:3" ht="11.25" customHeight="1" x14ac:dyDescent="0.25"/>
    <row r="80" spans="1:3" ht="13.5" customHeight="1" x14ac:dyDescent="0.25">
      <c r="A80" s="116"/>
      <c r="B80" t="s">
        <v>556</v>
      </c>
    </row>
    <row r="81" spans="1:5" ht="15.75" x14ac:dyDescent="0.25">
      <c r="A81" s="243"/>
      <c r="B81" s="2" t="s">
        <v>555</v>
      </c>
    </row>
    <row r="82" spans="1:5" ht="9.75" customHeight="1" x14ac:dyDescent="0.25"/>
    <row r="83" spans="1:5" ht="18.75" x14ac:dyDescent="0.3">
      <c r="A83" s="232"/>
      <c r="B83" s="232"/>
    </row>
    <row r="84" spans="1:5" ht="7.5" customHeight="1" x14ac:dyDescent="0.25">
      <c r="A84" s="116"/>
    </row>
    <row r="85" spans="1:5" x14ac:dyDescent="0.25">
      <c r="D85" s="475"/>
    </row>
    <row r="87" spans="1:5" ht="35.25" customHeight="1" x14ac:dyDescent="0.25"/>
    <row r="88" spans="1:5" ht="18.75" x14ac:dyDescent="0.3">
      <c r="A88" s="236"/>
      <c r="D88" s="475"/>
    </row>
    <row r="89" spans="1:5" ht="5.25" customHeight="1" x14ac:dyDescent="0.25">
      <c r="A89" s="116"/>
    </row>
    <row r="90" spans="1:5" x14ac:dyDescent="0.25">
      <c r="C90" s="2" t="s">
        <v>617</v>
      </c>
      <c r="D90" s="475"/>
      <c r="E90" s="474" t="s">
        <v>618</v>
      </c>
    </row>
    <row r="91" spans="1:5" ht="15.75" x14ac:dyDescent="0.25">
      <c r="A91" s="4"/>
    </row>
    <row r="93" spans="1:5" ht="32.25" customHeight="1" x14ac:dyDescent="0.25">
      <c r="A93" s="116"/>
    </row>
    <row r="94" spans="1:5" x14ac:dyDescent="0.25">
      <c r="A94" s="470"/>
      <c r="B94" t="s">
        <v>554</v>
      </c>
    </row>
    <row r="100" spans="1:11" ht="24.75" x14ac:dyDescent="0.4">
      <c r="A100" s="478"/>
      <c r="B100" s="380"/>
      <c r="C100" s="380"/>
      <c r="D100" s="380"/>
      <c r="E100" s="380"/>
      <c r="F100" s="380"/>
      <c r="G100" s="380"/>
      <c r="H100" s="380"/>
      <c r="I100" s="380"/>
      <c r="J100" s="380"/>
      <c r="K100" s="380"/>
    </row>
    <row r="101" spans="1:11" ht="31.5" x14ac:dyDescent="0.5">
      <c r="A101" s="137" t="s">
        <v>374</v>
      </c>
      <c r="D101" s="475"/>
    </row>
    <row r="102" spans="1:11" ht="12" customHeight="1" x14ac:dyDescent="0.25"/>
    <row r="103" spans="1:11" x14ac:dyDescent="0.25">
      <c r="B103" t="s">
        <v>553</v>
      </c>
    </row>
    <row r="104" spans="1:11" x14ac:dyDescent="0.25">
      <c r="C104" t="s">
        <v>552</v>
      </c>
    </row>
    <row r="105" spans="1:11" ht="20.25" customHeight="1" x14ac:dyDescent="0.25">
      <c r="C105" s="481" t="s">
        <v>551</v>
      </c>
    </row>
    <row r="106" spans="1:11" ht="18" customHeight="1" x14ac:dyDescent="0.25">
      <c r="B106" t="s">
        <v>550</v>
      </c>
    </row>
    <row r="107" spans="1:11" ht="16.5" customHeight="1" x14ac:dyDescent="0.25"/>
    <row r="109" spans="1:11" ht="7.5" customHeight="1" x14ac:dyDescent="0.25"/>
    <row r="110" spans="1:11" ht="20.25" customHeight="1" x14ac:dyDescent="0.25"/>
    <row r="114" spans="2:13" ht="18" customHeight="1" x14ac:dyDescent="0.25"/>
    <row r="119" spans="2:13" ht="6.75" customHeight="1" x14ac:dyDescent="0.25"/>
    <row r="120" spans="2:13" ht="6.75" customHeight="1" x14ac:dyDescent="0.25"/>
    <row r="121" spans="2:13" ht="6.75" customHeight="1" x14ac:dyDescent="0.25"/>
    <row r="122" spans="2:13" ht="6.75" customHeight="1" x14ac:dyDescent="0.25"/>
    <row r="123" spans="2:13" ht="9.75" customHeight="1" x14ac:dyDescent="0.25"/>
    <row r="126" spans="2:13" ht="36.75" customHeight="1" x14ac:dyDescent="0.25">
      <c r="B126" t="s">
        <v>549</v>
      </c>
    </row>
    <row r="127" spans="2:13" ht="23.25" customHeight="1" x14ac:dyDescent="0.25">
      <c r="B127" t="s">
        <v>548</v>
      </c>
      <c r="C127" s="6"/>
      <c r="M127" s="480" t="s">
        <v>547</v>
      </c>
    </row>
    <row r="128" spans="2:13" ht="13.5" customHeight="1" x14ac:dyDescent="0.25"/>
    <row r="129" spans="2:13" ht="27.75" customHeight="1" x14ac:dyDescent="0.25"/>
    <row r="130" spans="2:13" hidden="1" x14ac:dyDescent="0.25"/>
    <row r="131" spans="2:13" hidden="1" x14ac:dyDescent="0.25"/>
    <row r="132" spans="2:13" hidden="1" x14ac:dyDescent="0.25"/>
    <row r="133" spans="2:13" hidden="1" x14ac:dyDescent="0.25"/>
    <row r="134" spans="2:13" hidden="1" x14ac:dyDescent="0.25"/>
    <row r="135" spans="2:13" hidden="1" x14ac:dyDescent="0.25"/>
    <row r="136" spans="2:13" hidden="1" x14ac:dyDescent="0.25"/>
    <row r="137" spans="2:13" ht="11.25" customHeight="1" x14ac:dyDescent="0.25"/>
    <row r="138" spans="2:13" ht="21" customHeight="1" x14ac:dyDescent="0.25">
      <c r="B138" t="s">
        <v>546</v>
      </c>
    </row>
    <row r="139" spans="2:13" x14ac:dyDescent="0.25">
      <c r="M139" s="2" t="s">
        <v>545</v>
      </c>
    </row>
    <row r="140" spans="2:13" x14ac:dyDescent="0.25">
      <c r="M140" s="2" t="s">
        <v>544</v>
      </c>
    </row>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spans="1:11" hidden="1" x14ac:dyDescent="0.25"/>
    <row r="194" spans="1:11" hidden="1" x14ac:dyDescent="0.25"/>
    <row r="195" spans="1:11" hidden="1" x14ac:dyDescent="0.25"/>
    <row r="196" spans="1:11" hidden="1" x14ac:dyDescent="0.25"/>
    <row r="197" spans="1:11" hidden="1" x14ac:dyDescent="0.25"/>
    <row r="198" spans="1:11" hidden="1" x14ac:dyDescent="0.25"/>
    <row r="200" spans="1:11" ht="24.75" x14ac:dyDescent="0.4">
      <c r="A200" s="478"/>
      <c r="B200" s="380"/>
      <c r="C200" s="380"/>
      <c r="D200" s="380"/>
      <c r="E200" s="380"/>
      <c r="F200" s="380"/>
      <c r="G200" s="380"/>
      <c r="H200" s="380"/>
      <c r="I200" s="380"/>
      <c r="J200" s="380"/>
      <c r="K200" s="380"/>
    </row>
    <row r="201" spans="1:11" ht="26.25" x14ac:dyDescent="0.4">
      <c r="A201" s="298" t="s">
        <v>453</v>
      </c>
    </row>
    <row r="202" spans="1:11" ht="6" customHeight="1" x14ac:dyDescent="0.25"/>
    <row r="203" spans="1:11" ht="33" customHeight="1" x14ac:dyDescent="0.25">
      <c r="D203" s="475"/>
    </row>
    <row r="204" spans="1:11" ht="20.25" customHeight="1" x14ac:dyDescent="0.25"/>
    <row r="205" spans="1:11" ht="21.75" customHeight="1" x14ac:dyDescent="0.25"/>
    <row r="206" spans="1:11" ht="31.5" customHeight="1" x14ac:dyDescent="0.25"/>
    <row r="207" spans="1:11" ht="4.5" customHeight="1" x14ac:dyDescent="0.25"/>
    <row r="208" spans="1:11" x14ac:dyDescent="0.25">
      <c r="B208" t="s">
        <v>543</v>
      </c>
    </row>
    <row r="209" spans="3:3" x14ac:dyDescent="0.25">
      <c r="C209" t="s">
        <v>542</v>
      </c>
    </row>
    <row r="224" spans="3:3"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7" spans="2:4" x14ac:dyDescent="0.25">
      <c r="B257" t="s">
        <v>541</v>
      </c>
      <c r="D257" s="475"/>
    </row>
    <row r="258" spans="2:4" ht="17.25" customHeight="1" x14ac:dyDescent="0.25">
      <c r="C258" t="s">
        <v>540</v>
      </c>
    </row>
    <row r="259" spans="2:4" ht="18" customHeight="1" x14ac:dyDescent="0.25">
      <c r="B259" t="s">
        <v>539</v>
      </c>
    </row>
    <row r="269" spans="2:4" hidden="1" x14ac:dyDescent="0.25"/>
    <row r="270" spans="2:4" hidden="1" x14ac:dyDescent="0.25"/>
    <row r="271" spans="2:4" hidden="1" x14ac:dyDescent="0.25"/>
    <row r="272" spans="2:4"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spans="1:11" hidden="1" x14ac:dyDescent="0.25"/>
    <row r="290" spans="1:11" hidden="1" x14ac:dyDescent="0.25"/>
    <row r="291" spans="1:11" hidden="1" x14ac:dyDescent="0.25"/>
    <row r="292" spans="1:11" hidden="1" x14ac:dyDescent="0.25"/>
    <row r="293" spans="1:11" hidden="1" x14ac:dyDescent="0.25"/>
    <row r="294" spans="1:11" hidden="1" x14ac:dyDescent="0.25"/>
    <row r="295" spans="1:11" hidden="1" x14ac:dyDescent="0.25"/>
    <row r="296" spans="1:11" hidden="1" x14ac:dyDescent="0.25"/>
    <row r="297" spans="1:11" hidden="1" x14ac:dyDescent="0.25"/>
    <row r="298" spans="1:11" hidden="1" x14ac:dyDescent="0.25"/>
    <row r="299" spans="1:11" ht="59.25" customHeight="1" x14ac:dyDescent="0.25"/>
    <row r="300" spans="1:11" ht="24.75" x14ac:dyDescent="0.4">
      <c r="A300" s="478"/>
      <c r="B300" s="380"/>
      <c r="C300" s="380"/>
      <c r="D300" s="380"/>
      <c r="E300" s="380"/>
      <c r="F300" s="380"/>
      <c r="G300" s="380"/>
      <c r="H300" s="380"/>
      <c r="I300" s="380"/>
      <c r="J300" s="380"/>
      <c r="K300" s="380"/>
    </row>
    <row r="301" spans="1:11" ht="26.25" x14ac:dyDescent="0.4">
      <c r="B301" s="477" t="s">
        <v>525</v>
      </c>
      <c r="F301" s="476" t="s">
        <v>605</v>
      </c>
    </row>
    <row r="302" spans="1:11" ht="7.5" customHeight="1" x14ac:dyDescent="0.25"/>
    <row r="303" spans="1:11" x14ac:dyDescent="0.25">
      <c r="B303" t="s">
        <v>538</v>
      </c>
    </row>
    <row r="304" spans="1:11" x14ac:dyDescent="0.25">
      <c r="C304" t="s">
        <v>612</v>
      </c>
    </row>
    <row r="305" spans="1:11" x14ac:dyDescent="0.25">
      <c r="C305" t="s">
        <v>608</v>
      </c>
    </row>
    <row r="306" spans="1:11" x14ac:dyDescent="0.25">
      <c r="D306" t="s">
        <v>609</v>
      </c>
    </row>
    <row r="308" spans="1:11" x14ac:dyDescent="0.25">
      <c r="B308" t="s">
        <v>537</v>
      </c>
    </row>
    <row r="310" spans="1:11" x14ac:dyDescent="0.25">
      <c r="B310" t="s">
        <v>370</v>
      </c>
      <c r="D310" t="s">
        <v>606</v>
      </c>
    </row>
    <row r="312" spans="1:11" x14ac:dyDescent="0.25">
      <c r="B312" s="485" t="s">
        <v>494</v>
      </c>
      <c r="D312" t="s">
        <v>607</v>
      </c>
    </row>
    <row r="313" spans="1:11" x14ac:dyDescent="0.25">
      <c r="E313" s="474" t="s">
        <v>610</v>
      </c>
    </row>
    <row r="314" spans="1:11" x14ac:dyDescent="0.25">
      <c r="E314" s="474" t="s">
        <v>611</v>
      </c>
    </row>
    <row r="317" spans="1:11" ht="59.25" customHeight="1" x14ac:dyDescent="0.25"/>
    <row r="318" spans="1:11" ht="24.75" x14ac:dyDescent="0.4">
      <c r="A318" s="478"/>
      <c r="B318" s="380"/>
      <c r="C318" s="380"/>
      <c r="D318" s="380"/>
      <c r="E318" s="380"/>
      <c r="F318" s="380"/>
      <c r="G318" s="380"/>
      <c r="H318" s="380"/>
      <c r="I318" s="380"/>
      <c r="J318" s="380"/>
      <c r="K318" s="380"/>
    </row>
    <row r="319" spans="1:11" ht="26.25" x14ac:dyDescent="0.4">
      <c r="B319" s="477" t="s">
        <v>525</v>
      </c>
      <c r="F319" s="476" t="s">
        <v>2</v>
      </c>
    </row>
    <row r="320" spans="1:11" ht="7.5" customHeight="1" x14ac:dyDescent="0.25"/>
    <row r="321" spans="2:12" x14ac:dyDescent="0.25">
      <c r="B321" t="s">
        <v>536</v>
      </c>
    </row>
    <row r="322" spans="2:12" x14ac:dyDescent="0.25">
      <c r="C322" t="s">
        <v>535</v>
      </c>
    </row>
    <row r="323" spans="2:12" x14ac:dyDescent="0.25">
      <c r="C323" t="s">
        <v>534</v>
      </c>
    </row>
    <row r="324" spans="2:12" x14ac:dyDescent="0.25">
      <c r="C324" t="s">
        <v>533</v>
      </c>
    </row>
    <row r="325" spans="2:12" x14ac:dyDescent="0.25">
      <c r="C325" t="s">
        <v>613</v>
      </c>
      <c r="E325" s="474"/>
      <c r="L325" s="479" t="s">
        <v>532</v>
      </c>
    </row>
    <row r="327" spans="2:12" x14ac:dyDescent="0.25">
      <c r="B327" t="s">
        <v>531</v>
      </c>
      <c r="D327" t="s">
        <v>614</v>
      </c>
    </row>
    <row r="329" spans="2:12" x14ac:dyDescent="0.25">
      <c r="B329" t="s">
        <v>615</v>
      </c>
    </row>
    <row r="331" spans="2:12" x14ac:dyDescent="0.25">
      <c r="B331" t="s">
        <v>530</v>
      </c>
    </row>
    <row r="332" spans="2:12" x14ac:dyDescent="0.25">
      <c r="C332" t="s">
        <v>616</v>
      </c>
    </row>
    <row r="333" spans="2:12" ht="8.25" customHeight="1" x14ac:dyDescent="0.25"/>
    <row r="334" spans="2:12" x14ac:dyDescent="0.25">
      <c r="C334" t="s">
        <v>529</v>
      </c>
      <c r="E334" s="474"/>
    </row>
    <row r="335" spans="2:12" x14ac:dyDescent="0.25">
      <c r="C335" s="269" t="s">
        <v>528</v>
      </c>
      <c r="E335" s="474"/>
    </row>
    <row r="336" spans="2:12" x14ac:dyDescent="0.25">
      <c r="C336" s="269" t="s">
        <v>527</v>
      </c>
      <c r="E336" s="474"/>
    </row>
    <row r="337" spans="1:11" x14ac:dyDescent="0.25">
      <c r="C337" s="269" t="s">
        <v>526</v>
      </c>
      <c r="E337" s="474"/>
    </row>
    <row r="340" spans="1:11" ht="59.25" customHeight="1" x14ac:dyDescent="0.25"/>
    <row r="341" spans="1:11" ht="24.75" x14ac:dyDescent="0.4">
      <c r="A341" s="478"/>
      <c r="B341" s="380"/>
      <c r="C341" s="380"/>
      <c r="D341" s="380"/>
      <c r="E341" s="380"/>
      <c r="F341" s="380"/>
      <c r="G341" s="380"/>
      <c r="H341" s="380"/>
      <c r="I341" s="380"/>
      <c r="J341" s="380"/>
      <c r="K341" s="380"/>
    </row>
    <row r="342" spans="1:11" ht="26.25" x14ac:dyDescent="0.4">
      <c r="B342" s="477" t="s">
        <v>525</v>
      </c>
      <c r="F342" s="476" t="s">
        <v>524</v>
      </c>
    </row>
    <row r="343" spans="1:11" ht="7.5" customHeight="1" x14ac:dyDescent="0.25"/>
    <row r="344" spans="1:11" x14ac:dyDescent="0.25">
      <c r="B344" t="s">
        <v>625</v>
      </c>
      <c r="D344" s="475"/>
    </row>
    <row r="345" spans="1:11" x14ac:dyDescent="0.25">
      <c r="C345" t="s">
        <v>626</v>
      </c>
      <c r="D345" s="475"/>
    </row>
  </sheetData>
  <sheetProtection algorithmName="SHA-512" hashValue="y7EZ4VNWfJFYohGO3re08MApg9+gDDU6SZy6xxNT1HClEe2E1Iyg/TwrMMwLniw5Xyd2wZhrLmrX8J4N6zV4kQ==" saltValue="mrUpAPGMX9yH/kGpIhpX7g==" spinCount="100000" sheet="1" formatRows="0"/>
  <pageMargins left="0.37" right="0.13" top="0.6" bottom="0.62"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S470"/>
  <sheetViews>
    <sheetView tabSelected="1" zoomScaleNormal="100" workbookViewId="0"/>
  </sheetViews>
  <sheetFormatPr baseColWidth="10" defaultColWidth="11.42578125" defaultRowHeight="15" x14ac:dyDescent="0.25"/>
  <cols>
    <col min="1" max="1" width="4.28515625" style="8" customWidth="1"/>
    <col min="2" max="2" width="10.7109375" style="8" customWidth="1"/>
    <col min="3" max="3" width="7.28515625" style="8" customWidth="1"/>
    <col min="4" max="4" width="5.85546875" style="8" customWidth="1"/>
    <col min="5" max="5" width="8.5703125" style="8" customWidth="1"/>
    <col min="6" max="6" width="7.85546875" style="24" customWidth="1"/>
    <col min="7" max="7" width="8.28515625" style="8" customWidth="1"/>
    <col min="8" max="8" width="5.7109375" style="8" customWidth="1"/>
    <col min="9" max="9" width="4.85546875" style="8" customWidth="1"/>
    <col min="10" max="10" width="6.7109375" style="8" customWidth="1"/>
    <col min="11" max="11" width="10.140625" style="8" customWidth="1"/>
    <col min="12" max="13" width="4.140625" style="8" customWidth="1"/>
    <col min="14" max="14" width="7.140625" style="8" customWidth="1"/>
    <col min="15" max="15" width="9.28515625" style="8" customWidth="1"/>
    <col min="16" max="16" width="8.42578125" style="8" customWidth="1"/>
    <col min="17" max="20" width="7.85546875" style="8" customWidth="1"/>
    <col min="21" max="16384" width="11.42578125" style="8"/>
  </cols>
  <sheetData>
    <row r="1" spans="1:19" x14ac:dyDescent="0.25">
      <c r="A1" s="66">
        <v>0</v>
      </c>
      <c r="E1" s="8">
        <v>0</v>
      </c>
      <c r="F1" s="24">
        <v>0</v>
      </c>
      <c r="H1" s="8">
        <v>0</v>
      </c>
      <c r="I1" s="25" t="s">
        <v>248</v>
      </c>
      <c r="J1" s="8">
        <v>0</v>
      </c>
      <c r="O1" s="112" t="s">
        <v>365</v>
      </c>
      <c r="S1" s="118"/>
    </row>
    <row r="2" spans="1:19" x14ac:dyDescent="0.25">
      <c r="A2" s="66">
        <v>0</v>
      </c>
      <c r="B2" s="8" t="s">
        <v>249</v>
      </c>
      <c r="C2" s="8">
        <v>2.8</v>
      </c>
      <c r="E2" s="8">
        <v>10</v>
      </c>
      <c r="F2" s="24">
        <f>E2*$C2</f>
        <v>28</v>
      </c>
      <c r="H2" s="8">
        <v>1</v>
      </c>
      <c r="I2" s="8">
        <v>4</v>
      </c>
      <c r="J2" s="8">
        <v>4</v>
      </c>
      <c r="O2" s="113" t="s">
        <v>361</v>
      </c>
      <c r="S2" s="472" t="s">
        <v>523</v>
      </c>
    </row>
    <row r="3" spans="1:19" x14ac:dyDescent="0.25">
      <c r="A3" s="66">
        <f t="shared" ref="A3:A20" si="0">RIGHT(B2,3)+1</f>
        <v>11</v>
      </c>
      <c r="B3" s="8" t="s">
        <v>250</v>
      </c>
      <c r="C3" s="8">
        <v>2.8</v>
      </c>
      <c r="D3" s="8">
        <f t="shared" ref="D3:D20" si="1">C2-C3</f>
        <v>0</v>
      </c>
      <c r="E3" s="8">
        <v>11</v>
      </c>
      <c r="F3" s="24">
        <f t="shared" ref="F3:F11" si="2">F2+(E3-E2)*$C$3</f>
        <v>30.8</v>
      </c>
      <c r="H3" s="8">
        <v>2</v>
      </c>
      <c r="I3" s="8">
        <v>3</v>
      </c>
      <c r="J3" s="8">
        <f>J2+(H3-H2)*$I$3</f>
        <v>7</v>
      </c>
      <c r="O3" s="113" t="s">
        <v>359</v>
      </c>
    </row>
    <row r="4" spans="1:19" x14ac:dyDescent="0.25">
      <c r="A4" s="66">
        <f t="shared" si="0"/>
        <v>20</v>
      </c>
      <c r="B4" s="8" t="s">
        <v>251</v>
      </c>
      <c r="C4" s="8">
        <v>2.7</v>
      </c>
      <c r="D4" s="8">
        <f t="shared" si="1"/>
        <v>9.9999999999999645E-2</v>
      </c>
      <c r="E4" s="8">
        <v>12</v>
      </c>
      <c r="F4" s="24">
        <f t="shared" si="2"/>
        <v>33.6</v>
      </c>
      <c r="H4" s="8">
        <v>3</v>
      </c>
      <c r="I4" s="8">
        <v>2.5</v>
      </c>
      <c r="J4" s="8">
        <f>J3+(H4-H3)*I4</f>
        <v>9.5</v>
      </c>
      <c r="O4" s="113" t="s">
        <v>360</v>
      </c>
    </row>
    <row r="5" spans="1:19" x14ac:dyDescent="0.25">
      <c r="A5" s="66">
        <f t="shared" si="0"/>
        <v>30</v>
      </c>
      <c r="B5" s="8" t="s">
        <v>252</v>
      </c>
      <c r="C5" s="8">
        <v>2.6</v>
      </c>
      <c r="D5" s="8">
        <f t="shared" si="1"/>
        <v>0.10000000000000009</v>
      </c>
      <c r="E5" s="8">
        <v>13</v>
      </c>
      <c r="F5" s="24">
        <f t="shared" si="2"/>
        <v>36.4</v>
      </c>
      <c r="H5" s="8">
        <v>4</v>
      </c>
      <c r="I5" s="8">
        <v>2</v>
      </c>
      <c r="J5" s="8">
        <f t="shared" ref="J5:J31" si="3">J4+(H5-H4)*$I$5</f>
        <v>11.5</v>
      </c>
      <c r="O5" s="113" t="s">
        <v>367</v>
      </c>
    </row>
    <row r="6" spans="1:19" x14ac:dyDescent="0.25">
      <c r="A6" s="66">
        <f t="shared" si="0"/>
        <v>40</v>
      </c>
      <c r="B6" s="8" t="s">
        <v>253</v>
      </c>
      <c r="C6" s="8">
        <v>2.5</v>
      </c>
      <c r="D6" s="8">
        <f t="shared" si="1"/>
        <v>0.10000000000000009</v>
      </c>
      <c r="E6" s="8">
        <v>14</v>
      </c>
      <c r="F6" s="24">
        <f t="shared" si="2"/>
        <v>39.199999999999996</v>
      </c>
      <c r="H6" s="8">
        <v>5</v>
      </c>
      <c r="I6" s="8">
        <v>2</v>
      </c>
      <c r="J6" s="8">
        <f t="shared" si="3"/>
        <v>13.5</v>
      </c>
      <c r="O6" s="113" t="s">
        <v>364</v>
      </c>
    </row>
    <row r="7" spans="1:19" x14ac:dyDescent="0.25">
      <c r="A7" s="66">
        <f t="shared" si="0"/>
        <v>50</v>
      </c>
      <c r="B7" s="8" t="s">
        <v>254</v>
      </c>
      <c r="C7" s="8">
        <v>2.4</v>
      </c>
      <c r="D7" s="8">
        <f t="shared" si="1"/>
        <v>0.10000000000000009</v>
      </c>
      <c r="E7" s="8">
        <v>15</v>
      </c>
      <c r="F7" s="24">
        <f t="shared" si="2"/>
        <v>41.999999999999993</v>
      </c>
      <c r="H7" s="8">
        <v>6</v>
      </c>
      <c r="I7" s="8">
        <v>2</v>
      </c>
      <c r="J7" s="8">
        <f t="shared" si="3"/>
        <v>15.5</v>
      </c>
    </row>
    <row r="8" spans="1:19" x14ac:dyDescent="0.25">
      <c r="A8" s="66">
        <f t="shared" si="0"/>
        <v>60</v>
      </c>
      <c r="B8" s="8" t="s">
        <v>255</v>
      </c>
      <c r="C8" s="8">
        <v>2.2999999999999998</v>
      </c>
      <c r="D8" s="8">
        <f t="shared" si="1"/>
        <v>0.10000000000000009</v>
      </c>
      <c r="E8" s="8">
        <v>16</v>
      </c>
      <c r="F8" s="24">
        <f t="shared" si="2"/>
        <v>44.79999999999999</v>
      </c>
      <c r="H8" s="8">
        <v>7</v>
      </c>
      <c r="I8" s="8">
        <v>2</v>
      </c>
      <c r="J8" s="8">
        <f t="shared" si="3"/>
        <v>17.5</v>
      </c>
    </row>
    <row r="9" spans="1:19" x14ac:dyDescent="0.25">
      <c r="A9" s="66">
        <f t="shared" si="0"/>
        <v>70</v>
      </c>
      <c r="B9" s="8" t="s">
        <v>256</v>
      </c>
      <c r="C9" s="8">
        <v>2.2000000000000002</v>
      </c>
      <c r="D9" s="8">
        <f t="shared" si="1"/>
        <v>9.9999999999999645E-2</v>
      </c>
      <c r="E9" s="8">
        <v>17</v>
      </c>
      <c r="F9" s="24">
        <f t="shared" si="2"/>
        <v>47.599999999999987</v>
      </c>
      <c r="H9" s="8">
        <v>8</v>
      </c>
      <c r="I9" s="8">
        <v>2</v>
      </c>
      <c r="J9" s="8">
        <f t="shared" si="3"/>
        <v>19.5</v>
      </c>
    </row>
    <row r="10" spans="1:19" x14ac:dyDescent="0.25">
      <c r="A10" s="66">
        <f t="shared" si="0"/>
        <v>80</v>
      </c>
      <c r="B10" s="8" t="s">
        <v>257</v>
      </c>
      <c r="C10" s="8">
        <v>2.1</v>
      </c>
      <c r="D10" s="8">
        <f t="shared" si="1"/>
        <v>0.10000000000000009</v>
      </c>
      <c r="E10" s="8">
        <v>18</v>
      </c>
      <c r="F10" s="24">
        <f t="shared" si="2"/>
        <v>50.399999999999984</v>
      </c>
      <c r="H10" s="8">
        <v>9</v>
      </c>
      <c r="I10" s="8">
        <v>2</v>
      </c>
      <c r="J10" s="8">
        <f t="shared" si="3"/>
        <v>21.5</v>
      </c>
    </row>
    <row r="11" spans="1:19" x14ac:dyDescent="0.25">
      <c r="A11" s="66">
        <f t="shared" si="0"/>
        <v>90</v>
      </c>
      <c r="B11" s="8" t="s">
        <v>258</v>
      </c>
      <c r="C11" s="8">
        <v>2</v>
      </c>
      <c r="D11" s="8">
        <f t="shared" si="1"/>
        <v>0.10000000000000009</v>
      </c>
      <c r="E11" s="8">
        <v>19</v>
      </c>
      <c r="F11" s="24">
        <f t="shared" si="2"/>
        <v>53.199999999999982</v>
      </c>
      <c r="H11" s="8">
        <v>10</v>
      </c>
      <c r="I11" s="8">
        <v>2</v>
      </c>
      <c r="J11" s="8">
        <f t="shared" si="3"/>
        <v>23.5</v>
      </c>
    </row>
    <row r="12" spans="1:19" x14ac:dyDescent="0.25">
      <c r="A12" s="66">
        <f t="shared" si="0"/>
        <v>100</v>
      </c>
      <c r="B12" s="8" t="s">
        <v>259</v>
      </c>
      <c r="C12" s="8">
        <v>1.9</v>
      </c>
      <c r="D12" s="8">
        <f t="shared" si="1"/>
        <v>0.10000000000000009</v>
      </c>
      <c r="E12" s="8">
        <v>20</v>
      </c>
      <c r="F12" s="24">
        <f t="shared" ref="F12:F21" si="4">F11+(E12-E11)*$C$4</f>
        <v>55.899999999999984</v>
      </c>
      <c r="H12" s="8">
        <v>11</v>
      </c>
      <c r="I12" s="8">
        <v>2</v>
      </c>
      <c r="J12" s="8">
        <f t="shared" si="3"/>
        <v>25.5</v>
      </c>
      <c r="L12" s="135" t="s">
        <v>370</v>
      </c>
      <c r="P12" s="387" t="s">
        <v>494</v>
      </c>
    </row>
    <row r="13" spans="1:19" x14ac:dyDescent="0.25">
      <c r="A13" s="66">
        <f t="shared" si="0"/>
        <v>110</v>
      </c>
      <c r="B13" s="8" t="s">
        <v>260</v>
      </c>
      <c r="C13" s="8">
        <v>1.8</v>
      </c>
      <c r="D13" s="8">
        <f t="shared" si="1"/>
        <v>9.9999999999999867E-2</v>
      </c>
      <c r="E13" s="8">
        <v>21</v>
      </c>
      <c r="F13" s="24">
        <f t="shared" si="4"/>
        <v>58.599999999999987</v>
      </c>
      <c r="H13" s="8">
        <v>12</v>
      </c>
      <c r="I13" s="8">
        <v>2</v>
      </c>
      <c r="J13" s="8">
        <f t="shared" si="3"/>
        <v>27.5</v>
      </c>
      <c r="L13" s="8">
        <v>0</v>
      </c>
      <c r="M13" s="8">
        <v>0</v>
      </c>
      <c r="N13" s="258">
        <v>0</v>
      </c>
      <c r="Q13" s="135" t="s">
        <v>484</v>
      </c>
      <c r="R13" s="471" t="s">
        <v>485</v>
      </c>
      <c r="S13" s="672" t="s">
        <v>716</v>
      </c>
    </row>
    <row r="14" spans="1:19" x14ac:dyDescent="0.25">
      <c r="A14" s="66">
        <f t="shared" si="0"/>
        <v>120</v>
      </c>
      <c r="B14" s="8" t="s">
        <v>261</v>
      </c>
      <c r="C14" s="8">
        <v>1.7</v>
      </c>
      <c r="D14" s="8">
        <f t="shared" si="1"/>
        <v>0.10000000000000009</v>
      </c>
      <c r="E14" s="8">
        <v>22</v>
      </c>
      <c r="F14" s="24">
        <f t="shared" si="4"/>
        <v>61.29999999999999</v>
      </c>
      <c r="H14" s="8">
        <v>13</v>
      </c>
      <c r="I14" s="8">
        <v>2</v>
      </c>
      <c r="J14" s="8">
        <f t="shared" si="3"/>
        <v>29.5</v>
      </c>
      <c r="L14" s="8">
        <v>6</v>
      </c>
      <c r="M14" s="257">
        <f>ROUND(N14*0.98,1)</f>
        <v>2.5</v>
      </c>
      <c r="N14" s="258">
        <v>2.5</v>
      </c>
      <c r="O14" s="386"/>
      <c r="P14" s="373">
        <v>0</v>
      </c>
      <c r="Q14" s="135">
        <v>0</v>
      </c>
      <c r="R14" s="471">
        <v>0</v>
      </c>
      <c r="S14" s="135">
        <v>0</v>
      </c>
    </row>
    <row r="15" spans="1:19" x14ac:dyDescent="0.25">
      <c r="A15" s="66">
        <f t="shared" si="0"/>
        <v>130</v>
      </c>
      <c r="B15" s="8" t="s">
        <v>262</v>
      </c>
      <c r="C15" s="8">
        <v>1.6</v>
      </c>
      <c r="D15" s="8">
        <f t="shared" si="1"/>
        <v>9.9999999999999867E-2</v>
      </c>
      <c r="E15" s="8">
        <v>23</v>
      </c>
      <c r="F15" s="24">
        <f t="shared" si="4"/>
        <v>63.999999999999993</v>
      </c>
      <c r="H15" s="8">
        <v>14</v>
      </c>
      <c r="I15" s="8">
        <v>2</v>
      </c>
      <c r="J15" s="8">
        <f t="shared" si="3"/>
        <v>31.5</v>
      </c>
      <c r="L15" s="8">
        <v>11</v>
      </c>
      <c r="M15" s="8">
        <f t="shared" ref="M15:M42" si="5">ROUND(N15*0.98,1)</f>
        <v>2.9</v>
      </c>
      <c r="N15" s="258">
        <v>3</v>
      </c>
      <c r="O15" s="386" t="s">
        <v>486</v>
      </c>
      <c r="P15" s="373">
        <v>1</v>
      </c>
      <c r="Q15" s="135">
        <v>1</v>
      </c>
      <c r="R15" s="471">
        <v>1</v>
      </c>
      <c r="S15" s="135">
        <v>1</v>
      </c>
    </row>
    <row r="16" spans="1:19" x14ac:dyDescent="0.25">
      <c r="A16" s="66">
        <f t="shared" si="0"/>
        <v>140</v>
      </c>
      <c r="B16" s="8" t="s">
        <v>263</v>
      </c>
      <c r="C16" s="8">
        <v>1.5</v>
      </c>
      <c r="D16" s="8">
        <f t="shared" si="1"/>
        <v>0.10000000000000009</v>
      </c>
      <c r="E16" s="8">
        <v>24</v>
      </c>
      <c r="F16" s="24">
        <f t="shared" si="4"/>
        <v>66.699999999999989</v>
      </c>
      <c r="H16" s="8">
        <v>15</v>
      </c>
      <c r="I16" s="8">
        <v>2</v>
      </c>
      <c r="J16" s="8">
        <f t="shared" si="3"/>
        <v>33.5</v>
      </c>
      <c r="L16" s="8">
        <v>40</v>
      </c>
      <c r="M16" s="8">
        <f t="shared" si="5"/>
        <v>3.1</v>
      </c>
      <c r="N16" s="258">
        <v>3.2</v>
      </c>
      <c r="O16" s="386" t="s">
        <v>486</v>
      </c>
      <c r="P16" s="373">
        <v>8</v>
      </c>
      <c r="Q16" s="135">
        <v>1.3</v>
      </c>
      <c r="R16" s="471">
        <v>1</v>
      </c>
      <c r="S16" s="135">
        <v>1</v>
      </c>
    </row>
    <row r="17" spans="1:19" x14ac:dyDescent="0.25">
      <c r="A17" s="66">
        <f t="shared" si="0"/>
        <v>150</v>
      </c>
      <c r="B17" s="8" t="s">
        <v>264</v>
      </c>
      <c r="C17" s="8">
        <v>1.4</v>
      </c>
      <c r="D17" s="8">
        <f t="shared" si="1"/>
        <v>0.10000000000000009</v>
      </c>
      <c r="E17" s="8">
        <v>25</v>
      </c>
      <c r="F17" s="24">
        <f t="shared" si="4"/>
        <v>69.399999999999991</v>
      </c>
      <c r="H17" s="8">
        <v>16</v>
      </c>
      <c r="I17" s="8">
        <v>2</v>
      </c>
      <c r="J17" s="8">
        <f t="shared" si="3"/>
        <v>35.5</v>
      </c>
      <c r="L17" s="8">
        <v>48</v>
      </c>
      <c r="M17" s="8">
        <f t="shared" si="5"/>
        <v>3.3</v>
      </c>
      <c r="N17" s="258">
        <v>3.4</v>
      </c>
      <c r="O17" s="386" t="s">
        <v>486</v>
      </c>
      <c r="P17" s="373">
        <v>12</v>
      </c>
      <c r="Q17" s="135">
        <v>1.5</v>
      </c>
      <c r="R17" s="471">
        <v>1</v>
      </c>
      <c r="S17" s="135">
        <v>1</v>
      </c>
    </row>
    <row r="18" spans="1:19" x14ac:dyDescent="0.25">
      <c r="A18" s="66">
        <f t="shared" si="0"/>
        <v>160</v>
      </c>
      <c r="B18" s="8" t="s">
        <v>265</v>
      </c>
      <c r="C18" s="8">
        <v>1.3499999999999999</v>
      </c>
      <c r="D18" s="8">
        <f t="shared" si="1"/>
        <v>5.0000000000000044E-2</v>
      </c>
      <c r="E18" s="8">
        <v>26</v>
      </c>
      <c r="F18" s="24">
        <f t="shared" si="4"/>
        <v>72.099999999999994</v>
      </c>
      <c r="H18" s="8">
        <v>17</v>
      </c>
      <c r="I18" s="8">
        <v>2</v>
      </c>
      <c r="J18" s="8">
        <f t="shared" si="3"/>
        <v>37.5</v>
      </c>
      <c r="L18" s="8">
        <v>56</v>
      </c>
      <c r="M18" s="8">
        <f t="shared" si="5"/>
        <v>3.5</v>
      </c>
      <c r="N18" s="258">
        <v>3.6</v>
      </c>
      <c r="O18" s="386" t="s">
        <v>486</v>
      </c>
      <c r="P18" s="373">
        <v>16</v>
      </c>
      <c r="Q18" s="135">
        <v>2</v>
      </c>
      <c r="R18" s="471">
        <v>1</v>
      </c>
      <c r="S18" s="135">
        <v>1</v>
      </c>
    </row>
    <row r="19" spans="1:19" x14ac:dyDescent="0.25">
      <c r="A19" s="66">
        <f t="shared" si="0"/>
        <v>170</v>
      </c>
      <c r="B19" s="129" t="s">
        <v>519</v>
      </c>
      <c r="C19" s="8">
        <v>1.45</v>
      </c>
      <c r="D19" s="8">
        <f t="shared" si="1"/>
        <v>-0.10000000000000009</v>
      </c>
      <c r="E19" s="8">
        <v>27</v>
      </c>
      <c r="F19" s="24">
        <f t="shared" si="4"/>
        <v>74.8</v>
      </c>
      <c r="H19" s="8">
        <v>18</v>
      </c>
      <c r="I19" s="8">
        <v>2</v>
      </c>
      <c r="J19" s="8">
        <f t="shared" si="3"/>
        <v>39.5</v>
      </c>
      <c r="L19" s="8">
        <v>64</v>
      </c>
      <c r="M19" s="8">
        <f t="shared" si="5"/>
        <v>3.7</v>
      </c>
      <c r="N19" s="258">
        <v>3.8</v>
      </c>
    </row>
    <row r="20" spans="1:19" x14ac:dyDescent="0.25">
      <c r="A20" s="66">
        <f t="shared" si="0"/>
        <v>410</v>
      </c>
      <c r="B20" s="129" t="s">
        <v>520</v>
      </c>
      <c r="C20" s="8">
        <v>1.35</v>
      </c>
      <c r="D20" s="8">
        <f t="shared" si="1"/>
        <v>9.9999999999999867E-2</v>
      </c>
      <c r="E20" s="8">
        <v>28</v>
      </c>
      <c r="F20" s="24">
        <f t="shared" si="4"/>
        <v>77.5</v>
      </c>
      <c r="H20" s="8">
        <v>19</v>
      </c>
      <c r="I20" s="8">
        <v>2</v>
      </c>
      <c r="J20" s="8">
        <f t="shared" si="3"/>
        <v>41.5</v>
      </c>
      <c r="L20" s="8">
        <v>72</v>
      </c>
      <c r="M20" s="8">
        <f t="shared" si="5"/>
        <v>3.9</v>
      </c>
      <c r="N20" s="258">
        <v>4</v>
      </c>
    </row>
    <row r="21" spans="1:19" x14ac:dyDescent="0.25">
      <c r="E21" s="8">
        <v>29</v>
      </c>
      <c r="F21" s="24">
        <f t="shared" si="4"/>
        <v>80.2</v>
      </c>
      <c r="H21" s="8">
        <v>20</v>
      </c>
      <c r="I21" s="8">
        <v>2</v>
      </c>
      <c r="J21" s="8">
        <f t="shared" si="3"/>
        <v>43.5</v>
      </c>
      <c r="L21" s="8">
        <v>80</v>
      </c>
      <c r="M21" s="8">
        <f t="shared" si="5"/>
        <v>4.0999999999999996</v>
      </c>
      <c r="N21" s="258">
        <v>4.2</v>
      </c>
    </row>
    <row r="22" spans="1:19" x14ac:dyDescent="0.25">
      <c r="E22" s="8">
        <v>30</v>
      </c>
      <c r="F22" s="24">
        <f t="shared" ref="F22:F31" si="6">F21+(E22-E21)*$C$5</f>
        <v>82.8</v>
      </c>
      <c r="H22" s="8">
        <v>21</v>
      </c>
      <c r="I22" s="8">
        <v>2</v>
      </c>
      <c r="J22" s="8">
        <f t="shared" si="3"/>
        <v>45.5</v>
      </c>
      <c r="L22" s="8">
        <v>87</v>
      </c>
      <c r="M22" s="8">
        <f t="shared" si="5"/>
        <v>4.2</v>
      </c>
      <c r="N22" s="258">
        <v>4.3</v>
      </c>
    </row>
    <row r="23" spans="1:19" x14ac:dyDescent="0.25">
      <c r="E23" s="8">
        <v>31</v>
      </c>
      <c r="F23" s="24">
        <f t="shared" si="6"/>
        <v>85.399999999999991</v>
      </c>
      <c r="H23" s="8">
        <v>22</v>
      </c>
      <c r="I23" s="8">
        <v>2</v>
      </c>
      <c r="J23" s="8">
        <f t="shared" si="3"/>
        <v>47.5</v>
      </c>
      <c r="L23" s="8">
        <v>95</v>
      </c>
      <c r="M23" s="8">
        <f t="shared" si="5"/>
        <v>4.3</v>
      </c>
      <c r="N23" s="258">
        <v>4.4000000000000004</v>
      </c>
    </row>
    <row r="24" spans="1:19" x14ac:dyDescent="0.25">
      <c r="B24" s="8" t="s">
        <v>269</v>
      </c>
      <c r="E24" s="8">
        <v>32</v>
      </c>
      <c r="F24" s="24">
        <f t="shared" si="6"/>
        <v>87.999999999999986</v>
      </c>
      <c r="H24" s="8">
        <v>23</v>
      </c>
      <c r="I24" s="8">
        <v>2</v>
      </c>
      <c r="J24" s="8">
        <f t="shared" si="3"/>
        <v>49.5</v>
      </c>
      <c r="L24" s="8">
        <v>104</v>
      </c>
      <c r="M24" s="8">
        <f t="shared" si="5"/>
        <v>4.4000000000000004</v>
      </c>
      <c r="N24" s="258">
        <v>4.5</v>
      </c>
    </row>
    <row r="25" spans="1:19" x14ac:dyDescent="0.25">
      <c r="B25" s="878">
        <v>6.1890000000000001E-3</v>
      </c>
      <c r="C25" s="878"/>
      <c r="E25" s="8">
        <v>33</v>
      </c>
      <c r="F25" s="24">
        <f t="shared" si="6"/>
        <v>90.59999999999998</v>
      </c>
      <c r="H25" s="8">
        <v>24</v>
      </c>
      <c r="I25" s="8">
        <v>2</v>
      </c>
      <c r="J25" s="8">
        <f t="shared" si="3"/>
        <v>51.5</v>
      </c>
      <c r="L25" s="8">
        <v>114</v>
      </c>
      <c r="M25" s="8">
        <f t="shared" si="5"/>
        <v>4.5</v>
      </c>
      <c r="N25" s="258">
        <v>4.5999999999999996</v>
      </c>
    </row>
    <row r="26" spans="1:19" x14ac:dyDescent="0.25">
      <c r="E26" s="8">
        <v>34</v>
      </c>
      <c r="F26" s="24">
        <f t="shared" si="6"/>
        <v>93.199999999999974</v>
      </c>
      <c r="H26" s="8">
        <v>25</v>
      </c>
      <c r="I26" s="8">
        <v>2</v>
      </c>
      <c r="J26" s="8">
        <f t="shared" si="3"/>
        <v>53.5</v>
      </c>
      <c r="L26" s="8">
        <v>125</v>
      </c>
      <c r="M26" s="8">
        <f t="shared" si="5"/>
        <v>4.5999999999999996</v>
      </c>
      <c r="N26" s="258">
        <v>4.7</v>
      </c>
    </row>
    <row r="27" spans="1:19" x14ac:dyDescent="0.25">
      <c r="B27" s="127">
        <f>1/B25</f>
        <v>161.57699143641946</v>
      </c>
      <c r="E27" s="8">
        <v>35</v>
      </c>
      <c r="F27" s="24">
        <f t="shared" si="6"/>
        <v>95.799999999999969</v>
      </c>
      <c r="H27" s="8">
        <v>26</v>
      </c>
      <c r="I27" s="8">
        <v>2</v>
      </c>
      <c r="J27" s="8">
        <f t="shared" si="3"/>
        <v>55.5</v>
      </c>
      <c r="L27" s="8">
        <v>137</v>
      </c>
      <c r="M27" s="8">
        <f t="shared" si="5"/>
        <v>4.7</v>
      </c>
      <c r="N27" s="258">
        <v>4.8</v>
      </c>
    </row>
    <row r="28" spans="1:19" x14ac:dyDescent="0.25">
      <c r="E28" s="8">
        <v>36</v>
      </c>
      <c r="F28" s="24">
        <f t="shared" si="6"/>
        <v>98.399999999999963</v>
      </c>
      <c r="H28" s="8">
        <v>27</v>
      </c>
      <c r="I28" s="8">
        <v>2</v>
      </c>
      <c r="J28" s="8">
        <f t="shared" si="3"/>
        <v>57.5</v>
      </c>
      <c r="L28" s="8">
        <v>150</v>
      </c>
      <c r="M28" s="8">
        <f t="shared" si="5"/>
        <v>4.8</v>
      </c>
      <c r="N28" s="258">
        <v>4.9000000000000004</v>
      </c>
    </row>
    <row r="29" spans="1:19" x14ac:dyDescent="0.25">
      <c r="E29" s="8">
        <v>37</v>
      </c>
      <c r="F29" s="24">
        <f t="shared" si="6"/>
        <v>100.99999999999996</v>
      </c>
      <c r="H29" s="8">
        <v>28</v>
      </c>
      <c r="I29" s="8">
        <v>2</v>
      </c>
      <c r="J29" s="8">
        <f t="shared" si="3"/>
        <v>59.5</v>
      </c>
      <c r="L29" s="8">
        <v>164</v>
      </c>
      <c r="M29" s="8">
        <f t="shared" si="5"/>
        <v>4.9000000000000004</v>
      </c>
      <c r="N29" s="258">
        <v>5</v>
      </c>
    </row>
    <row r="30" spans="1:19" x14ac:dyDescent="0.25">
      <c r="B30" s="129" t="s">
        <v>368</v>
      </c>
      <c r="E30" s="8">
        <v>38</v>
      </c>
      <c r="F30" s="24">
        <f t="shared" si="6"/>
        <v>103.59999999999995</v>
      </c>
      <c r="H30" s="8">
        <v>29</v>
      </c>
      <c r="I30" s="8">
        <v>2</v>
      </c>
      <c r="J30" s="8">
        <f t="shared" si="3"/>
        <v>61.5</v>
      </c>
      <c r="L30" s="8">
        <v>179</v>
      </c>
      <c r="M30" s="8">
        <f t="shared" si="5"/>
        <v>5</v>
      </c>
      <c r="N30" s="258">
        <v>5.0999999999999996</v>
      </c>
    </row>
    <row r="31" spans="1:19" x14ac:dyDescent="0.25">
      <c r="B31" s="130" t="s">
        <v>369</v>
      </c>
      <c r="C31" s="116">
        <v>64</v>
      </c>
      <c r="E31" s="8">
        <v>39</v>
      </c>
      <c r="F31" s="24">
        <f t="shared" si="6"/>
        <v>106.19999999999995</v>
      </c>
      <c r="H31" s="8">
        <v>30</v>
      </c>
      <c r="I31" s="8">
        <v>2</v>
      </c>
      <c r="J31" s="8">
        <f t="shared" si="3"/>
        <v>63.5</v>
      </c>
      <c r="L31" s="8">
        <v>195</v>
      </c>
      <c r="M31" s="8">
        <f t="shared" si="5"/>
        <v>5.0999999999999996</v>
      </c>
      <c r="N31" s="258">
        <v>5.2</v>
      </c>
    </row>
    <row r="32" spans="1:19" x14ac:dyDescent="0.25">
      <c r="B32" s="131">
        <v>6</v>
      </c>
      <c r="C32" s="132">
        <v>289</v>
      </c>
      <c r="E32" s="8">
        <v>40</v>
      </c>
      <c r="F32" s="24">
        <f t="shared" ref="F32:F41" si="7">F31+(E32-E31)*$C$6</f>
        <v>108.69999999999995</v>
      </c>
      <c r="L32" s="8">
        <v>212</v>
      </c>
      <c r="M32" s="8">
        <f t="shared" si="5"/>
        <v>5.2</v>
      </c>
      <c r="N32" s="258">
        <v>5.3</v>
      </c>
    </row>
    <row r="33" spans="2:14" x14ac:dyDescent="0.25">
      <c r="B33" s="133"/>
      <c r="C33" s="134">
        <f>SUM(C31:C32)</f>
        <v>353</v>
      </c>
      <c r="E33" s="8">
        <v>41</v>
      </c>
      <c r="F33" s="24">
        <f t="shared" si="7"/>
        <v>111.19999999999995</v>
      </c>
      <c r="L33" s="8">
        <v>230</v>
      </c>
      <c r="M33" s="8">
        <f t="shared" si="5"/>
        <v>5.3</v>
      </c>
      <c r="N33" s="258">
        <v>5.4</v>
      </c>
    </row>
    <row r="34" spans="2:14" x14ac:dyDescent="0.25">
      <c r="E34" s="8">
        <v>42</v>
      </c>
      <c r="F34" s="24">
        <f t="shared" si="7"/>
        <v>113.69999999999995</v>
      </c>
      <c r="L34" s="8">
        <v>249</v>
      </c>
      <c r="M34" s="8">
        <f t="shared" si="5"/>
        <v>5.4</v>
      </c>
      <c r="N34" s="258">
        <v>5.5</v>
      </c>
    </row>
    <row r="35" spans="2:14" x14ac:dyDescent="0.25">
      <c r="E35" s="8">
        <v>43</v>
      </c>
      <c r="F35" s="24">
        <f t="shared" si="7"/>
        <v>116.19999999999995</v>
      </c>
      <c r="L35" s="8">
        <v>269</v>
      </c>
      <c r="M35" s="8">
        <f t="shared" si="5"/>
        <v>5.5</v>
      </c>
      <c r="N35" s="258">
        <v>5.6</v>
      </c>
    </row>
    <row r="36" spans="2:14" x14ac:dyDescent="0.25">
      <c r="E36" s="8">
        <v>44</v>
      </c>
      <c r="F36" s="24">
        <f t="shared" si="7"/>
        <v>118.69999999999995</v>
      </c>
      <c r="L36" s="8">
        <v>290</v>
      </c>
      <c r="M36" s="8">
        <f t="shared" si="5"/>
        <v>5.6</v>
      </c>
      <c r="N36" s="258">
        <v>5.7</v>
      </c>
    </row>
    <row r="37" spans="2:14" x14ac:dyDescent="0.25">
      <c r="E37" s="8">
        <v>45</v>
      </c>
      <c r="F37" s="24">
        <f t="shared" si="7"/>
        <v>121.19999999999995</v>
      </c>
      <c r="L37" s="8">
        <v>312</v>
      </c>
      <c r="M37" s="8">
        <f t="shared" si="5"/>
        <v>5.7</v>
      </c>
      <c r="N37" s="258">
        <v>5.8</v>
      </c>
    </row>
    <row r="38" spans="2:14" x14ac:dyDescent="0.25">
      <c r="E38" s="8">
        <v>46</v>
      </c>
      <c r="F38" s="24">
        <f t="shared" si="7"/>
        <v>123.69999999999995</v>
      </c>
      <c r="L38" s="8">
        <v>335</v>
      </c>
      <c r="M38" s="8">
        <f t="shared" si="5"/>
        <v>5.8</v>
      </c>
      <c r="N38" s="258">
        <v>5.9</v>
      </c>
    </row>
    <row r="39" spans="2:14" x14ac:dyDescent="0.25">
      <c r="E39" s="8">
        <v>47</v>
      </c>
      <c r="F39" s="24">
        <f t="shared" si="7"/>
        <v>126.19999999999995</v>
      </c>
      <c r="L39" s="8">
        <v>359</v>
      </c>
      <c r="M39" s="8">
        <f t="shared" si="5"/>
        <v>5.9</v>
      </c>
      <c r="N39" s="258">
        <v>6</v>
      </c>
    </row>
    <row r="40" spans="2:14" x14ac:dyDescent="0.25">
      <c r="E40" s="8">
        <v>48</v>
      </c>
      <c r="F40" s="24">
        <f t="shared" si="7"/>
        <v>128.69999999999993</v>
      </c>
      <c r="L40" s="8">
        <v>384</v>
      </c>
      <c r="M40" s="8">
        <f t="shared" si="5"/>
        <v>6</v>
      </c>
      <c r="N40" s="258">
        <v>6.1</v>
      </c>
    </row>
    <row r="41" spans="2:14" x14ac:dyDescent="0.25">
      <c r="E41" s="8">
        <v>49</v>
      </c>
      <c r="F41" s="24">
        <f t="shared" si="7"/>
        <v>131.19999999999993</v>
      </c>
      <c r="L41" s="8">
        <v>410</v>
      </c>
      <c r="M41" s="8">
        <f t="shared" si="5"/>
        <v>6.1</v>
      </c>
      <c r="N41" s="258">
        <v>6.2</v>
      </c>
    </row>
    <row r="42" spans="2:14" x14ac:dyDescent="0.25">
      <c r="E42" s="8">
        <v>50</v>
      </c>
      <c r="F42" s="24">
        <f t="shared" ref="F42:F51" si="8">F41+(E42-E41)*$C$7</f>
        <v>133.59999999999994</v>
      </c>
      <c r="L42" s="8">
        <v>437</v>
      </c>
      <c r="M42" s="8">
        <f t="shared" si="5"/>
        <v>6.2</v>
      </c>
      <c r="N42" s="258">
        <v>6.3</v>
      </c>
    </row>
    <row r="43" spans="2:14" x14ac:dyDescent="0.25">
      <c r="E43" s="8">
        <v>51</v>
      </c>
      <c r="F43" s="24">
        <f t="shared" si="8"/>
        <v>135.99999999999994</v>
      </c>
    </row>
    <row r="44" spans="2:14" x14ac:dyDescent="0.25">
      <c r="E44" s="8">
        <v>52</v>
      </c>
      <c r="F44" s="24">
        <f t="shared" si="8"/>
        <v>138.39999999999995</v>
      </c>
    </row>
    <row r="45" spans="2:14" x14ac:dyDescent="0.25">
      <c r="E45" s="8">
        <v>53</v>
      </c>
      <c r="F45" s="24">
        <f t="shared" si="8"/>
        <v>140.79999999999995</v>
      </c>
    </row>
    <row r="46" spans="2:14" x14ac:dyDescent="0.25">
      <c r="E46" s="8">
        <v>54</v>
      </c>
      <c r="F46" s="24">
        <f t="shared" si="8"/>
        <v>143.19999999999996</v>
      </c>
    </row>
    <row r="47" spans="2:14" x14ac:dyDescent="0.25">
      <c r="E47" s="8">
        <v>55</v>
      </c>
      <c r="F47" s="24">
        <f t="shared" si="8"/>
        <v>145.59999999999997</v>
      </c>
    </row>
    <row r="48" spans="2:14" x14ac:dyDescent="0.25">
      <c r="E48" s="8">
        <v>56</v>
      </c>
      <c r="F48" s="24">
        <f t="shared" si="8"/>
        <v>147.99999999999997</v>
      </c>
    </row>
    <row r="49" spans="5:6" x14ac:dyDescent="0.25">
      <c r="E49" s="8">
        <v>57</v>
      </c>
      <c r="F49" s="24">
        <f t="shared" si="8"/>
        <v>150.39999999999998</v>
      </c>
    </row>
    <row r="50" spans="5:6" x14ac:dyDescent="0.25">
      <c r="E50" s="8">
        <v>58</v>
      </c>
      <c r="F50" s="24">
        <f t="shared" si="8"/>
        <v>152.79999999999998</v>
      </c>
    </row>
    <row r="51" spans="5:6" x14ac:dyDescent="0.25">
      <c r="E51" s="8">
        <v>59</v>
      </c>
      <c r="F51" s="24">
        <f t="shared" si="8"/>
        <v>155.19999999999999</v>
      </c>
    </row>
    <row r="52" spans="5:6" x14ac:dyDescent="0.25">
      <c r="E52" s="8">
        <v>60</v>
      </c>
      <c r="F52" s="24">
        <f t="shared" ref="F52:F61" si="9">F51+(E52-E51)*$C$8</f>
        <v>157.5</v>
      </c>
    </row>
    <row r="53" spans="5:6" x14ac:dyDescent="0.25">
      <c r="E53" s="8">
        <v>61</v>
      </c>
      <c r="F53" s="24">
        <f t="shared" si="9"/>
        <v>159.80000000000001</v>
      </c>
    </row>
    <row r="54" spans="5:6" x14ac:dyDescent="0.25">
      <c r="E54" s="8">
        <v>62</v>
      </c>
      <c r="F54" s="24">
        <f t="shared" si="9"/>
        <v>162.10000000000002</v>
      </c>
    </row>
    <row r="55" spans="5:6" x14ac:dyDescent="0.25">
      <c r="E55" s="8">
        <v>63</v>
      </c>
      <c r="F55" s="24">
        <f t="shared" si="9"/>
        <v>164.40000000000003</v>
      </c>
    </row>
    <row r="56" spans="5:6" x14ac:dyDescent="0.25">
      <c r="E56" s="8">
        <v>64</v>
      </c>
      <c r="F56" s="24">
        <f t="shared" si="9"/>
        <v>166.70000000000005</v>
      </c>
    </row>
    <row r="57" spans="5:6" x14ac:dyDescent="0.25">
      <c r="E57" s="8">
        <v>65</v>
      </c>
      <c r="F57" s="24">
        <f t="shared" si="9"/>
        <v>169.00000000000006</v>
      </c>
    </row>
    <row r="58" spans="5:6" x14ac:dyDescent="0.25">
      <c r="E58" s="8">
        <v>66</v>
      </c>
      <c r="F58" s="24">
        <f t="shared" si="9"/>
        <v>171.30000000000007</v>
      </c>
    </row>
    <row r="59" spans="5:6" x14ac:dyDescent="0.25">
      <c r="E59" s="8">
        <v>67</v>
      </c>
      <c r="F59" s="24">
        <f t="shared" si="9"/>
        <v>173.60000000000008</v>
      </c>
    </row>
    <row r="60" spans="5:6" x14ac:dyDescent="0.25">
      <c r="E60" s="8">
        <v>68</v>
      </c>
      <c r="F60" s="24">
        <f t="shared" si="9"/>
        <v>175.90000000000009</v>
      </c>
    </row>
    <row r="61" spans="5:6" x14ac:dyDescent="0.25">
      <c r="E61" s="8">
        <v>69</v>
      </c>
      <c r="F61" s="24">
        <f t="shared" si="9"/>
        <v>178.2000000000001</v>
      </c>
    </row>
    <row r="62" spans="5:6" x14ac:dyDescent="0.25">
      <c r="E62" s="8">
        <v>70</v>
      </c>
      <c r="F62" s="24">
        <f t="shared" ref="F62:F71" si="10">F61+(E62-E61)*$C$9</f>
        <v>180.40000000000009</v>
      </c>
    </row>
    <row r="63" spans="5:6" x14ac:dyDescent="0.25">
      <c r="E63" s="8">
        <v>71</v>
      </c>
      <c r="F63" s="24">
        <f t="shared" si="10"/>
        <v>182.60000000000008</v>
      </c>
    </row>
    <row r="64" spans="5:6" x14ac:dyDescent="0.25">
      <c r="E64" s="8">
        <v>72</v>
      </c>
      <c r="F64" s="24">
        <f t="shared" si="10"/>
        <v>184.80000000000007</v>
      </c>
    </row>
    <row r="65" spans="5:6" x14ac:dyDescent="0.25">
      <c r="E65" s="8">
        <v>73</v>
      </c>
      <c r="F65" s="24">
        <f t="shared" si="10"/>
        <v>187.00000000000006</v>
      </c>
    </row>
    <row r="66" spans="5:6" x14ac:dyDescent="0.25">
      <c r="E66" s="8">
        <v>74</v>
      </c>
      <c r="F66" s="24">
        <f t="shared" si="10"/>
        <v>189.20000000000005</v>
      </c>
    </row>
    <row r="67" spans="5:6" x14ac:dyDescent="0.25">
      <c r="E67" s="8">
        <v>75</v>
      </c>
      <c r="F67" s="24">
        <f t="shared" si="10"/>
        <v>191.40000000000003</v>
      </c>
    </row>
    <row r="68" spans="5:6" x14ac:dyDescent="0.25">
      <c r="E68" s="8">
        <v>76</v>
      </c>
      <c r="F68" s="24">
        <f t="shared" si="10"/>
        <v>193.60000000000002</v>
      </c>
    </row>
    <row r="69" spans="5:6" x14ac:dyDescent="0.25">
      <c r="E69" s="8">
        <v>77</v>
      </c>
      <c r="F69" s="24">
        <f t="shared" si="10"/>
        <v>195.8</v>
      </c>
    </row>
    <row r="70" spans="5:6" x14ac:dyDescent="0.25">
      <c r="E70" s="8">
        <v>78</v>
      </c>
      <c r="F70" s="24">
        <f t="shared" si="10"/>
        <v>198</v>
      </c>
    </row>
    <row r="71" spans="5:6" x14ac:dyDescent="0.25">
      <c r="E71" s="8">
        <v>79</v>
      </c>
      <c r="F71" s="24">
        <f t="shared" si="10"/>
        <v>200.2</v>
      </c>
    </row>
    <row r="72" spans="5:6" x14ac:dyDescent="0.25">
      <c r="E72" s="8">
        <v>80</v>
      </c>
      <c r="F72" s="24">
        <f t="shared" ref="F72:F81" si="11">F71+(E72-E71)*$C$10</f>
        <v>202.29999999999998</v>
      </c>
    </row>
    <row r="73" spans="5:6" x14ac:dyDescent="0.25">
      <c r="E73" s="8">
        <v>81</v>
      </c>
      <c r="F73" s="24">
        <f t="shared" si="11"/>
        <v>204.39999999999998</v>
      </c>
    </row>
    <row r="74" spans="5:6" x14ac:dyDescent="0.25">
      <c r="E74" s="8">
        <v>82</v>
      </c>
      <c r="F74" s="24">
        <f t="shared" si="11"/>
        <v>206.49999999999997</v>
      </c>
    </row>
    <row r="75" spans="5:6" x14ac:dyDescent="0.25">
      <c r="E75" s="8">
        <v>83</v>
      </c>
      <c r="F75" s="24">
        <f t="shared" si="11"/>
        <v>208.59999999999997</v>
      </c>
    </row>
    <row r="76" spans="5:6" x14ac:dyDescent="0.25">
      <c r="E76" s="8">
        <v>84</v>
      </c>
      <c r="F76" s="24">
        <f t="shared" si="11"/>
        <v>210.69999999999996</v>
      </c>
    </row>
    <row r="77" spans="5:6" x14ac:dyDescent="0.25">
      <c r="E77" s="8">
        <v>85</v>
      </c>
      <c r="F77" s="24">
        <f t="shared" si="11"/>
        <v>212.79999999999995</v>
      </c>
    </row>
    <row r="78" spans="5:6" x14ac:dyDescent="0.25">
      <c r="E78" s="8">
        <v>86</v>
      </c>
      <c r="F78" s="24">
        <f t="shared" si="11"/>
        <v>214.89999999999995</v>
      </c>
    </row>
    <row r="79" spans="5:6" x14ac:dyDescent="0.25">
      <c r="E79" s="8">
        <v>87</v>
      </c>
      <c r="F79" s="24">
        <f t="shared" si="11"/>
        <v>216.99999999999994</v>
      </c>
    </row>
    <row r="80" spans="5:6" x14ac:dyDescent="0.25">
      <c r="E80" s="8">
        <v>88</v>
      </c>
      <c r="F80" s="24">
        <f t="shared" si="11"/>
        <v>219.09999999999994</v>
      </c>
    </row>
    <row r="81" spans="5:6" x14ac:dyDescent="0.25">
      <c r="E81" s="8">
        <v>89</v>
      </c>
      <c r="F81" s="24">
        <f t="shared" si="11"/>
        <v>221.19999999999993</v>
      </c>
    </row>
    <row r="82" spans="5:6" x14ac:dyDescent="0.25">
      <c r="E82" s="8">
        <v>90</v>
      </c>
      <c r="F82" s="24">
        <f t="shared" ref="F82:F91" si="12">F81+(E82-E81)*$C$11</f>
        <v>223.19999999999993</v>
      </c>
    </row>
    <row r="83" spans="5:6" x14ac:dyDescent="0.25">
      <c r="E83" s="8">
        <v>91</v>
      </c>
      <c r="F83" s="24">
        <f t="shared" si="12"/>
        <v>225.19999999999993</v>
      </c>
    </row>
    <row r="84" spans="5:6" x14ac:dyDescent="0.25">
      <c r="E84" s="8">
        <v>92</v>
      </c>
      <c r="F84" s="24">
        <f t="shared" si="12"/>
        <v>227.19999999999993</v>
      </c>
    </row>
    <row r="85" spans="5:6" x14ac:dyDescent="0.25">
      <c r="E85" s="8">
        <v>93</v>
      </c>
      <c r="F85" s="24">
        <f t="shared" si="12"/>
        <v>229.19999999999993</v>
      </c>
    </row>
    <row r="86" spans="5:6" x14ac:dyDescent="0.25">
      <c r="E86" s="8">
        <v>94</v>
      </c>
      <c r="F86" s="24">
        <f t="shared" si="12"/>
        <v>231.19999999999993</v>
      </c>
    </row>
    <row r="87" spans="5:6" x14ac:dyDescent="0.25">
      <c r="E87" s="8">
        <v>95</v>
      </c>
      <c r="F87" s="24">
        <f t="shared" si="12"/>
        <v>233.19999999999993</v>
      </c>
    </row>
    <row r="88" spans="5:6" x14ac:dyDescent="0.25">
      <c r="E88" s="8">
        <v>96</v>
      </c>
      <c r="F88" s="24">
        <f t="shared" si="12"/>
        <v>235.19999999999993</v>
      </c>
    </row>
    <row r="89" spans="5:6" x14ac:dyDescent="0.25">
      <c r="E89" s="8">
        <v>97</v>
      </c>
      <c r="F89" s="24">
        <f t="shared" si="12"/>
        <v>237.19999999999993</v>
      </c>
    </row>
    <row r="90" spans="5:6" x14ac:dyDescent="0.25">
      <c r="E90" s="8">
        <v>98</v>
      </c>
      <c r="F90" s="24">
        <f t="shared" si="12"/>
        <v>239.19999999999993</v>
      </c>
    </row>
    <row r="91" spans="5:6" x14ac:dyDescent="0.25">
      <c r="E91" s="8">
        <v>99</v>
      </c>
      <c r="F91" s="24">
        <f t="shared" si="12"/>
        <v>241.19999999999993</v>
      </c>
    </row>
    <row r="92" spans="5:6" x14ac:dyDescent="0.25">
      <c r="E92" s="8">
        <v>100</v>
      </c>
      <c r="F92" s="24">
        <f t="shared" ref="F92:F101" si="13">F91+(E92-E91)*$C$12</f>
        <v>243.09999999999994</v>
      </c>
    </row>
    <row r="93" spans="5:6" x14ac:dyDescent="0.25">
      <c r="E93" s="8">
        <v>101</v>
      </c>
      <c r="F93" s="24">
        <f t="shared" si="13"/>
        <v>244.99999999999994</v>
      </c>
    </row>
    <row r="94" spans="5:6" x14ac:dyDescent="0.25">
      <c r="E94" s="8">
        <v>102</v>
      </c>
      <c r="F94" s="24">
        <f t="shared" si="13"/>
        <v>246.89999999999995</v>
      </c>
    </row>
    <row r="95" spans="5:6" x14ac:dyDescent="0.25">
      <c r="E95" s="8">
        <v>103</v>
      </c>
      <c r="F95" s="24">
        <f t="shared" si="13"/>
        <v>248.79999999999995</v>
      </c>
    </row>
    <row r="96" spans="5:6" x14ac:dyDescent="0.25">
      <c r="E96" s="8">
        <v>104</v>
      </c>
      <c r="F96" s="24">
        <f t="shared" si="13"/>
        <v>250.69999999999996</v>
      </c>
    </row>
    <row r="97" spans="5:6" x14ac:dyDescent="0.25">
      <c r="E97" s="8">
        <v>105</v>
      </c>
      <c r="F97" s="24">
        <f t="shared" si="13"/>
        <v>252.59999999999997</v>
      </c>
    </row>
    <row r="98" spans="5:6" x14ac:dyDescent="0.25">
      <c r="E98" s="8">
        <v>106</v>
      </c>
      <c r="F98" s="24">
        <f t="shared" si="13"/>
        <v>254.49999999999997</v>
      </c>
    </row>
    <row r="99" spans="5:6" x14ac:dyDescent="0.25">
      <c r="E99" s="8">
        <v>107</v>
      </c>
      <c r="F99" s="24">
        <f t="shared" si="13"/>
        <v>256.39999999999998</v>
      </c>
    </row>
    <row r="100" spans="5:6" x14ac:dyDescent="0.25">
      <c r="E100" s="8">
        <v>108</v>
      </c>
      <c r="F100" s="24">
        <f t="shared" si="13"/>
        <v>258.29999999999995</v>
      </c>
    </row>
    <row r="101" spans="5:6" x14ac:dyDescent="0.25">
      <c r="E101" s="8">
        <v>109</v>
      </c>
      <c r="F101" s="24">
        <f t="shared" si="13"/>
        <v>260.19999999999993</v>
      </c>
    </row>
    <row r="102" spans="5:6" x14ac:dyDescent="0.25">
      <c r="E102" s="8">
        <v>110</v>
      </c>
      <c r="F102" s="24">
        <f t="shared" ref="F102:F111" si="14">F101+(E102-E101)*$C$13</f>
        <v>261.99999999999994</v>
      </c>
    </row>
    <row r="103" spans="5:6" x14ac:dyDescent="0.25">
      <c r="E103" s="8">
        <v>111</v>
      </c>
      <c r="F103" s="24">
        <f t="shared" si="14"/>
        <v>263.79999999999995</v>
      </c>
    </row>
    <row r="104" spans="5:6" x14ac:dyDescent="0.25">
      <c r="E104" s="8">
        <v>112</v>
      </c>
      <c r="F104" s="24">
        <f t="shared" si="14"/>
        <v>265.59999999999997</v>
      </c>
    </row>
    <row r="105" spans="5:6" x14ac:dyDescent="0.25">
      <c r="E105" s="8">
        <v>113</v>
      </c>
      <c r="F105" s="24">
        <f t="shared" si="14"/>
        <v>267.39999999999998</v>
      </c>
    </row>
    <row r="106" spans="5:6" x14ac:dyDescent="0.25">
      <c r="E106" s="8">
        <v>114</v>
      </c>
      <c r="F106" s="24">
        <f t="shared" si="14"/>
        <v>269.2</v>
      </c>
    </row>
    <row r="107" spans="5:6" x14ac:dyDescent="0.25">
      <c r="E107" s="8">
        <v>115</v>
      </c>
      <c r="F107" s="24">
        <f t="shared" si="14"/>
        <v>271</v>
      </c>
    </row>
    <row r="108" spans="5:6" x14ac:dyDescent="0.25">
      <c r="E108" s="8">
        <v>116</v>
      </c>
      <c r="F108" s="24">
        <f t="shared" si="14"/>
        <v>272.8</v>
      </c>
    </row>
    <row r="109" spans="5:6" x14ac:dyDescent="0.25">
      <c r="E109" s="8">
        <v>117</v>
      </c>
      <c r="F109" s="24">
        <f t="shared" si="14"/>
        <v>274.60000000000002</v>
      </c>
    </row>
    <row r="110" spans="5:6" x14ac:dyDescent="0.25">
      <c r="E110" s="8">
        <v>118</v>
      </c>
      <c r="F110" s="24">
        <f t="shared" si="14"/>
        <v>276.40000000000003</v>
      </c>
    </row>
    <row r="111" spans="5:6" x14ac:dyDescent="0.25">
      <c r="E111" s="8">
        <v>119</v>
      </c>
      <c r="F111" s="24">
        <f t="shared" si="14"/>
        <v>278.20000000000005</v>
      </c>
    </row>
    <row r="112" spans="5:6" x14ac:dyDescent="0.25">
      <c r="E112" s="8">
        <v>120</v>
      </c>
      <c r="F112" s="24">
        <f t="shared" ref="F112:F121" si="15">F111+(E112-E111)*$C$14</f>
        <v>279.90000000000003</v>
      </c>
    </row>
    <row r="113" spans="5:6" x14ac:dyDescent="0.25">
      <c r="E113" s="8">
        <v>121</v>
      </c>
      <c r="F113" s="24">
        <f t="shared" si="15"/>
        <v>281.60000000000002</v>
      </c>
    </row>
    <row r="114" spans="5:6" x14ac:dyDescent="0.25">
      <c r="E114" s="8">
        <v>122</v>
      </c>
      <c r="F114" s="24">
        <f t="shared" si="15"/>
        <v>283.3</v>
      </c>
    </row>
    <row r="115" spans="5:6" x14ac:dyDescent="0.25">
      <c r="E115" s="8">
        <v>123</v>
      </c>
      <c r="F115" s="24">
        <f t="shared" si="15"/>
        <v>285</v>
      </c>
    </row>
    <row r="116" spans="5:6" x14ac:dyDescent="0.25">
      <c r="E116" s="8">
        <v>124</v>
      </c>
      <c r="F116" s="24">
        <f t="shared" si="15"/>
        <v>286.7</v>
      </c>
    </row>
    <row r="117" spans="5:6" x14ac:dyDescent="0.25">
      <c r="E117" s="8">
        <v>125</v>
      </c>
      <c r="F117" s="24">
        <f t="shared" si="15"/>
        <v>288.39999999999998</v>
      </c>
    </row>
    <row r="118" spans="5:6" x14ac:dyDescent="0.25">
      <c r="E118" s="8">
        <v>126</v>
      </c>
      <c r="F118" s="24">
        <f t="shared" si="15"/>
        <v>290.09999999999997</v>
      </c>
    </row>
    <row r="119" spans="5:6" x14ac:dyDescent="0.25">
      <c r="E119" s="8">
        <v>127</v>
      </c>
      <c r="F119" s="24">
        <f t="shared" si="15"/>
        <v>291.79999999999995</v>
      </c>
    </row>
    <row r="120" spans="5:6" x14ac:dyDescent="0.25">
      <c r="E120" s="8">
        <v>128</v>
      </c>
      <c r="F120" s="24">
        <f t="shared" si="15"/>
        <v>293.49999999999994</v>
      </c>
    </row>
    <row r="121" spans="5:6" x14ac:dyDescent="0.25">
      <c r="E121" s="8">
        <v>129</v>
      </c>
      <c r="F121" s="24">
        <f t="shared" si="15"/>
        <v>295.19999999999993</v>
      </c>
    </row>
    <row r="122" spans="5:6" x14ac:dyDescent="0.25">
      <c r="E122" s="8">
        <v>130</v>
      </c>
      <c r="F122" s="24">
        <f t="shared" ref="F122:F131" si="16">F121+(E122-E121)*$C$15</f>
        <v>296.79999999999995</v>
      </c>
    </row>
    <row r="123" spans="5:6" x14ac:dyDescent="0.25">
      <c r="E123" s="8">
        <v>131</v>
      </c>
      <c r="F123" s="24">
        <f t="shared" si="16"/>
        <v>298.39999999999998</v>
      </c>
    </row>
    <row r="124" spans="5:6" x14ac:dyDescent="0.25">
      <c r="E124" s="8">
        <v>132</v>
      </c>
      <c r="F124" s="24">
        <f t="shared" si="16"/>
        <v>300</v>
      </c>
    </row>
    <row r="125" spans="5:6" x14ac:dyDescent="0.25">
      <c r="E125" s="8">
        <v>133</v>
      </c>
      <c r="F125" s="24">
        <f t="shared" si="16"/>
        <v>301.60000000000002</v>
      </c>
    </row>
    <row r="126" spans="5:6" x14ac:dyDescent="0.25">
      <c r="E126" s="8">
        <v>134</v>
      </c>
      <c r="F126" s="24">
        <f t="shared" si="16"/>
        <v>303.20000000000005</v>
      </c>
    </row>
    <row r="127" spans="5:6" x14ac:dyDescent="0.25">
      <c r="E127" s="8">
        <v>135</v>
      </c>
      <c r="F127" s="24">
        <f t="shared" si="16"/>
        <v>304.80000000000007</v>
      </c>
    </row>
    <row r="128" spans="5:6" x14ac:dyDescent="0.25">
      <c r="E128" s="8">
        <v>136</v>
      </c>
      <c r="F128" s="24">
        <f t="shared" si="16"/>
        <v>306.40000000000009</v>
      </c>
    </row>
    <row r="129" spans="5:6" x14ac:dyDescent="0.25">
      <c r="E129" s="8">
        <v>137</v>
      </c>
      <c r="F129" s="24">
        <f t="shared" si="16"/>
        <v>308.00000000000011</v>
      </c>
    </row>
    <row r="130" spans="5:6" x14ac:dyDescent="0.25">
      <c r="E130" s="8">
        <v>138</v>
      </c>
      <c r="F130" s="24">
        <f t="shared" si="16"/>
        <v>309.60000000000014</v>
      </c>
    </row>
    <row r="131" spans="5:6" x14ac:dyDescent="0.25">
      <c r="E131" s="8">
        <v>139</v>
      </c>
      <c r="F131" s="24">
        <f t="shared" si="16"/>
        <v>311.20000000000016</v>
      </c>
    </row>
    <row r="132" spans="5:6" x14ac:dyDescent="0.25">
      <c r="E132" s="8">
        <v>140</v>
      </c>
      <c r="F132" s="24">
        <f t="shared" ref="F132:F141" si="17">F131+(E132-E131)*$C$16</f>
        <v>312.70000000000016</v>
      </c>
    </row>
    <row r="133" spans="5:6" x14ac:dyDescent="0.25">
      <c r="E133" s="8">
        <v>141</v>
      </c>
      <c r="F133" s="24">
        <f t="shared" si="17"/>
        <v>314.20000000000016</v>
      </c>
    </row>
    <row r="134" spans="5:6" x14ac:dyDescent="0.25">
      <c r="E134" s="8">
        <v>142</v>
      </c>
      <c r="F134" s="24">
        <f t="shared" si="17"/>
        <v>315.70000000000016</v>
      </c>
    </row>
    <row r="135" spans="5:6" x14ac:dyDescent="0.25">
      <c r="E135" s="8">
        <v>143</v>
      </c>
      <c r="F135" s="24">
        <f t="shared" si="17"/>
        <v>317.20000000000016</v>
      </c>
    </row>
    <row r="136" spans="5:6" x14ac:dyDescent="0.25">
      <c r="E136" s="8">
        <v>144</v>
      </c>
      <c r="F136" s="24">
        <f t="shared" si="17"/>
        <v>318.70000000000016</v>
      </c>
    </row>
    <row r="137" spans="5:6" x14ac:dyDescent="0.25">
      <c r="E137" s="8">
        <v>145</v>
      </c>
      <c r="F137" s="24">
        <f t="shared" si="17"/>
        <v>320.20000000000016</v>
      </c>
    </row>
    <row r="138" spans="5:6" x14ac:dyDescent="0.25">
      <c r="E138" s="8">
        <v>146</v>
      </c>
      <c r="F138" s="24">
        <f t="shared" si="17"/>
        <v>321.70000000000016</v>
      </c>
    </row>
    <row r="139" spans="5:6" x14ac:dyDescent="0.25">
      <c r="E139" s="8">
        <v>147</v>
      </c>
      <c r="F139" s="24">
        <f t="shared" si="17"/>
        <v>323.20000000000016</v>
      </c>
    </row>
    <row r="140" spans="5:6" x14ac:dyDescent="0.25">
      <c r="E140" s="8">
        <v>148</v>
      </c>
      <c r="F140" s="24">
        <f t="shared" si="17"/>
        <v>324.70000000000016</v>
      </c>
    </row>
    <row r="141" spans="5:6" x14ac:dyDescent="0.25">
      <c r="E141" s="8">
        <v>149</v>
      </c>
      <c r="F141" s="24">
        <f t="shared" si="17"/>
        <v>326.20000000000016</v>
      </c>
    </row>
    <row r="142" spans="5:6" x14ac:dyDescent="0.25">
      <c r="E142" s="8">
        <v>150</v>
      </c>
      <c r="F142" s="24">
        <f t="shared" ref="F142:F151" si="18">F141+(E142-E141)*$C$17</f>
        <v>327.60000000000014</v>
      </c>
    </row>
    <row r="143" spans="5:6" x14ac:dyDescent="0.25">
      <c r="E143" s="8">
        <v>151</v>
      </c>
      <c r="F143" s="24">
        <f t="shared" si="18"/>
        <v>329.00000000000011</v>
      </c>
    </row>
    <row r="144" spans="5:6" x14ac:dyDescent="0.25">
      <c r="E144" s="8">
        <v>152</v>
      </c>
      <c r="F144" s="24">
        <f t="shared" si="18"/>
        <v>330.40000000000009</v>
      </c>
    </row>
    <row r="145" spans="5:6" x14ac:dyDescent="0.25">
      <c r="E145" s="8">
        <v>153</v>
      </c>
      <c r="F145" s="24">
        <f t="shared" si="18"/>
        <v>331.80000000000007</v>
      </c>
    </row>
    <row r="146" spans="5:6" x14ac:dyDescent="0.25">
      <c r="E146" s="8">
        <v>154</v>
      </c>
      <c r="F146" s="24">
        <f t="shared" si="18"/>
        <v>333.20000000000005</v>
      </c>
    </row>
    <row r="147" spans="5:6" x14ac:dyDescent="0.25">
      <c r="E147" s="8">
        <v>155</v>
      </c>
      <c r="F147" s="24">
        <f t="shared" si="18"/>
        <v>334.6</v>
      </c>
    </row>
    <row r="148" spans="5:6" x14ac:dyDescent="0.25">
      <c r="E148" s="8">
        <v>156</v>
      </c>
      <c r="F148" s="24">
        <f t="shared" si="18"/>
        <v>336</v>
      </c>
    </row>
    <row r="149" spans="5:6" x14ac:dyDescent="0.25">
      <c r="E149" s="8">
        <v>157</v>
      </c>
      <c r="F149" s="24">
        <f t="shared" si="18"/>
        <v>337.4</v>
      </c>
    </row>
    <row r="150" spans="5:6" x14ac:dyDescent="0.25">
      <c r="E150" s="8">
        <v>158</v>
      </c>
      <c r="F150" s="24">
        <f t="shared" si="18"/>
        <v>338.79999999999995</v>
      </c>
    </row>
    <row r="151" spans="5:6" x14ac:dyDescent="0.25">
      <c r="E151" s="8">
        <v>159</v>
      </c>
      <c r="F151" s="24">
        <f t="shared" si="18"/>
        <v>340.19999999999993</v>
      </c>
    </row>
    <row r="152" spans="5:6" x14ac:dyDescent="0.25">
      <c r="E152" s="8">
        <v>160</v>
      </c>
      <c r="F152" s="24">
        <f>F151+(E152-E151)*$C$18</f>
        <v>341.54999999999995</v>
      </c>
    </row>
    <row r="153" spans="5:6" x14ac:dyDescent="0.25">
      <c r="E153" s="8">
        <v>161</v>
      </c>
      <c r="F153" s="24">
        <f t="shared" ref="F153:F216" si="19">F152+(E153-E152)*$C$18</f>
        <v>342.9</v>
      </c>
    </row>
    <row r="154" spans="5:6" x14ac:dyDescent="0.25">
      <c r="E154" s="8">
        <v>162</v>
      </c>
      <c r="F154" s="24">
        <f t="shared" si="19"/>
        <v>344.25</v>
      </c>
    </row>
    <row r="155" spans="5:6" x14ac:dyDescent="0.25">
      <c r="E155" s="8">
        <v>163</v>
      </c>
      <c r="F155" s="24">
        <f t="shared" si="19"/>
        <v>345.6</v>
      </c>
    </row>
    <row r="156" spans="5:6" x14ac:dyDescent="0.25">
      <c r="E156" s="8">
        <v>164</v>
      </c>
      <c r="F156" s="24">
        <f t="shared" si="19"/>
        <v>346.95000000000005</v>
      </c>
    </row>
    <row r="157" spans="5:6" x14ac:dyDescent="0.25">
      <c r="E157" s="8">
        <v>165</v>
      </c>
      <c r="F157" s="24">
        <f t="shared" si="19"/>
        <v>348.30000000000007</v>
      </c>
    </row>
    <row r="158" spans="5:6" x14ac:dyDescent="0.25">
      <c r="E158" s="8">
        <v>166</v>
      </c>
      <c r="F158" s="24">
        <f t="shared" si="19"/>
        <v>349.65000000000009</v>
      </c>
    </row>
    <row r="159" spans="5:6" x14ac:dyDescent="0.25">
      <c r="E159" s="8">
        <v>167</v>
      </c>
      <c r="F159" s="24">
        <f t="shared" si="19"/>
        <v>351.00000000000011</v>
      </c>
    </row>
    <row r="160" spans="5:6" x14ac:dyDescent="0.25">
      <c r="E160" s="8">
        <v>168</v>
      </c>
      <c r="F160" s="24">
        <f t="shared" si="19"/>
        <v>352.35000000000014</v>
      </c>
    </row>
    <row r="161" spans="5:6" x14ac:dyDescent="0.25">
      <c r="E161" s="8">
        <v>169</v>
      </c>
      <c r="F161" s="24">
        <f t="shared" si="19"/>
        <v>353.70000000000016</v>
      </c>
    </row>
    <row r="162" spans="5:6" x14ac:dyDescent="0.25">
      <c r="E162" s="8">
        <v>170</v>
      </c>
      <c r="F162" s="24">
        <f t="shared" si="19"/>
        <v>355.05000000000018</v>
      </c>
    </row>
    <row r="163" spans="5:6" x14ac:dyDescent="0.25">
      <c r="E163" s="8">
        <v>171</v>
      </c>
      <c r="F163" s="24">
        <f t="shared" si="19"/>
        <v>356.4000000000002</v>
      </c>
    </row>
    <row r="164" spans="5:6" x14ac:dyDescent="0.25">
      <c r="E164" s="8">
        <v>172</v>
      </c>
      <c r="F164" s="24">
        <f t="shared" si="19"/>
        <v>357.75000000000023</v>
      </c>
    </row>
    <row r="165" spans="5:6" x14ac:dyDescent="0.25">
      <c r="E165" s="8">
        <v>173</v>
      </c>
      <c r="F165" s="24">
        <f t="shared" si="19"/>
        <v>359.10000000000025</v>
      </c>
    </row>
    <row r="166" spans="5:6" x14ac:dyDescent="0.25">
      <c r="E166" s="8">
        <v>174</v>
      </c>
      <c r="F166" s="24">
        <f t="shared" si="19"/>
        <v>360.45000000000027</v>
      </c>
    </row>
    <row r="167" spans="5:6" x14ac:dyDescent="0.25">
      <c r="E167" s="8">
        <v>175</v>
      </c>
      <c r="F167" s="24">
        <f t="shared" si="19"/>
        <v>361.8000000000003</v>
      </c>
    </row>
    <row r="168" spans="5:6" x14ac:dyDescent="0.25">
      <c r="E168" s="8">
        <v>176</v>
      </c>
      <c r="F168" s="24">
        <f t="shared" si="19"/>
        <v>363.15000000000032</v>
      </c>
    </row>
    <row r="169" spans="5:6" x14ac:dyDescent="0.25">
      <c r="E169" s="8">
        <v>177</v>
      </c>
      <c r="F169" s="24">
        <f t="shared" si="19"/>
        <v>364.50000000000034</v>
      </c>
    </row>
    <row r="170" spans="5:6" x14ac:dyDescent="0.25">
      <c r="E170" s="8">
        <v>178</v>
      </c>
      <c r="F170" s="24">
        <f t="shared" si="19"/>
        <v>365.85000000000036</v>
      </c>
    </row>
    <row r="171" spans="5:6" x14ac:dyDescent="0.25">
      <c r="E171" s="8">
        <v>179</v>
      </c>
      <c r="F171" s="24">
        <f t="shared" si="19"/>
        <v>367.20000000000039</v>
      </c>
    </row>
    <row r="172" spans="5:6" x14ac:dyDescent="0.25">
      <c r="E172" s="8">
        <v>180</v>
      </c>
      <c r="F172" s="24">
        <f t="shared" si="19"/>
        <v>368.55000000000041</v>
      </c>
    </row>
    <row r="173" spans="5:6" x14ac:dyDescent="0.25">
      <c r="E173" s="8">
        <v>181</v>
      </c>
      <c r="F173" s="24">
        <f t="shared" si="19"/>
        <v>369.90000000000043</v>
      </c>
    </row>
    <row r="174" spans="5:6" x14ac:dyDescent="0.25">
      <c r="E174" s="8">
        <v>182</v>
      </c>
      <c r="F174" s="24">
        <f t="shared" si="19"/>
        <v>371.25000000000045</v>
      </c>
    </row>
    <row r="175" spans="5:6" x14ac:dyDescent="0.25">
      <c r="E175" s="8">
        <v>183</v>
      </c>
      <c r="F175" s="24">
        <f t="shared" si="19"/>
        <v>372.60000000000048</v>
      </c>
    </row>
    <row r="176" spans="5:6" x14ac:dyDescent="0.25">
      <c r="E176" s="8">
        <v>184</v>
      </c>
      <c r="F176" s="24">
        <f t="shared" si="19"/>
        <v>373.9500000000005</v>
      </c>
    </row>
    <row r="177" spans="5:6" x14ac:dyDescent="0.25">
      <c r="E177" s="8">
        <v>185</v>
      </c>
      <c r="F177" s="24">
        <f t="shared" si="19"/>
        <v>375.30000000000052</v>
      </c>
    </row>
    <row r="178" spans="5:6" x14ac:dyDescent="0.25">
      <c r="E178" s="8">
        <v>186</v>
      </c>
      <c r="F178" s="24">
        <f t="shared" si="19"/>
        <v>376.65000000000055</v>
      </c>
    </row>
    <row r="179" spans="5:6" x14ac:dyDescent="0.25">
      <c r="E179" s="8">
        <v>187</v>
      </c>
      <c r="F179" s="24">
        <f t="shared" si="19"/>
        <v>378.00000000000057</v>
      </c>
    </row>
    <row r="180" spans="5:6" x14ac:dyDescent="0.25">
      <c r="E180" s="8">
        <v>188</v>
      </c>
      <c r="F180" s="24">
        <f t="shared" si="19"/>
        <v>379.35000000000059</v>
      </c>
    </row>
    <row r="181" spans="5:6" x14ac:dyDescent="0.25">
      <c r="E181" s="8">
        <v>189</v>
      </c>
      <c r="F181" s="24">
        <f t="shared" si="19"/>
        <v>380.70000000000061</v>
      </c>
    </row>
    <row r="182" spans="5:6" x14ac:dyDescent="0.25">
      <c r="E182" s="8">
        <v>190</v>
      </c>
      <c r="F182" s="24">
        <f t="shared" si="19"/>
        <v>382.05000000000064</v>
      </c>
    </row>
    <row r="183" spans="5:6" x14ac:dyDescent="0.25">
      <c r="E183" s="8">
        <v>191</v>
      </c>
      <c r="F183" s="24">
        <f t="shared" si="19"/>
        <v>383.40000000000066</v>
      </c>
    </row>
    <row r="184" spans="5:6" x14ac:dyDescent="0.25">
      <c r="E184" s="8">
        <v>192</v>
      </c>
      <c r="F184" s="24">
        <f t="shared" si="19"/>
        <v>384.75000000000068</v>
      </c>
    </row>
    <row r="185" spans="5:6" x14ac:dyDescent="0.25">
      <c r="E185" s="8">
        <v>193</v>
      </c>
      <c r="F185" s="24">
        <f t="shared" si="19"/>
        <v>386.1000000000007</v>
      </c>
    </row>
    <row r="186" spans="5:6" x14ac:dyDescent="0.25">
      <c r="E186" s="8">
        <v>194</v>
      </c>
      <c r="F186" s="24">
        <f t="shared" si="19"/>
        <v>387.45000000000073</v>
      </c>
    </row>
    <row r="187" spans="5:6" x14ac:dyDescent="0.25">
      <c r="E187" s="8">
        <v>195</v>
      </c>
      <c r="F187" s="24">
        <f t="shared" si="19"/>
        <v>388.80000000000075</v>
      </c>
    </row>
    <row r="188" spans="5:6" x14ac:dyDescent="0.25">
      <c r="E188" s="8">
        <v>196</v>
      </c>
      <c r="F188" s="24">
        <f t="shared" si="19"/>
        <v>390.15000000000077</v>
      </c>
    </row>
    <row r="189" spans="5:6" x14ac:dyDescent="0.25">
      <c r="E189" s="8">
        <v>197</v>
      </c>
      <c r="F189" s="24">
        <f t="shared" si="19"/>
        <v>391.5000000000008</v>
      </c>
    </row>
    <row r="190" spans="5:6" x14ac:dyDescent="0.25">
      <c r="E190" s="8">
        <v>198</v>
      </c>
      <c r="F190" s="24">
        <f t="shared" si="19"/>
        <v>392.85000000000082</v>
      </c>
    </row>
    <row r="191" spans="5:6" x14ac:dyDescent="0.25">
      <c r="E191" s="8">
        <v>199</v>
      </c>
      <c r="F191" s="24">
        <f t="shared" si="19"/>
        <v>394.20000000000084</v>
      </c>
    </row>
    <row r="192" spans="5:6" x14ac:dyDescent="0.25">
      <c r="E192" s="8">
        <v>200</v>
      </c>
      <c r="F192" s="24">
        <f t="shared" si="19"/>
        <v>395.55000000000086</v>
      </c>
    </row>
    <row r="193" spans="5:6" x14ac:dyDescent="0.25">
      <c r="E193" s="8">
        <v>201</v>
      </c>
      <c r="F193" s="24">
        <f t="shared" si="19"/>
        <v>396.90000000000089</v>
      </c>
    </row>
    <row r="194" spans="5:6" x14ac:dyDescent="0.25">
      <c r="E194" s="8">
        <v>202</v>
      </c>
      <c r="F194" s="24">
        <f t="shared" si="19"/>
        <v>398.25000000000091</v>
      </c>
    </row>
    <row r="195" spans="5:6" x14ac:dyDescent="0.25">
      <c r="E195" s="8">
        <v>203</v>
      </c>
      <c r="F195" s="24">
        <f t="shared" si="19"/>
        <v>399.60000000000093</v>
      </c>
    </row>
    <row r="196" spans="5:6" x14ac:dyDescent="0.25">
      <c r="E196" s="8">
        <v>204</v>
      </c>
      <c r="F196" s="24">
        <f t="shared" si="19"/>
        <v>400.95000000000095</v>
      </c>
    </row>
    <row r="197" spans="5:6" x14ac:dyDescent="0.25">
      <c r="E197" s="8">
        <v>205</v>
      </c>
      <c r="F197" s="24">
        <f t="shared" si="19"/>
        <v>402.30000000000098</v>
      </c>
    </row>
    <row r="198" spans="5:6" x14ac:dyDescent="0.25">
      <c r="E198" s="8">
        <v>206</v>
      </c>
      <c r="F198" s="24">
        <f t="shared" si="19"/>
        <v>403.650000000001</v>
      </c>
    </row>
    <row r="199" spans="5:6" x14ac:dyDescent="0.25">
      <c r="E199" s="8">
        <v>207</v>
      </c>
      <c r="F199" s="24">
        <f t="shared" si="19"/>
        <v>405.00000000000102</v>
      </c>
    </row>
    <row r="200" spans="5:6" x14ac:dyDescent="0.25">
      <c r="E200" s="8">
        <v>208</v>
      </c>
      <c r="F200" s="24">
        <f t="shared" si="19"/>
        <v>406.35000000000105</v>
      </c>
    </row>
    <row r="201" spans="5:6" x14ac:dyDescent="0.25">
      <c r="E201" s="8">
        <v>209</v>
      </c>
      <c r="F201" s="24">
        <f t="shared" si="19"/>
        <v>407.70000000000107</v>
      </c>
    </row>
    <row r="202" spans="5:6" x14ac:dyDescent="0.25">
      <c r="E202" s="8">
        <v>210</v>
      </c>
      <c r="F202" s="24">
        <f t="shared" si="19"/>
        <v>409.05000000000109</v>
      </c>
    </row>
    <row r="203" spans="5:6" x14ac:dyDescent="0.25">
      <c r="E203" s="8">
        <v>211</v>
      </c>
      <c r="F203" s="24">
        <f t="shared" si="19"/>
        <v>410.40000000000111</v>
      </c>
    </row>
    <row r="204" spans="5:6" x14ac:dyDescent="0.25">
      <c r="E204" s="8">
        <v>212</v>
      </c>
      <c r="F204" s="24">
        <f t="shared" si="19"/>
        <v>411.75000000000114</v>
      </c>
    </row>
    <row r="205" spans="5:6" x14ac:dyDescent="0.25">
      <c r="E205" s="8">
        <v>213</v>
      </c>
      <c r="F205" s="24">
        <f t="shared" si="19"/>
        <v>413.10000000000116</v>
      </c>
    </row>
    <row r="206" spans="5:6" x14ac:dyDescent="0.25">
      <c r="E206" s="8">
        <v>214</v>
      </c>
      <c r="F206" s="24">
        <f t="shared" si="19"/>
        <v>414.45000000000118</v>
      </c>
    </row>
    <row r="207" spans="5:6" x14ac:dyDescent="0.25">
      <c r="E207" s="8">
        <v>215</v>
      </c>
      <c r="F207" s="24">
        <f t="shared" si="19"/>
        <v>415.80000000000121</v>
      </c>
    </row>
    <row r="208" spans="5:6" x14ac:dyDescent="0.25">
      <c r="E208" s="8">
        <v>216</v>
      </c>
      <c r="F208" s="24">
        <f t="shared" si="19"/>
        <v>417.15000000000123</v>
      </c>
    </row>
    <row r="209" spans="5:6" x14ac:dyDescent="0.25">
      <c r="E209" s="8">
        <v>217</v>
      </c>
      <c r="F209" s="24">
        <f t="shared" si="19"/>
        <v>418.50000000000125</v>
      </c>
    </row>
    <row r="210" spans="5:6" x14ac:dyDescent="0.25">
      <c r="E210" s="8">
        <v>218</v>
      </c>
      <c r="F210" s="24">
        <f t="shared" si="19"/>
        <v>419.85000000000127</v>
      </c>
    </row>
    <row r="211" spans="5:6" x14ac:dyDescent="0.25">
      <c r="E211" s="8">
        <v>219</v>
      </c>
      <c r="F211" s="24">
        <f t="shared" si="19"/>
        <v>421.2000000000013</v>
      </c>
    </row>
    <row r="212" spans="5:6" x14ac:dyDescent="0.25">
      <c r="E212" s="8">
        <v>220</v>
      </c>
      <c r="F212" s="24">
        <f t="shared" si="19"/>
        <v>422.55000000000132</v>
      </c>
    </row>
    <row r="213" spans="5:6" x14ac:dyDescent="0.25">
      <c r="E213" s="8">
        <v>221</v>
      </c>
      <c r="F213" s="24">
        <f t="shared" si="19"/>
        <v>423.90000000000134</v>
      </c>
    </row>
    <row r="214" spans="5:6" x14ac:dyDescent="0.25">
      <c r="E214" s="8">
        <v>222</v>
      </c>
      <c r="F214" s="24">
        <f t="shared" si="19"/>
        <v>425.25000000000136</v>
      </c>
    </row>
    <row r="215" spans="5:6" x14ac:dyDescent="0.25">
      <c r="E215" s="8">
        <v>223</v>
      </c>
      <c r="F215" s="24">
        <f t="shared" si="19"/>
        <v>426.60000000000139</v>
      </c>
    </row>
    <row r="216" spans="5:6" x14ac:dyDescent="0.25">
      <c r="E216" s="8">
        <v>224</v>
      </c>
      <c r="F216" s="24">
        <f t="shared" si="19"/>
        <v>427.95000000000141</v>
      </c>
    </row>
    <row r="217" spans="5:6" x14ac:dyDescent="0.25">
      <c r="E217" s="8">
        <v>225</v>
      </c>
      <c r="F217" s="24">
        <f t="shared" ref="F217:F271" si="20">F216+(E217-E216)*$C$18</f>
        <v>429.30000000000143</v>
      </c>
    </row>
    <row r="218" spans="5:6" x14ac:dyDescent="0.25">
      <c r="E218" s="8">
        <v>226</v>
      </c>
      <c r="F218" s="24">
        <f t="shared" si="20"/>
        <v>430.65000000000146</v>
      </c>
    </row>
    <row r="219" spans="5:6" x14ac:dyDescent="0.25">
      <c r="E219" s="8">
        <v>227</v>
      </c>
      <c r="F219" s="24">
        <f t="shared" si="20"/>
        <v>432.00000000000148</v>
      </c>
    </row>
    <row r="220" spans="5:6" x14ac:dyDescent="0.25">
      <c r="E220" s="8">
        <v>228</v>
      </c>
      <c r="F220" s="24">
        <f t="shared" si="20"/>
        <v>433.3500000000015</v>
      </c>
    </row>
    <row r="221" spans="5:6" x14ac:dyDescent="0.25">
      <c r="E221" s="8">
        <v>229</v>
      </c>
      <c r="F221" s="24">
        <f t="shared" si="20"/>
        <v>434.70000000000152</v>
      </c>
    </row>
    <row r="222" spans="5:6" x14ac:dyDescent="0.25">
      <c r="E222" s="8">
        <v>230</v>
      </c>
      <c r="F222" s="24">
        <f t="shared" si="20"/>
        <v>436.05000000000155</v>
      </c>
    </row>
    <row r="223" spans="5:6" x14ac:dyDescent="0.25">
      <c r="E223" s="8">
        <v>231</v>
      </c>
      <c r="F223" s="24">
        <f t="shared" si="20"/>
        <v>437.40000000000157</v>
      </c>
    </row>
    <row r="224" spans="5:6" x14ac:dyDescent="0.25">
      <c r="E224" s="8">
        <v>232</v>
      </c>
      <c r="F224" s="24">
        <f t="shared" si="20"/>
        <v>438.75000000000159</v>
      </c>
    </row>
    <row r="225" spans="5:6" x14ac:dyDescent="0.25">
      <c r="E225" s="8">
        <v>233</v>
      </c>
      <c r="F225" s="24">
        <f t="shared" si="20"/>
        <v>440.10000000000161</v>
      </c>
    </row>
    <row r="226" spans="5:6" x14ac:dyDescent="0.25">
      <c r="E226" s="8">
        <v>234</v>
      </c>
      <c r="F226" s="24">
        <f t="shared" si="20"/>
        <v>441.45000000000164</v>
      </c>
    </row>
    <row r="227" spans="5:6" x14ac:dyDescent="0.25">
      <c r="E227" s="8">
        <v>235</v>
      </c>
      <c r="F227" s="24">
        <f t="shared" si="20"/>
        <v>442.80000000000166</v>
      </c>
    </row>
    <row r="228" spans="5:6" x14ac:dyDescent="0.25">
      <c r="E228" s="8">
        <v>236</v>
      </c>
      <c r="F228" s="24">
        <f t="shared" si="20"/>
        <v>444.15000000000168</v>
      </c>
    </row>
    <row r="229" spans="5:6" x14ac:dyDescent="0.25">
      <c r="E229" s="8">
        <v>237</v>
      </c>
      <c r="F229" s="24">
        <f t="shared" si="20"/>
        <v>445.50000000000171</v>
      </c>
    </row>
    <row r="230" spans="5:6" x14ac:dyDescent="0.25">
      <c r="E230" s="8">
        <v>238</v>
      </c>
      <c r="F230" s="24">
        <f t="shared" si="20"/>
        <v>446.85000000000173</v>
      </c>
    </row>
    <row r="231" spans="5:6" x14ac:dyDescent="0.25">
      <c r="E231" s="8">
        <v>239</v>
      </c>
      <c r="F231" s="24">
        <f t="shared" si="20"/>
        <v>448.20000000000175</v>
      </c>
    </row>
    <row r="232" spans="5:6" x14ac:dyDescent="0.25">
      <c r="E232" s="8">
        <v>240</v>
      </c>
      <c r="F232" s="24">
        <f t="shared" si="20"/>
        <v>449.55000000000177</v>
      </c>
    </row>
    <row r="233" spans="5:6" x14ac:dyDescent="0.25">
      <c r="E233" s="8">
        <v>241</v>
      </c>
      <c r="F233" s="24">
        <f t="shared" si="20"/>
        <v>450.9000000000018</v>
      </c>
    </row>
    <row r="234" spans="5:6" x14ac:dyDescent="0.25">
      <c r="E234" s="8">
        <v>242</v>
      </c>
      <c r="F234" s="24">
        <f t="shared" si="20"/>
        <v>452.25000000000182</v>
      </c>
    </row>
    <row r="235" spans="5:6" x14ac:dyDescent="0.25">
      <c r="E235" s="8">
        <v>243</v>
      </c>
      <c r="F235" s="24">
        <f t="shared" si="20"/>
        <v>453.60000000000184</v>
      </c>
    </row>
    <row r="236" spans="5:6" x14ac:dyDescent="0.25">
      <c r="E236" s="8">
        <v>244</v>
      </c>
      <c r="F236" s="24">
        <f t="shared" si="20"/>
        <v>454.95000000000186</v>
      </c>
    </row>
    <row r="237" spans="5:6" x14ac:dyDescent="0.25">
      <c r="E237" s="8">
        <v>245</v>
      </c>
      <c r="F237" s="24">
        <f t="shared" si="20"/>
        <v>456.30000000000189</v>
      </c>
    </row>
    <row r="238" spans="5:6" x14ac:dyDescent="0.25">
      <c r="E238" s="8">
        <v>246</v>
      </c>
      <c r="F238" s="24">
        <f t="shared" si="20"/>
        <v>457.65000000000191</v>
      </c>
    </row>
    <row r="239" spans="5:6" x14ac:dyDescent="0.25">
      <c r="E239" s="8">
        <v>247</v>
      </c>
      <c r="F239" s="24">
        <f t="shared" si="20"/>
        <v>459.00000000000193</v>
      </c>
    </row>
    <row r="240" spans="5:6" x14ac:dyDescent="0.25">
      <c r="E240" s="8">
        <v>248</v>
      </c>
      <c r="F240" s="24">
        <f t="shared" si="20"/>
        <v>460.35000000000196</v>
      </c>
    </row>
    <row r="241" spans="5:6" x14ac:dyDescent="0.25">
      <c r="E241" s="8">
        <v>249</v>
      </c>
      <c r="F241" s="24">
        <f t="shared" si="20"/>
        <v>461.70000000000198</v>
      </c>
    </row>
    <row r="242" spans="5:6" x14ac:dyDescent="0.25">
      <c r="E242" s="8">
        <v>250</v>
      </c>
      <c r="F242" s="24">
        <f t="shared" si="20"/>
        <v>463.050000000002</v>
      </c>
    </row>
    <row r="243" spans="5:6" x14ac:dyDescent="0.25">
      <c r="E243" s="8">
        <v>251</v>
      </c>
      <c r="F243" s="24">
        <f t="shared" si="20"/>
        <v>464.40000000000202</v>
      </c>
    </row>
    <row r="244" spans="5:6" x14ac:dyDescent="0.25">
      <c r="E244" s="8">
        <v>252</v>
      </c>
      <c r="F244" s="24">
        <f t="shared" si="20"/>
        <v>465.75000000000205</v>
      </c>
    </row>
    <row r="245" spans="5:6" x14ac:dyDescent="0.25">
      <c r="E245" s="8">
        <v>253</v>
      </c>
      <c r="F245" s="24">
        <f t="shared" si="20"/>
        <v>467.10000000000207</v>
      </c>
    </row>
    <row r="246" spans="5:6" x14ac:dyDescent="0.25">
      <c r="E246" s="8">
        <v>254</v>
      </c>
      <c r="F246" s="24">
        <f t="shared" si="20"/>
        <v>468.45000000000209</v>
      </c>
    </row>
    <row r="247" spans="5:6" x14ac:dyDescent="0.25">
      <c r="E247" s="8">
        <v>255</v>
      </c>
      <c r="F247" s="24">
        <f t="shared" si="20"/>
        <v>469.80000000000211</v>
      </c>
    </row>
    <row r="248" spans="5:6" x14ac:dyDescent="0.25">
      <c r="E248" s="8">
        <v>256</v>
      </c>
      <c r="F248" s="24">
        <f t="shared" si="20"/>
        <v>471.15000000000214</v>
      </c>
    </row>
    <row r="249" spans="5:6" x14ac:dyDescent="0.25">
      <c r="E249" s="8">
        <v>257</v>
      </c>
      <c r="F249" s="24">
        <f t="shared" si="20"/>
        <v>472.50000000000216</v>
      </c>
    </row>
    <row r="250" spans="5:6" x14ac:dyDescent="0.25">
      <c r="E250" s="8">
        <v>258</v>
      </c>
      <c r="F250" s="24">
        <f t="shared" si="20"/>
        <v>473.85000000000218</v>
      </c>
    </row>
    <row r="251" spans="5:6" x14ac:dyDescent="0.25">
      <c r="E251" s="8">
        <v>259</v>
      </c>
      <c r="F251" s="24">
        <f t="shared" si="20"/>
        <v>475.20000000000221</v>
      </c>
    </row>
    <row r="252" spans="5:6" x14ac:dyDescent="0.25">
      <c r="E252" s="8">
        <v>260</v>
      </c>
      <c r="F252" s="24">
        <f t="shared" si="20"/>
        <v>476.55000000000223</v>
      </c>
    </row>
    <row r="253" spans="5:6" x14ac:dyDescent="0.25">
      <c r="E253" s="8">
        <v>261</v>
      </c>
      <c r="F253" s="24">
        <f t="shared" si="20"/>
        <v>477.90000000000225</v>
      </c>
    </row>
    <row r="254" spans="5:6" x14ac:dyDescent="0.25">
      <c r="E254" s="8">
        <v>262</v>
      </c>
      <c r="F254" s="24">
        <f t="shared" si="20"/>
        <v>479.25000000000227</v>
      </c>
    </row>
    <row r="255" spans="5:6" x14ac:dyDescent="0.25">
      <c r="E255" s="8">
        <v>263</v>
      </c>
      <c r="F255" s="24">
        <f t="shared" si="20"/>
        <v>480.6000000000023</v>
      </c>
    </row>
    <row r="256" spans="5:6" x14ac:dyDescent="0.25">
      <c r="E256" s="8">
        <v>264</v>
      </c>
      <c r="F256" s="24">
        <f t="shared" si="20"/>
        <v>481.95000000000232</v>
      </c>
    </row>
    <row r="257" spans="5:6" x14ac:dyDescent="0.25">
      <c r="E257" s="8">
        <v>265</v>
      </c>
      <c r="F257" s="24">
        <f t="shared" si="20"/>
        <v>483.30000000000234</v>
      </c>
    </row>
    <row r="258" spans="5:6" x14ac:dyDescent="0.25">
      <c r="E258" s="8">
        <v>266</v>
      </c>
      <c r="F258" s="24">
        <f t="shared" si="20"/>
        <v>484.65000000000236</v>
      </c>
    </row>
    <row r="259" spans="5:6" x14ac:dyDescent="0.25">
      <c r="E259" s="8">
        <v>267</v>
      </c>
      <c r="F259" s="24">
        <f t="shared" si="20"/>
        <v>486.00000000000239</v>
      </c>
    </row>
    <row r="260" spans="5:6" x14ac:dyDescent="0.25">
      <c r="E260" s="8">
        <v>268</v>
      </c>
      <c r="F260" s="24">
        <f t="shared" si="20"/>
        <v>487.35000000000241</v>
      </c>
    </row>
    <row r="261" spans="5:6" x14ac:dyDescent="0.25">
      <c r="E261" s="8">
        <v>269</v>
      </c>
      <c r="F261" s="24">
        <f t="shared" si="20"/>
        <v>488.70000000000243</v>
      </c>
    </row>
    <row r="262" spans="5:6" x14ac:dyDescent="0.25">
      <c r="E262" s="8">
        <v>270</v>
      </c>
      <c r="F262" s="24">
        <f t="shared" si="20"/>
        <v>490.05000000000246</v>
      </c>
    </row>
    <row r="263" spans="5:6" x14ac:dyDescent="0.25">
      <c r="E263" s="8">
        <v>271</v>
      </c>
      <c r="F263" s="24">
        <f t="shared" si="20"/>
        <v>491.40000000000248</v>
      </c>
    </row>
    <row r="264" spans="5:6" x14ac:dyDescent="0.25">
      <c r="E264" s="8">
        <v>272</v>
      </c>
      <c r="F264" s="24">
        <f t="shared" si="20"/>
        <v>492.7500000000025</v>
      </c>
    </row>
    <row r="265" spans="5:6" x14ac:dyDescent="0.25">
      <c r="E265" s="8">
        <v>273</v>
      </c>
      <c r="F265" s="24">
        <f t="shared" si="20"/>
        <v>494.10000000000252</v>
      </c>
    </row>
    <row r="266" spans="5:6" x14ac:dyDescent="0.25">
      <c r="E266" s="8">
        <v>274</v>
      </c>
      <c r="F266" s="24">
        <f t="shared" si="20"/>
        <v>495.45000000000255</v>
      </c>
    </row>
    <row r="267" spans="5:6" x14ac:dyDescent="0.25">
      <c r="E267" s="8">
        <v>275</v>
      </c>
      <c r="F267" s="24">
        <f t="shared" si="20"/>
        <v>496.80000000000257</v>
      </c>
    </row>
    <row r="268" spans="5:6" x14ac:dyDescent="0.25">
      <c r="E268" s="8">
        <v>276</v>
      </c>
      <c r="F268" s="24">
        <f t="shared" si="20"/>
        <v>498.15000000000259</v>
      </c>
    </row>
    <row r="269" spans="5:6" x14ac:dyDescent="0.25">
      <c r="E269" s="8">
        <v>277</v>
      </c>
      <c r="F269" s="24">
        <f t="shared" si="20"/>
        <v>499.50000000000261</v>
      </c>
    </row>
    <row r="270" spans="5:6" x14ac:dyDescent="0.25">
      <c r="E270" s="8">
        <v>278</v>
      </c>
      <c r="F270" s="24">
        <f t="shared" si="20"/>
        <v>500.85000000000264</v>
      </c>
    </row>
    <row r="271" spans="5:6" x14ac:dyDescent="0.25">
      <c r="E271" s="8">
        <v>279</v>
      </c>
      <c r="F271" s="24">
        <f t="shared" si="20"/>
        <v>502.20000000000266</v>
      </c>
    </row>
    <row r="272" spans="5:6" x14ac:dyDescent="0.25">
      <c r="E272" s="8">
        <v>280</v>
      </c>
      <c r="F272" s="24">
        <f>F271+(E272-E271)*$C$19</f>
        <v>503.65000000000265</v>
      </c>
    </row>
    <row r="273" spans="5:6" x14ac:dyDescent="0.25">
      <c r="E273" s="8">
        <v>281</v>
      </c>
      <c r="F273" s="24">
        <f t="shared" ref="F273:F336" si="21">F272+(E273-E272)*$C$19</f>
        <v>505.10000000000264</v>
      </c>
    </row>
    <row r="274" spans="5:6" x14ac:dyDescent="0.25">
      <c r="E274" s="8">
        <v>282</v>
      </c>
      <c r="F274" s="24">
        <f t="shared" si="21"/>
        <v>506.55000000000263</v>
      </c>
    </row>
    <row r="275" spans="5:6" x14ac:dyDescent="0.25">
      <c r="E275" s="8">
        <v>283</v>
      </c>
      <c r="F275" s="24">
        <f t="shared" si="21"/>
        <v>508.00000000000261</v>
      </c>
    </row>
    <row r="276" spans="5:6" x14ac:dyDescent="0.25">
      <c r="E276" s="8">
        <v>284</v>
      </c>
      <c r="F276" s="24">
        <f t="shared" si="21"/>
        <v>509.4500000000026</v>
      </c>
    </row>
    <row r="277" spans="5:6" x14ac:dyDescent="0.25">
      <c r="E277" s="8">
        <v>285</v>
      </c>
      <c r="F277" s="24">
        <f t="shared" si="21"/>
        <v>510.90000000000259</v>
      </c>
    </row>
    <row r="278" spans="5:6" x14ac:dyDescent="0.25">
      <c r="E278" s="8">
        <v>286</v>
      </c>
      <c r="F278" s="24">
        <f t="shared" si="21"/>
        <v>512.35000000000264</v>
      </c>
    </row>
    <row r="279" spans="5:6" x14ac:dyDescent="0.25">
      <c r="E279" s="8">
        <v>287</v>
      </c>
      <c r="F279" s="24">
        <f t="shared" si="21"/>
        <v>513.80000000000268</v>
      </c>
    </row>
    <row r="280" spans="5:6" x14ac:dyDescent="0.25">
      <c r="E280" s="8">
        <v>288</v>
      </c>
      <c r="F280" s="24">
        <f t="shared" si="21"/>
        <v>515.25000000000273</v>
      </c>
    </row>
    <row r="281" spans="5:6" x14ac:dyDescent="0.25">
      <c r="E281" s="8">
        <v>289</v>
      </c>
      <c r="F281" s="24">
        <f t="shared" si="21"/>
        <v>516.70000000000277</v>
      </c>
    </row>
    <row r="282" spans="5:6" x14ac:dyDescent="0.25">
      <c r="E282" s="8">
        <v>290</v>
      </c>
      <c r="F282" s="24">
        <f t="shared" si="21"/>
        <v>518.15000000000282</v>
      </c>
    </row>
    <row r="283" spans="5:6" x14ac:dyDescent="0.25">
      <c r="E283" s="8">
        <v>291</v>
      </c>
      <c r="F283" s="24">
        <f t="shared" si="21"/>
        <v>519.60000000000286</v>
      </c>
    </row>
    <row r="284" spans="5:6" x14ac:dyDescent="0.25">
      <c r="E284" s="8">
        <v>292</v>
      </c>
      <c r="F284" s="24">
        <f t="shared" si="21"/>
        <v>521.05000000000291</v>
      </c>
    </row>
    <row r="285" spans="5:6" x14ac:dyDescent="0.25">
      <c r="E285" s="8">
        <v>293</v>
      </c>
      <c r="F285" s="24">
        <f t="shared" si="21"/>
        <v>522.50000000000296</v>
      </c>
    </row>
    <row r="286" spans="5:6" x14ac:dyDescent="0.25">
      <c r="E286" s="8">
        <v>294</v>
      </c>
      <c r="F286" s="24">
        <f t="shared" si="21"/>
        <v>523.950000000003</v>
      </c>
    </row>
    <row r="287" spans="5:6" x14ac:dyDescent="0.25">
      <c r="E287" s="8">
        <v>295</v>
      </c>
      <c r="F287" s="24">
        <f t="shared" si="21"/>
        <v>525.40000000000305</v>
      </c>
    </row>
    <row r="288" spans="5:6" x14ac:dyDescent="0.25">
      <c r="E288" s="8">
        <v>296</v>
      </c>
      <c r="F288" s="24">
        <f t="shared" si="21"/>
        <v>526.85000000000309</v>
      </c>
    </row>
    <row r="289" spans="5:6" x14ac:dyDescent="0.25">
      <c r="E289" s="8">
        <v>297</v>
      </c>
      <c r="F289" s="24">
        <f t="shared" si="21"/>
        <v>528.30000000000314</v>
      </c>
    </row>
    <row r="290" spans="5:6" x14ac:dyDescent="0.25">
      <c r="E290" s="8">
        <v>298</v>
      </c>
      <c r="F290" s="24">
        <f t="shared" si="21"/>
        <v>529.75000000000318</v>
      </c>
    </row>
    <row r="291" spans="5:6" x14ac:dyDescent="0.25">
      <c r="E291" s="8">
        <v>299</v>
      </c>
      <c r="F291" s="24">
        <f t="shared" si="21"/>
        <v>531.20000000000323</v>
      </c>
    </row>
    <row r="292" spans="5:6" x14ac:dyDescent="0.25">
      <c r="E292" s="8">
        <v>300</v>
      </c>
      <c r="F292" s="24">
        <f t="shared" si="21"/>
        <v>532.65000000000327</v>
      </c>
    </row>
    <row r="293" spans="5:6" x14ac:dyDescent="0.25">
      <c r="E293" s="8">
        <v>301</v>
      </c>
      <c r="F293" s="24">
        <f t="shared" si="21"/>
        <v>534.10000000000332</v>
      </c>
    </row>
    <row r="294" spans="5:6" x14ac:dyDescent="0.25">
      <c r="E294" s="8">
        <v>302</v>
      </c>
      <c r="F294" s="24">
        <f t="shared" si="21"/>
        <v>535.55000000000337</v>
      </c>
    </row>
    <row r="295" spans="5:6" x14ac:dyDescent="0.25">
      <c r="E295" s="8">
        <v>303</v>
      </c>
      <c r="F295" s="24">
        <f t="shared" si="21"/>
        <v>537.00000000000341</v>
      </c>
    </row>
    <row r="296" spans="5:6" x14ac:dyDescent="0.25">
      <c r="E296" s="8">
        <v>304</v>
      </c>
      <c r="F296" s="24">
        <f t="shared" si="21"/>
        <v>538.45000000000346</v>
      </c>
    </row>
    <row r="297" spans="5:6" x14ac:dyDescent="0.25">
      <c r="E297" s="8">
        <v>305</v>
      </c>
      <c r="F297" s="24">
        <f t="shared" si="21"/>
        <v>539.9000000000035</v>
      </c>
    </row>
    <row r="298" spans="5:6" x14ac:dyDescent="0.25">
      <c r="E298" s="8">
        <v>306</v>
      </c>
      <c r="F298" s="24">
        <f t="shared" si="21"/>
        <v>541.35000000000355</v>
      </c>
    </row>
    <row r="299" spans="5:6" x14ac:dyDescent="0.25">
      <c r="E299" s="8">
        <v>307</v>
      </c>
      <c r="F299" s="24">
        <f t="shared" si="21"/>
        <v>542.80000000000359</v>
      </c>
    </row>
    <row r="300" spans="5:6" x14ac:dyDescent="0.25">
      <c r="E300" s="8">
        <v>308</v>
      </c>
      <c r="F300" s="24">
        <f t="shared" si="21"/>
        <v>544.25000000000364</v>
      </c>
    </row>
    <row r="301" spans="5:6" x14ac:dyDescent="0.25">
      <c r="E301" s="8">
        <v>309</v>
      </c>
      <c r="F301" s="24">
        <f t="shared" si="21"/>
        <v>545.70000000000368</v>
      </c>
    </row>
    <row r="302" spans="5:6" x14ac:dyDescent="0.25">
      <c r="E302" s="8">
        <v>310</v>
      </c>
      <c r="F302" s="24">
        <f t="shared" si="21"/>
        <v>547.15000000000373</v>
      </c>
    </row>
    <row r="303" spans="5:6" x14ac:dyDescent="0.25">
      <c r="E303" s="8">
        <v>311</v>
      </c>
      <c r="F303" s="24">
        <f t="shared" si="21"/>
        <v>548.60000000000377</v>
      </c>
    </row>
    <row r="304" spans="5:6" x14ac:dyDescent="0.25">
      <c r="E304" s="8">
        <v>312</v>
      </c>
      <c r="F304" s="24">
        <f t="shared" si="21"/>
        <v>550.05000000000382</v>
      </c>
    </row>
    <row r="305" spans="5:6" x14ac:dyDescent="0.25">
      <c r="E305" s="8">
        <v>313</v>
      </c>
      <c r="F305" s="24">
        <f t="shared" si="21"/>
        <v>551.50000000000387</v>
      </c>
    </row>
    <row r="306" spans="5:6" x14ac:dyDescent="0.25">
      <c r="E306" s="8">
        <v>314</v>
      </c>
      <c r="F306" s="24">
        <f t="shared" si="21"/>
        <v>552.95000000000391</v>
      </c>
    </row>
    <row r="307" spans="5:6" x14ac:dyDescent="0.25">
      <c r="E307" s="8">
        <v>315</v>
      </c>
      <c r="F307" s="24">
        <f t="shared" si="21"/>
        <v>554.40000000000396</v>
      </c>
    </row>
    <row r="308" spans="5:6" x14ac:dyDescent="0.25">
      <c r="E308" s="8">
        <v>316</v>
      </c>
      <c r="F308" s="24">
        <f t="shared" si="21"/>
        <v>555.850000000004</v>
      </c>
    </row>
    <row r="309" spans="5:6" x14ac:dyDescent="0.25">
      <c r="E309" s="8">
        <v>317</v>
      </c>
      <c r="F309" s="24">
        <f t="shared" si="21"/>
        <v>557.30000000000405</v>
      </c>
    </row>
    <row r="310" spans="5:6" x14ac:dyDescent="0.25">
      <c r="E310" s="8">
        <v>318</v>
      </c>
      <c r="F310" s="24">
        <f t="shared" si="21"/>
        <v>558.75000000000409</v>
      </c>
    </row>
    <row r="311" spans="5:6" x14ac:dyDescent="0.25">
      <c r="E311" s="8">
        <v>319</v>
      </c>
      <c r="F311" s="24">
        <f t="shared" si="21"/>
        <v>560.20000000000414</v>
      </c>
    </row>
    <row r="312" spans="5:6" x14ac:dyDescent="0.25">
      <c r="E312" s="8">
        <v>320</v>
      </c>
      <c r="F312" s="24">
        <f t="shared" si="21"/>
        <v>561.65000000000418</v>
      </c>
    </row>
    <row r="313" spans="5:6" x14ac:dyDescent="0.25">
      <c r="E313" s="8">
        <v>321</v>
      </c>
      <c r="F313" s="24">
        <f t="shared" si="21"/>
        <v>563.10000000000423</v>
      </c>
    </row>
    <row r="314" spans="5:6" x14ac:dyDescent="0.25">
      <c r="E314" s="8">
        <v>322</v>
      </c>
      <c r="F314" s="24">
        <f t="shared" si="21"/>
        <v>564.55000000000427</v>
      </c>
    </row>
    <row r="315" spans="5:6" x14ac:dyDescent="0.25">
      <c r="E315" s="8">
        <v>323</v>
      </c>
      <c r="F315" s="24">
        <f t="shared" si="21"/>
        <v>566.00000000000432</v>
      </c>
    </row>
    <row r="316" spans="5:6" x14ac:dyDescent="0.25">
      <c r="E316" s="8">
        <v>324</v>
      </c>
      <c r="F316" s="24">
        <f t="shared" si="21"/>
        <v>567.45000000000437</v>
      </c>
    </row>
    <row r="317" spans="5:6" x14ac:dyDescent="0.25">
      <c r="E317" s="8">
        <v>325</v>
      </c>
      <c r="F317" s="24">
        <f t="shared" si="21"/>
        <v>568.90000000000441</v>
      </c>
    </row>
    <row r="318" spans="5:6" x14ac:dyDescent="0.25">
      <c r="E318" s="8">
        <v>326</v>
      </c>
      <c r="F318" s="24">
        <f t="shared" si="21"/>
        <v>570.35000000000446</v>
      </c>
    </row>
    <row r="319" spans="5:6" x14ac:dyDescent="0.25">
      <c r="E319" s="8">
        <v>327</v>
      </c>
      <c r="F319" s="24">
        <f t="shared" si="21"/>
        <v>571.8000000000045</v>
      </c>
    </row>
    <row r="320" spans="5:6" x14ac:dyDescent="0.25">
      <c r="E320" s="8">
        <v>328</v>
      </c>
      <c r="F320" s="24">
        <f t="shared" si="21"/>
        <v>573.25000000000455</v>
      </c>
    </row>
    <row r="321" spans="5:6" x14ac:dyDescent="0.25">
      <c r="E321" s="8">
        <v>329</v>
      </c>
      <c r="F321" s="24">
        <f t="shared" si="21"/>
        <v>574.70000000000459</v>
      </c>
    </row>
    <row r="322" spans="5:6" x14ac:dyDescent="0.25">
      <c r="E322" s="8">
        <v>330</v>
      </c>
      <c r="F322" s="24">
        <f t="shared" si="21"/>
        <v>576.15000000000464</v>
      </c>
    </row>
    <row r="323" spans="5:6" x14ac:dyDescent="0.25">
      <c r="E323" s="8">
        <v>331</v>
      </c>
      <c r="F323" s="24">
        <f t="shared" si="21"/>
        <v>577.60000000000468</v>
      </c>
    </row>
    <row r="324" spans="5:6" x14ac:dyDescent="0.25">
      <c r="E324" s="8">
        <v>332</v>
      </c>
      <c r="F324" s="24">
        <f t="shared" si="21"/>
        <v>579.05000000000473</v>
      </c>
    </row>
    <row r="325" spans="5:6" x14ac:dyDescent="0.25">
      <c r="E325" s="8">
        <v>333</v>
      </c>
      <c r="F325" s="24">
        <f t="shared" si="21"/>
        <v>580.50000000000477</v>
      </c>
    </row>
    <row r="326" spans="5:6" x14ac:dyDescent="0.25">
      <c r="E326" s="8">
        <v>334</v>
      </c>
      <c r="F326" s="24">
        <f t="shared" si="21"/>
        <v>581.95000000000482</v>
      </c>
    </row>
    <row r="327" spans="5:6" x14ac:dyDescent="0.25">
      <c r="E327" s="8">
        <v>335</v>
      </c>
      <c r="F327" s="24">
        <f t="shared" si="21"/>
        <v>583.40000000000487</v>
      </c>
    </row>
    <row r="328" spans="5:6" x14ac:dyDescent="0.25">
      <c r="E328" s="8">
        <v>336</v>
      </c>
      <c r="F328" s="24">
        <f t="shared" si="21"/>
        <v>584.85000000000491</v>
      </c>
    </row>
    <row r="329" spans="5:6" x14ac:dyDescent="0.25">
      <c r="E329" s="8">
        <v>337</v>
      </c>
      <c r="F329" s="24">
        <f t="shared" si="21"/>
        <v>586.30000000000496</v>
      </c>
    </row>
    <row r="330" spans="5:6" x14ac:dyDescent="0.25">
      <c r="E330" s="8">
        <v>338</v>
      </c>
      <c r="F330" s="24">
        <f t="shared" si="21"/>
        <v>587.750000000005</v>
      </c>
    </row>
    <row r="331" spans="5:6" x14ac:dyDescent="0.25">
      <c r="E331" s="8">
        <v>339</v>
      </c>
      <c r="F331" s="24">
        <f t="shared" si="21"/>
        <v>589.20000000000505</v>
      </c>
    </row>
    <row r="332" spans="5:6" x14ac:dyDescent="0.25">
      <c r="E332" s="8">
        <v>340</v>
      </c>
      <c r="F332" s="24">
        <f t="shared" si="21"/>
        <v>590.65000000000509</v>
      </c>
    </row>
    <row r="333" spans="5:6" x14ac:dyDescent="0.25">
      <c r="E333" s="8">
        <v>341</v>
      </c>
      <c r="F333" s="24">
        <f t="shared" si="21"/>
        <v>592.10000000000514</v>
      </c>
    </row>
    <row r="334" spans="5:6" x14ac:dyDescent="0.25">
      <c r="E334" s="8">
        <v>342</v>
      </c>
      <c r="F334" s="24">
        <f t="shared" si="21"/>
        <v>593.55000000000518</v>
      </c>
    </row>
    <row r="335" spans="5:6" x14ac:dyDescent="0.25">
      <c r="E335" s="8">
        <v>343</v>
      </c>
      <c r="F335" s="24">
        <f t="shared" si="21"/>
        <v>595.00000000000523</v>
      </c>
    </row>
    <row r="336" spans="5:6" x14ac:dyDescent="0.25">
      <c r="E336" s="8">
        <v>344</v>
      </c>
      <c r="F336" s="24">
        <f t="shared" si="21"/>
        <v>596.45000000000528</v>
      </c>
    </row>
    <row r="337" spans="5:6" x14ac:dyDescent="0.25">
      <c r="E337" s="8">
        <v>345</v>
      </c>
      <c r="F337" s="24">
        <f t="shared" ref="F337:F400" si="22">F336+(E337-E336)*$C$19</f>
        <v>597.90000000000532</v>
      </c>
    </row>
    <row r="338" spans="5:6" x14ac:dyDescent="0.25">
      <c r="E338" s="8">
        <v>346</v>
      </c>
      <c r="F338" s="24">
        <f t="shared" si="22"/>
        <v>599.35000000000537</v>
      </c>
    </row>
    <row r="339" spans="5:6" x14ac:dyDescent="0.25">
      <c r="E339" s="8">
        <v>347</v>
      </c>
      <c r="F339" s="24">
        <f t="shared" si="22"/>
        <v>600.80000000000541</v>
      </c>
    </row>
    <row r="340" spans="5:6" x14ac:dyDescent="0.25">
      <c r="E340" s="8">
        <v>348</v>
      </c>
      <c r="F340" s="24">
        <f t="shared" si="22"/>
        <v>602.25000000000546</v>
      </c>
    </row>
    <row r="341" spans="5:6" x14ac:dyDescent="0.25">
      <c r="E341" s="8">
        <v>349</v>
      </c>
      <c r="F341" s="24">
        <f t="shared" si="22"/>
        <v>603.7000000000055</v>
      </c>
    </row>
    <row r="342" spans="5:6" x14ac:dyDescent="0.25">
      <c r="E342" s="8">
        <v>350</v>
      </c>
      <c r="F342" s="24">
        <f t="shared" si="22"/>
        <v>605.15000000000555</v>
      </c>
    </row>
    <row r="343" spans="5:6" x14ac:dyDescent="0.25">
      <c r="E343" s="8">
        <v>351</v>
      </c>
      <c r="F343" s="24">
        <f t="shared" si="22"/>
        <v>606.60000000000559</v>
      </c>
    </row>
    <row r="344" spans="5:6" x14ac:dyDescent="0.25">
      <c r="E344" s="8">
        <v>352</v>
      </c>
      <c r="F344" s="24">
        <f t="shared" si="22"/>
        <v>608.05000000000564</v>
      </c>
    </row>
    <row r="345" spans="5:6" x14ac:dyDescent="0.25">
      <c r="E345" s="8">
        <v>353</v>
      </c>
      <c r="F345" s="24">
        <f t="shared" si="22"/>
        <v>609.50000000000568</v>
      </c>
    </row>
    <row r="346" spans="5:6" x14ac:dyDescent="0.25">
      <c r="E346" s="8">
        <v>354</v>
      </c>
      <c r="F346" s="24">
        <f t="shared" si="22"/>
        <v>610.95000000000573</v>
      </c>
    </row>
    <row r="347" spans="5:6" x14ac:dyDescent="0.25">
      <c r="E347" s="8">
        <v>355</v>
      </c>
      <c r="F347" s="24">
        <f t="shared" si="22"/>
        <v>612.40000000000578</v>
      </c>
    </row>
    <row r="348" spans="5:6" x14ac:dyDescent="0.25">
      <c r="E348" s="8">
        <v>356</v>
      </c>
      <c r="F348" s="24">
        <f t="shared" si="22"/>
        <v>613.85000000000582</v>
      </c>
    </row>
    <row r="349" spans="5:6" x14ac:dyDescent="0.25">
      <c r="E349" s="8">
        <v>357</v>
      </c>
      <c r="F349" s="24">
        <f t="shared" si="22"/>
        <v>615.30000000000587</v>
      </c>
    </row>
    <row r="350" spans="5:6" x14ac:dyDescent="0.25">
      <c r="E350" s="8">
        <v>358</v>
      </c>
      <c r="F350" s="24">
        <f t="shared" si="22"/>
        <v>616.75000000000591</v>
      </c>
    </row>
    <row r="351" spans="5:6" x14ac:dyDescent="0.25">
      <c r="E351" s="8">
        <v>359</v>
      </c>
      <c r="F351" s="24">
        <f t="shared" si="22"/>
        <v>618.20000000000596</v>
      </c>
    </row>
    <row r="352" spans="5:6" x14ac:dyDescent="0.25">
      <c r="E352" s="8">
        <v>360</v>
      </c>
      <c r="F352" s="24">
        <f t="shared" si="22"/>
        <v>619.650000000006</v>
      </c>
    </row>
    <row r="353" spans="5:6" x14ac:dyDescent="0.25">
      <c r="E353" s="8">
        <v>361</v>
      </c>
      <c r="F353" s="24">
        <f t="shared" si="22"/>
        <v>621.10000000000605</v>
      </c>
    </row>
    <row r="354" spans="5:6" x14ac:dyDescent="0.25">
      <c r="E354" s="8">
        <v>362</v>
      </c>
      <c r="F354" s="24">
        <f t="shared" si="22"/>
        <v>622.55000000000609</v>
      </c>
    </row>
    <row r="355" spans="5:6" x14ac:dyDescent="0.25">
      <c r="E355" s="8">
        <v>363</v>
      </c>
      <c r="F355" s="24">
        <f t="shared" si="22"/>
        <v>624.00000000000614</v>
      </c>
    </row>
    <row r="356" spans="5:6" x14ac:dyDescent="0.25">
      <c r="E356" s="8">
        <v>364</v>
      </c>
      <c r="F356" s="24">
        <f t="shared" si="22"/>
        <v>625.45000000000618</v>
      </c>
    </row>
    <row r="357" spans="5:6" x14ac:dyDescent="0.25">
      <c r="E357" s="8">
        <v>365</v>
      </c>
      <c r="F357" s="24">
        <f t="shared" si="22"/>
        <v>626.90000000000623</v>
      </c>
    </row>
    <row r="358" spans="5:6" x14ac:dyDescent="0.25">
      <c r="E358" s="8">
        <v>366</v>
      </c>
      <c r="F358" s="24">
        <f t="shared" si="22"/>
        <v>628.35000000000628</v>
      </c>
    </row>
    <row r="359" spans="5:6" x14ac:dyDescent="0.25">
      <c r="E359" s="8">
        <v>367</v>
      </c>
      <c r="F359" s="24">
        <f t="shared" si="22"/>
        <v>629.80000000000632</v>
      </c>
    </row>
    <row r="360" spans="5:6" x14ac:dyDescent="0.25">
      <c r="E360" s="8">
        <v>368</v>
      </c>
      <c r="F360" s="24">
        <f t="shared" si="22"/>
        <v>631.25000000000637</v>
      </c>
    </row>
    <row r="361" spans="5:6" x14ac:dyDescent="0.25">
      <c r="E361" s="8">
        <v>369</v>
      </c>
      <c r="F361" s="24">
        <f t="shared" si="22"/>
        <v>632.70000000000641</v>
      </c>
    </row>
    <row r="362" spans="5:6" x14ac:dyDescent="0.25">
      <c r="E362" s="8">
        <v>370</v>
      </c>
      <c r="F362" s="24">
        <f t="shared" si="22"/>
        <v>634.15000000000646</v>
      </c>
    </row>
    <row r="363" spans="5:6" x14ac:dyDescent="0.25">
      <c r="E363" s="8">
        <v>371</v>
      </c>
      <c r="F363" s="24">
        <f t="shared" si="22"/>
        <v>635.6000000000065</v>
      </c>
    </row>
    <row r="364" spans="5:6" x14ac:dyDescent="0.25">
      <c r="E364" s="8">
        <v>372</v>
      </c>
      <c r="F364" s="24">
        <f t="shared" si="22"/>
        <v>637.05000000000655</v>
      </c>
    </row>
    <row r="365" spans="5:6" x14ac:dyDescent="0.25">
      <c r="E365" s="8">
        <v>373</v>
      </c>
      <c r="F365" s="24">
        <f t="shared" si="22"/>
        <v>638.50000000000659</v>
      </c>
    </row>
    <row r="366" spans="5:6" x14ac:dyDescent="0.25">
      <c r="E366" s="8">
        <v>374</v>
      </c>
      <c r="F366" s="24">
        <f t="shared" si="22"/>
        <v>639.95000000000664</v>
      </c>
    </row>
    <row r="367" spans="5:6" x14ac:dyDescent="0.25">
      <c r="E367" s="8">
        <v>375</v>
      </c>
      <c r="F367" s="24">
        <f t="shared" si="22"/>
        <v>641.40000000000668</v>
      </c>
    </row>
    <row r="368" spans="5:6" x14ac:dyDescent="0.25">
      <c r="E368" s="8">
        <v>376</v>
      </c>
      <c r="F368" s="24">
        <f t="shared" si="22"/>
        <v>642.85000000000673</v>
      </c>
    </row>
    <row r="369" spans="5:6" x14ac:dyDescent="0.25">
      <c r="E369" s="8">
        <v>377</v>
      </c>
      <c r="F369" s="24">
        <f t="shared" si="22"/>
        <v>644.30000000000678</v>
      </c>
    </row>
    <row r="370" spans="5:6" x14ac:dyDescent="0.25">
      <c r="E370" s="8">
        <v>378</v>
      </c>
      <c r="F370" s="24">
        <f t="shared" si="22"/>
        <v>645.75000000000682</v>
      </c>
    </row>
    <row r="371" spans="5:6" x14ac:dyDescent="0.25">
      <c r="E371" s="8">
        <v>379</v>
      </c>
      <c r="F371" s="24">
        <f t="shared" si="22"/>
        <v>647.20000000000687</v>
      </c>
    </row>
    <row r="372" spans="5:6" x14ac:dyDescent="0.25">
      <c r="E372" s="8">
        <v>380</v>
      </c>
      <c r="F372" s="24">
        <f t="shared" si="22"/>
        <v>648.65000000000691</v>
      </c>
    </row>
    <row r="373" spans="5:6" x14ac:dyDescent="0.25">
      <c r="E373" s="8">
        <v>381</v>
      </c>
      <c r="F373" s="24">
        <f t="shared" si="22"/>
        <v>650.10000000000696</v>
      </c>
    </row>
    <row r="374" spans="5:6" x14ac:dyDescent="0.25">
      <c r="E374" s="8">
        <v>382</v>
      </c>
      <c r="F374" s="24">
        <f t="shared" si="22"/>
        <v>651.550000000007</v>
      </c>
    </row>
    <row r="375" spans="5:6" x14ac:dyDescent="0.25">
      <c r="E375" s="8">
        <v>383</v>
      </c>
      <c r="F375" s="24">
        <f t="shared" si="22"/>
        <v>653.00000000000705</v>
      </c>
    </row>
    <row r="376" spans="5:6" x14ac:dyDescent="0.25">
      <c r="E376" s="8">
        <v>384</v>
      </c>
      <c r="F376" s="24">
        <f t="shared" si="22"/>
        <v>654.45000000000709</v>
      </c>
    </row>
    <row r="377" spans="5:6" x14ac:dyDescent="0.25">
      <c r="E377" s="8">
        <v>385</v>
      </c>
      <c r="F377" s="24">
        <f t="shared" si="22"/>
        <v>655.90000000000714</v>
      </c>
    </row>
    <row r="378" spans="5:6" x14ac:dyDescent="0.25">
      <c r="E378" s="8">
        <v>386</v>
      </c>
      <c r="F378" s="24">
        <f t="shared" si="22"/>
        <v>657.35000000000719</v>
      </c>
    </row>
    <row r="379" spans="5:6" x14ac:dyDescent="0.25">
      <c r="E379" s="8">
        <v>387</v>
      </c>
      <c r="F379" s="24">
        <f t="shared" si="22"/>
        <v>658.80000000000723</v>
      </c>
    </row>
    <row r="380" spans="5:6" x14ac:dyDescent="0.25">
      <c r="E380" s="8">
        <v>388</v>
      </c>
      <c r="F380" s="24">
        <f t="shared" si="22"/>
        <v>660.25000000000728</v>
      </c>
    </row>
    <row r="381" spans="5:6" x14ac:dyDescent="0.25">
      <c r="E381" s="8">
        <v>389</v>
      </c>
      <c r="F381" s="24">
        <f t="shared" si="22"/>
        <v>661.70000000000732</v>
      </c>
    </row>
    <row r="382" spans="5:6" x14ac:dyDescent="0.25">
      <c r="E382" s="8">
        <v>390</v>
      </c>
      <c r="F382" s="24">
        <f t="shared" si="22"/>
        <v>663.15000000000737</v>
      </c>
    </row>
    <row r="383" spans="5:6" x14ac:dyDescent="0.25">
      <c r="E383" s="8">
        <v>391</v>
      </c>
      <c r="F383" s="24">
        <f t="shared" si="22"/>
        <v>664.60000000000741</v>
      </c>
    </row>
    <row r="384" spans="5:6" x14ac:dyDescent="0.25">
      <c r="E384" s="8">
        <v>392</v>
      </c>
      <c r="F384" s="24">
        <f t="shared" si="22"/>
        <v>666.05000000000746</v>
      </c>
    </row>
    <row r="385" spans="5:6" x14ac:dyDescent="0.25">
      <c r="E385" s="8">
        <v>393</v>
      </c>
      <c r="F385" s="24">
        <f t="shared" si="22"/>
        <v>667.5000000000075</v>
      </c>
    </row>
    <row r="386" spans="5:6" x14ac:dyDescent="0.25">
      <c r="E386" s="8">
        <v>394</v>
      </c>
      <c r="F386" s="24">
        <f t="shared" si="22"/>
        <v>668.95000000000755</v>
      </c>
    </row>
    <row r="387" spans="5:6" x14ac:dyDescent="0.25">
      <c r="E387" s="8">
        <v>395</v>
      </c>
      <c r="F387" s="24">
        <f t="shared" si="22"/>
        <v>670.40000000000759</v>
      </c>
    </row>
    <row r="388" spans="5:6" x14ac:dyDescent="0.25">
      <c r="E388" s="8">
        <v>396</v>
      </c>
      <c r="F388" s="24">
        <f t="shared" si="22"/>
        <v>671.85000000000764</v>
      </c>
    </row>
    <row r="389" spans="5:6" x14ac:dyDescent="0.25">
      <c r="E389" s="8">
        <v>397</v>
      </c>
      <c r="F389" s="24">
        <f t="shared" si="22"/>
        <v>673.30000000000769</v>
      </c>
    </row>
    <row r="390" spans="5:6" x14ac:dyDescent="0.25">
      <c r="E390" s="8">
        <v>398</v>
      </c>
      <c r="F390" s="24">
        <f t="shared" si="22"/>
        <v>674.75000000000773</v>
      </c>
    </row>
    <row r="391" spans="5:6" x14ac:dyDescent="0.25">
      <c r="E391" s="8">
        <v>399</v>
      </c>
      <c r="F391" s="24">
        <f t="shared" si="22"/>
        <v>676.20000000000778</v>
      </c>
    </row>
    <row r="392" spans="5:6" x14ac:dyDescent="0.25">
      <c r="E392" s="8">
        <v>400</v>
      </c>
      <c r="F392" s="24">
        <f t="shared" si="22"/>
        <v>677.65000000000782</v>
      </c>
    </row>
    <row r="393" spans="5:6" x14ac:dyDescent="0.25">
      <c r="E393" s="8">
        <v>401</v>
      </c>
      <c r="F393" s="24">
        <f t="shared" si="22"/>
        <v>679.10000000000787</v>
      </c>
    </row>
    <row r="394" spans="5:6" x14ac:dyDescent="0.25">
      <c r="E394" s="8">
        <v>402</v>
      </c>
      <c r="F394" s="24">
        <f t="shared" si="22"/>
        <v>680.55000000000791</v>
      </c>
    </row>
    <row r="395" spans="5:6" x14ac:dyDescent="0.25">
      <c r="E395" s="8">
        <v>403</v>
      </c>
      <c r="F395" s="24">
        <f t="shared" si="22"/>
        <v>682.00000000000796</v>
      </c>
    </row>
    <row r="396" spans="5:6" x14ac:dyDescent="0.25">
      <c r="E396" s="8">
        <v>404</v>
      </c>
      <c r="F396" s="24">
        <f t="shared" si="22"/>
        <v>683.450000000008</v>
      </c>
    </row>
    <row r="397" spans="5:6" x14ac:dyDescent="0.25">
      <c r="E397" s="8">
        <v>405</v>
      </c>
      <c r="F397" s="24">
        <f t="shared" si="22"/>
        <v>684.90000000000805</v>
      </c>
    </row>
    <row r="398" spans="5:6" x14ac:dyDescent="0.25">
      <c r="E398" s="8">
        <v>406</v>
      </c>
      <c r="F398" s="24">
        <f t="shared" si="22"/>
        <v>686.35000000000809</v>
      </c>
    </row>
    <row r="399" spans="5:6" x14ac:dyDescent="0.25">
      <c r="E399" s="8">
        <v>407</v>
      </c>
      <c r="F399" s="24">
        <f t="shared" si="22"/>
        <v>687.80000000000814</v>
      </c>
    </row>
    <row r="400" spans="5:6" x14ac:dyDescent="0.25">
      <c r="E400" s="8">
        <v>408</v>
      </c>
      <c r="F400" s="24">
        <f t="shared" si="22"/>
        <v>689.25000000000819</v>
      </c>
    </row>
    <row r="401" spans="5:6" x14ac:dyDescent="0.25">
      <c r="E401" s="8">
        <v>409</v>
      </c>
      <c r="F401" s="24">
        <f t="shared" ref="F401" si="23">F400+(E401-E400)*$C$19</f>
        <v>690.70000000000823</v>
      </c>
    </row>
    <row r="402" spans="5:6" x14ac:dyDescent="0.25">
      <c r="E402" s="8">
        <v>410</v>
      </c>
      <c r="F402" s="24">
        <f t="shared" ref="F402:F407" si="24">F401+(E402-E401)*$C$20</f>
        <v>692.05000000000825</v>
      </c>
    </row>
    <row r="403" spans="5:6" x14ac:dyDescent="0.25">
      <c r="E403" s="8">
        <v>411</v>
      </c>
      <c r="F403" s="24">
        <f t="shared" si="24"/>
        <v>693.40000000000828</v>
      </c>
    </row>
    <row r="404" spans="5:6" x14ac:dyDescent="0.25">
      <c r="E404" s="8">
        <v>412</v>
      </c>
      <c r="F404" s="24">
        <f t="shared" si="24"/>
        <v>694.7500000000083</v>
      </c>
    </row>
    <row r="405" spans="5:6" x14ac:dyDescent="0.25">
      <c r="E405" s="8">
        <v>413</v>
      </c>
      <c r="F405" s="24">
        <f t="shared" si="24"/>
        <v>696.10000000000832</v>
      </c>
    </row>
    <row r="406" spans="5:6" x14ac:dyDescent="0.25">
      <c r="E406" s="8">
        <v>414</v>
      </c>
      <c r="F406" s="24">
        <f t="shared" si="24"/>
        <v>697.45000000000834</v>
      </c>
    </row>
    <row r="407" spans="5:6" x14ac:dyDescent="0.25">
      <c r="E407" s="8">
        <v>415</v>
      </c>
      <c r="F407" s="24">
        <f t="shared" si="24"/>
        <v>698.80000000000837</v>
      </c>
    </row>
    <row r="408" spans="5:6" x14ac:dyDescent="0.25">
      <c r="E408" s="8">
        <v>416</v>
      </c>
      <c r="F408" s="24">
        <f t="shared" ref="F408:F470" si="25">F407+(E408-E407)*$C$20</f>
        <v>700.15000000000839</v>
      </c>
    </row>
    <row r="409" spans="5:6" x14ac:dyDescent="0.25">
      <c r="E409" s="8">
        <v>417</v>
      </c>
      <c r="F409" s="24">
        <f t="shared" si="25"/>
        <v>701.50000000000841</v>
      </c>
    </row>
    <row r="410" spans="5:6" x14ac:dyDescent="0.25">
      <c r="E410" s="8">
        <v>418</v>
      </c>
      <c r="F410" s="24">
        <f t="shared" si="25"/>
        <v>702.85000000000844</v>
      </c>
    </row>
    <row r="411" spans="5:6" x14ac:dyDescent="0.25">
      <c r="E411" s="8">
        <v>419</v>
      </c>
      <c r="F411" s="24">
        <f t="shared" si="25"/>
        <v>704.20000000000846</v>
      </c>
    </row>
    <row r="412" spans="5:6" x14ac:dyDescent="0.25">
      <c r="E412" s="8">
        <v>420</v>
      </c>
      <c r="F412" s="24">
        <f t="shared" si="25"/>
        <v>705.55000000000848</v>
      </c>
    </row>
    <row r="413" spans="5:6" x14ac:dyDescent="0.25">
      <c r="E413" s="8">
        <v>421</v>
      </c>
      <c r="F413" s="24">
        <f t="shared" si="25"/>
        <v>706.9000000000085</v>
      </c>
    </row>
    <row r="414" spans="5:6" x14ac:dyDescent="0.25">
      <c r="E414" s="8">
        <v>422</v>
      </c>
      <c r="F414" s="24">
        <f t="shared" si="25"/>
        <v>708.25000000000853</v>
      </c>
    </row>
    <row r="415" spans="5:6" x14ac:dyDescent="0.25">
      <c r="E415" s="8">
        <v>423</v>
      </c>
      <c r="F415" s="24">
        <f t="shared" si="25"/>
        <v>709.60000000000855</v>
      </c>
    </row>
    <row r="416" spans="5:6" x14ac:dyDescent="0.25">
      <c r="E416" s="8">
        <v>424</v>
      </c>
      <c r="F416" s="24">
        <f t="shared" si="25"/>
        <v>710.95000000000857</v>
      </c>
    </row>
    <row r="417" spans="5:6" x14ac:dyDescent="0.25">
      <c r="E417" s="8">
        <v>425</v>
      </c>
      <c r="F417" s="24">
        <f t="shared" si="25"/>
        <v>712.30000000000859</v>
      </c>
    </row>
    <row r="418" spans="5:6" x14ac:dyDescent="0.25">
      <c r="E418" s="8">
        <v>426</v>
      </c>
      <c r="F418" s="24">
        <f t="shared" si="25"/>
        <v>713.65000000000862</v>
      </c>
    </row>
    <row r="419" spans="5:6" x14ac:dyDescent="0.25">
      <c r="E419" s="8">
        <v>427</v>
      </c>
      <c r="F419" s="24">
        <f t="shared" si="25"/>
        <v>715.00000000000864</v>
      </c>
    </row>
    <row r="420" spans="5:6" x14ac:dyDescent="0.25">
      <c r="E420" s="8">
        <v>428</v>
      </c>
      <c r="F420" s="24">
        <f t="shared" si="25"/>
        <v>716.35000000000866</v>
      </c>
    </row>
    <row r="421" spans="5:6" x14ac:dyDescent="0.25">
      <c r="E421" s="8">
        <v>429</v>
      </c>
      <c r="F421" s="24">
        <f t="shared" si="25"/>
        <v>717.70000000000869</v>
      </c>
    </row>
    <row r="422" spans="5:6" x14ac:dyDescent="0.25">
      <c r="E422" s="8">
        <v>430</v>
      </c>
      <c r="F422" s="24">
        <f t="shared" si="25"/>
        <v>719.05000000000871</v>
      </c>
    </row>
    <row r="423" spans="5:6" x14ac:dyDescent="0.25">
      <c r="E423" s="8">
        <v>431</v>
      </c>
      <c r="F423" s="24">
        <f t="shared" si="25"/>
        <v>720.40000000000873</v>
      </c>
    </row>
    <row r="424" spans="5:6" x14ac:dyDescent="0.25">
      <c r="E424" s="8">
        <v>432</v>
      </c>
      <c r="F424" s="24">
        <f t="shared" si="25"/>
        <v>721.75000000000875</v>
      </c>
    </row>
    <row r="425" spans="5:6" x14ac:dyDescent="0.25">
      <c r="E425" s="8">
        <v>433</v>
      </c>
      <c r="F425" s="24">
        <f t="shared" si="25"/>
        <v>723.10000000000878</v>
      </c>
    </row>
    <row r="426" spans="5:6" x14ac:dyDescent="0.25">
      <c r="E426" s="8">
        <v>434</v>
      </c>
      <c r="F426" s="24">
        <f t="shared" si="25"/>
        <v>724.4500000000088</v>
      </c>
    </row>
    <row r="427" spans="5:6" x14ac:dyDescent="0.25">
      <c r="E427" s="8">
        <v>435</v>
      </c>
      <c r="F427" s="24">
        <f t="shared" si="25"/>
        <v>725.80000000000882</v>
      </c>
    </row>
    <row r="428" spans="5:6" x14ac:dyDescent="0.25">
      <c r="E428" s="8">
        <v>436</v>
      </c>
      <c r="F428" s="24">
        <f t="shared" si="25"/>
        <v>727.15000000000884</v>
      </c>
    </row>
    <row r="429" spans="5:6" x14ac:dyDescent="0.25">
      <c r="E429" s="8">
        <v>437</v>
      </c>
      <c r="F429" s="24">
        <f t="shared" si="25"/>
        <v>728.50000000000887</v>
      </c>
    </row>
    <row r="430" spans="5:6" x14ac:dyDescent="0.25">
      <c r="E430" s="8">
        <v>438</v>
      </c>
      <c r="F430" s="24">
        <f t="shared" si="25"/>
        <v>729.85000000000889</v>
      </c>
    </row>
    <row r="431" spans="5:6" x14ac:dyDescent="0.25">
      <c r="E431" s="8">
        <v>439</v>
      </c>
      <c r="F431" s="24">
        <f t="shared" si="25"/>
        <v>731.20000000000891</v>
      </c>
    </row>
    <row r="432" spans="5:6" x14ac:dyDescent="0.25">
      <c r="E432" s="8">
        <v>440</v>
      </c>
      <c r="F432" s="24">
        <f t="shared" si="25"/>
        <v>732.55000000000894</v>
      </c>
    </row>
    <row r="433" spans="5:6" x14ac:dyDescent="0.25">
      <c r="E433" s="8">
        <v>441</v>
      </c>
      <c r="F433" s="24">
        <f t="shared" si="25"/>
        <v>733.90000000000896</v>
      </c>
    </row>
    <row r="434" spans="5:6" x14ac:dyDescent="0.25">
      <c r="E434" s="8">
        <v>442</v>
      </c>
      <c r="F434" s="24">
        <f t="shared" si="25"/>
        <v>735.25000000000898</v>
      </c>
    </row>
    <row r="435" spans="5:6" x14ac:dyDescent="0.25">
      <c r="E435" s="8">
        <v>443</v>
      </c>
      <c r="F435" s="24">
        <f t="shared" si="25"/>
        <v>736.600000000009</v>
      </c>
    </row>
    <row r="436" spans="5:6" x14ac:dyDescent="0.25">
      <c r="E436" s="8">
        <v>444</v>
      </c>
      <c r="F436" s="24">
        <f t="shared" si="25"/>
        <v>737.95000000000903</v>
      </c>
    </row>
    <row r="437" spans="5:6" x14ac:dyDescent="0.25">
      <c r="E437" s="8">
        <v>445</v>
      </c>
      <c r="F437" s="24">
        <f t="shared" si="25"/>
        <v>739.30000000000905</v>
      </c>
    </row>
    <row r="438" spans="5:6" x14ac:dyDescent="0.25">
      <c r="E438" s="8">
        <v>446</v>
      </c>
      <c r="F438" s="24">
        <f t="shared" si="25"/>
        <v>740.65000000000907</v>
      </c>
    </row>
    <row r="439" spans="5:6" x14ac:dyDescent="0.25">
      <c r="E439" s="8">
        <v>447</v>
      </c>
      <c r="F439" s="24">
        <f t="shared" si="25"/>
        <v>742.00000000000909</v>
      </c>
    </row>
    <row r="440" spans="5:6" x14ac:dyDescent="0.25">
      <c r="E440" s="8">
        <v>448</v>
      </c>
      <c r="F440" s="24">
        <f t="shared" si="25"/>
        <v>743.35000000000912</v>
      </c>
    </row>
    <row r="441" spans="5:6" x14ac:dyDescent="0.25">
      <c r="E441" s="8">
        <v>449</v>
      </c>
      <c r="F441" s="24">
        <f t="shared" si="25"/>
        <v>744.70000000000914</v>
      </c>
    </row>
    <row r="442" spans="5:6" x14ac:dyDescent="0.25">
      <c r="E442" s="8">
        <v>450</v>
      </c>
      <c r="F442" s="24">
        <f t="shared" si="25"/>
        <v>746.05000000000916</v>
      </c>
    </row>
    <row r="443" spans="5:6" x14ac:dyDescent="0.25">
      <c r="E443" s="8">
        <v>451</v>
      </c>
      <c r="F443" s="24">
        <f t="shared" si="25"/>
        <v>747.40000000000919</v>
      </c>
    </row>
    <row r="444" spans="5:6" x14ac:dyDescent="0.25">
      <c r="E444" s="8">
        <v>452</v>
      </c>
      <c r="F444" s="24">
        <f t="shared" si="25"/>
        <v>748.75000000000921</v>
      </c>
    </row>
    <row r="445" spans="5:6" x14ac:dyDescent="0.25">
      <c r="E445" s="8">
        <v>453</v>
      </c>
      <c r="F445" s="24">
        <f t="shared" si="25"/>
        <v>750.10000000000923</v>
      </c>
    </row>
    <row r="446" spans="5:6" x14ac:dyDescent="0.25">
      <c r="E446" s="8">
        <v>454</v>
      </c>
      <c r="F446" s="24">
        <f t="shared" si="25"/>
        <v>751.45000000000925</v>
      </c>
    </row>
    <row r="447" spans="5:6" x14ac:dyDescent="0.25">
      <c r="E447" s="8">
        <v>455</v>
      </c>
      <c r="F447" s="24">
        <f t="shared" si="25"/>
        <v>752.80000000000928</v>
      </c>
    </row>
    <row r="448" spans="5:6" x14ac:dyDescent="0.25">
      <c r="E448" s="8">
        <v>456</v>
      </c>
      <c r="F448" s="24">
        <f t="shared" si="25"/>
        <v>754.1500000000093</v>
      </c>
    </row>
    <row r="449" spans="5:6" x14ac:dyDescent="0.25">
      <c r="E449" s="8">
        <v>457</v>
      </c>
      <c r="F449" s="24">
        <f t="shared" si="25"/>
        <v>755.50000000000932</v>
      </c>
    </row>
    <row r="450" spans="5:6" x14ac:dyDescent="0.25">
      <c r="E450" s="8">
        <v>458</v>
      </c>
      <c r="F450" s="24">
        <f t="shared" si="25"/>
        <v>756.85000000000935</v>
      </c>
    </row>
    <row r="451" spans="5:6" x14ac:dyDescent="0.25">
      <c r="E451" s="8">
        <v>459</v>
      </c>
      <c r="F451" s="24">
        <f t="shared" si="25"/>
        <v>758.20000000000937</v>
      </c>
    </row>
    <row r="452" spans="5:6" x14ac:dyDescent="0.25">
      <c r="E452" s="8">
        <v>460</v>
      </c>
      <c r="F452" s="24">
        <f t="shared" si="25"/>
        <v>759.55000000000939</v>
      </c>
    </row>
    <row r="453" spans="5:6" x14ac:dyDescent="0.25">
      <c r="E453" s="8">
        <v>461</v>
      </c>
      <c r="F453" s="24">
        <f t="shared" si="25"/>
        <v>760.90000000000941</v>
      </c>
    </row>
    <row r="454" spans="5:6" x14ac:dyDescent="0.25">
      <c r="E454" s="8">
        <v>462</v>
      </c>
      <c r="F454" s="24">
        <f t="shared" si="25"/>
        <v>762.25000000000944</v>
      </c>
    </row>
    <row r="455" spans="5:6" x14ac:dyDescent="0.25">
      <c r="E455" s="8">
        <v>463</v>
      </c>
      <c r="F455" s="24">
        <f t="shared" si="25"/>
        <v>763.60000000000946</v>
      </c>
    </row>
    <row r="456" spans="5:6" x14ac:dyDescent="0.25">
      <c r="E456" s="8">
        <v>464</v>
      </c>
      <c r="F456" s="24">
        <f t="shared" si="25"/>
        <v>764.95000000000948</v>
      </c>
    </row>
    <row r="457" spans="5:6" x14ac:dyDescent="0.25">
      <c r="E457" s="8">
        <v>465</v>
      </c>
      <c r="F457" s="24">
        <f t="shared" si="25"/>
        <v>766.3000000000095</v>
      </c>
    </row>
    <row r="458" spans="5:6" x14ac:dyDescent="0.25">
      <c r="E458" s="8">
        <v>466</v>
      </c>
      <c r="F458" s="24">
        <f t="shared" si="25"/>
        <v>767.65000000000953</v>
      </c>
    </row>
    <row r="459" spans="5:6" x14ac:dyDescent="0.25">
      <c r="E459" s="8">
        <v>467</v>
      </c>
      <c r="F459" s="24">
        <f t="shared" si="25"/>
        <v>769.00000000000955</v>
      </c>
    </row>
    <row r="460" spans="5:6" x14ac:dyDescent="0.25">
      <c r="E460" s="8">
        <v>468</v>
      </c>
      <c r="F460" s="24">
        <f t="shared" si="25"/>
        <v>770.35000000000957</v>
      </c>
    </row>
    <row r="461" spans="5:6" x14ac:dyDescent="0.25">
      <c r="E461" s="8">
        <v>469</v>
      </c>
      <c r="F461" s="24">
        <f t="shared" si="25"/>
        <v>771.7000000000096</v>
      </c>
    </row>
    <row r="462" spans="5:6" x14ac:dyDescent="0.25">
      <c r="E462" s="8">
        <v>470</v>
      </c>
      <c r="F462" s="24">
        <f t="shared" si="25"/>
        <v>773.05000000000962</v>
      </c>
    </row>
    <row r="463" spans="5:6" x14ac:dyDescent="0.25">
      <c r="E463" s="8">
        <v>471</v>
      </c>
      <c r="F463" s="24">
        <f t="shared" si="25"/>
        <v>774.40000000000964</v>
      </c>
    </row>
    <row r="464" spans="5:6" x14ac:dyDescent="0.25">
      <c r="E464" s="8">
        <v>472</v>
      </c>
      <c r="F464" s="24">
        <f t="shared" si="25"/>
        <v>775.75000000000966</v>
      </c>
    </row>
    <row r="465" spans="5:6" x14ac:dyDescent="0.25">
      <c r="E465" s="8">
        <v>473</v>
      </c>
      <c r="F465" s="24">
        <f t="shared" si="25"/>
        <v>777.10000000000969</v>
      </c>
    </row>
    <row r="466" spans="5:6" x14ac:dyDescent="0.25">
      <c r="E466" s="8">
        <v>474</v>
      </c>
      <c r="F466" s="24">
        <f t="shared" si="25"/>
        <v>778.45000000000971</v>
      </c>
    </row>
    <row r="467" spans="5:6" x14ac:dyDescent="0.25">
      <c r="E467" s="8">
        <v>475</v>
      </c>
      <c r="F467" s="24">
        <f t="shared" si="25"/>
        <v>779.80000000000973</v>
      </c>
    </row>
    <row r="468" spans="5:6" x14ac:dyDescent="0.25">
      <c r="E468" s="8">
        <v>476</v>
      </c>
      <c r="F468" s="24">
        <f t="shared" si="25"/>
        <v>781.15000000000975</v>
      </c>
    </row>
    <row r="469" spans="5:6" x14ac:dyDescent="0.25">
      <c r="E469" s="8">
        <v>477</v>
      </c>
      <c r="F469" s="24">
        <f t="shared" si="25"/>
        <v>782.50000000000978</v>
      </c>
    </row>
    <row r="470" spans="5:6" x14ac:dyDescent="0.25">
      <c r="E470" s="8">
        <v>478</v>
      </c>
      <c r="F470" s="24">
        <f t="shared" si="25"/>
        <v>783.8500000000098</v>
      </c>
    </row>
  </sheetData>
  <sheetProtection algorithmName="SHA-512" hashValue="YuAX1Suxh9qEnoctF+EYlV9I1NtC3q7orGwdKWzRySe3ihwqDYaOFABQ7AvG0C9eK0IVXM9Q9TGustEHUSkIiA==" saltValue="ftkd9DWUeeoZozclFJm2MA==" spinCount="100000" sheet="1" formatRows="0"/>
  <mergeCells count="1">
    <mergeCell ref="B25:C25"/>
  </mergeCells>
  <pageMargins left="0.70866141732283472" right="0.70866141732283472" top="0.70866141732283472" bottom="0.55118110236220474" header="0.31496062992125984" footer="0.31496062992125984"/>
  <pageSetup paperSize="9" scale="7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S110"/>
  <sheetViews>
    <sheetView showGridLines="0" showZeros="0" zoomScaleNormal="100" zoomScaleSheetLayoutView="115" workbookViewId="0">
      <selection activeCell="B7" sqref="B7"/>
    </sheetView>
  </sheetViews>
  <sheetFormatPr baseColWidth="10" defaultRowHeight="15" zeroHeight="1" x14ac:dyDescent="0.25"/>
  <cols>
    <col min="1" max="1" width="1.28515625" customWidth="1"/>
    <col min="4" max="5" width="10.140625" customWidth="1"/>
    <col min="6" max="6" width="7.85546875" customWidth="1"/>
    <col min="7" max="8" width="7.140625" customWidth="1"/>
    <col min="9" max="9" width="7.28515625" customWidth="1"/>
    <col min="10" max="10" width="10.28515625" customWidth="1"/>
    <col min="11" max="11" width="3.28515625" customWidth="1"/>
    <col min="12" max="12" width="12.5703125" customWidth="1"/>
    <col min="13" max="13" width="6.85546875" customWidth="1"/>
    <col min="14" max="16" width="4.42578125" customWidth="1"/>
  </cols>
  <sheetData>
    <row r="1" spans="1:19" ht="23.25" x14ac:dyDescent="0.35">
      <c r="B1" s="488" t="s">
        <v>621</v>
      </c>
      <c r="C1" s="27"/>
      <c r="D1" s="27"/>
      <c r="E1" s="27"/>
      <c r="F1" s="27"/>
      <c r="G1" s="27"/>
      <c r="H1" s="885" t="s">
        <v>711</v>
      </c>
      <c r="I1" s="885"/>
      <c r="J1" s="885"/>
      <c r="K1" s="380"/>
      <c r="S1" s="118" t="str">
        <f>CI!S1</f>
        <v>Konti24</v>
      </c>
    </row>
    <row r="2" spans="1:19" ht="21" x14ac:dyDescent="0.35">
      <c r="A2" s="28"/>
      <c r="B2" s="295" t="s">
        <v>336</v>
      </c>
      <c r="K2" s="380"/>
    </row>
    <row r="3" spans="1:19" ht="17.25" x14ac:dyDescent="0.3">
      <c r="B3" s="296" t="s">
        <v>452</v>
      </c>
      <c r="E3" s="294" t="str">
        <f>" .. ab dem Frühjahr 202"&amp;RIGHT(H1,1)-1</f>
        <v xml:space="preserve"> .. ab dem Frühjahr 2024</v>
      </c>
      <c r="H3" s="2"/>
      <c r="K3" s="380"/>
    </row>
    <row r="4" spans="1:19" ht="7.5" customHeight="1" x14ac:dyDescent="0.25">
      <c r="K4" s="380"/>
    </row>
    <row r="5" spans="1:19" x14ac:dyDescent="0.25">
      <c r="I5" s="57" t="str">
        <f>IF(L5&lt;&gt;C7,L5,"")</f>
        <v/>
      </c>
      <c r="K5" s="380"/>
      <c r="L5" s="56" t="str">
        <f>LOOKUP(B7,CI!C240:C296,CI!D240:D296)</f>
        <v>MS  . . .</v>
      </c>
    </row>
    <row r="6" spans="1:19" ht="18.75" x14ac:dyDescent="0.3">
      <c r="A6" s="5"/>
      <c r="B6" s="30" t="s">
        <v>0</v>
      </c>
      <c r="C6" s="108" t="s">
        <v>1</v>
      </c>
      <c r="D6" s="6"/>
      <c r="G6" s="55" t="s">
        <v>343</v>
      </c>
      <c r="H6" s="38" t="s">
        <v>3</v>
      </c>
      <c r="K6" s="380"/>
    </row>
    <row r="7" spans="1:19" ht="15.75" x14ac:dyDescent="0.25">
      <c r="B7" s="110"/>
      <c r="C7" s="109" t="str">
        <f>L5</f>
        <v>MS  . . .</v>
      </c>
      <c r="G7" s="40">
        <f>LOOKUP(B7,CI!C3:C223,CI!F3:F223)</f>
        <v>0</v>
      </c>
      <c r="H7" s="41">
        <f>LOOKUP(B7,CI!C3:C223,CI!G3:G223)</f>
        <v>0</v>
      </c>
      <c r="J7" s="385">
        <v>3</v>
      </c>
      <c r="K7" s="380"/>
    </row>
    <row r="8" spans="1:19" ht="18.75" x14ac:dyDescent="0.3">
      <c r="A8" s="5"/>
      <c r="C8" s="889">
        <f>IF(AND(L9="A",C16=0),"..für MS-Abschluss-Klasse ist die Zeile 18 einzublenden!",IF(AND(L9="R",C16=0),"..für die 'Walser Realschule' ist die Zeile 18 einzublenden!",IF(AND(L9="S",C16=0),"..für die 'Sozialpädag. Klein-KL' ist die Zeile 18 einzublenden!",)))</f>
        <v>0</v>
      </c>
      <c r="D8" s="889"/>
      <c r="E8" s="889"/>
      <c r="F8" s="889"/>
      <c r="G8" s="889"/>
      <c r="H8" s="889"/>
      <c r="I8" s="889"/>
      <c r="J8" s="889"/>
      <c r="K8" s="380"/>
      <c r="L8" s="126" t="s">
        <v>499</v>
      </c>
    </row>
    <row r="9" spans="1:19" x14ac:dyDescent="0.25">
      <c r="I9" s="888" t="s">
        <v>351</v>
      </c>
      <c r="J9" s="888"/>
      <c r="K9" s="380"/>
      <c r="L9" s="103">
        <f>IF(OR(B7=802202,B7=804032,B7=804042),"A",IF(B7=802122,"R",IF(B7="hier wären die SKZ für Sozialpädagogische Klassen einzutragen, gibt es im SJ2425 nicht mehr","S",)))</f>
        <v>0</v>
      </c>
    </row>
    <row r="10" spans="1:19" ht="15.75" customHeight="1" x14ac:dyDescent="0.25">
      <c r="B10" s="29" t="s">
        <v>267</v>
      </c>
      <c r="C10" s="1" t="s">
        <v>268</v>
      </c>
      <c r="G10" s="46" t="s">
        <v>338</v>
      </c>
      <c r="H10" s="47"/>
      <c r="I10" s="888"/>
      <c r="J10" s="888"/>
      <c r="K10" s="380"/>
    </row>
    <row r="11" spans="1:19" ht="18.75" customHeight="1" x14ac:dyDescent="0.3">
      <c r="A11" s="5"/>
      <c r="B11" s="6" t="s">
        <v>4</v>
      </c>
      <c r="C11" s="7" t="s">
        <v>8</v>
      </c>
      <c r="D11" s="7" t="s">
        <v>9</v>
      </c>
      <c r="E11" s="7" t="s">
        <v>10</v>
      </c>
      <c r="F11" s="7" t="s">
        <v>11</v>
      </c>
      <c r="G11" s="7" t="s">
        <v>12</v>
      </c>
      <c r="H11" s="7" t="s">
        <v>13</v>
      </c>
      <c r="I11" s="888"/>
      <c r="J11" s="888"/>
      <c r="K11" s="380"/>
    </row>
    <row r="12" spans="1:19" x14ac:dyDescent="0.25">
      <c r="B12" s="2" t="s">
        <v>5</v>
      </c>
      <c r="C12" s="42"/>
      <c r="D12" s="43"/>
      <c r="E12" s="43"/>
      <c r="F12" s="43"/>
      <c r="G12" s="43"/>
      <c r="H12" s="43"/>
      <c r="J12" s="94"/>
      <c r="K12" s="380"/>
      <c r="L12" s="58">
        <f>IF(SUM(G12:H12)&gt;50,50-SUM(G12:H12),IF(AND(SUM(G12:H12)&gt;25,SUM(G12:H12)&lt;40),25-SUM(G12:H12),))</f>
        <v>0</v>
      </c>
      <c r="M12" s="64">
        <f>IF(SUM(G12:H12)&gt;50,50,IF(SUM(G12:H12)&gt;=40,SUM(G12:H12),IF(SUM(G12:H12)&gt;29,29,SUM(G12:H12))))</f>
        <v>0</v>
      </c>
    </row>
    <row r="13" spans="1:19" x14ac:dyDescent="0.25">
      <c r="B13" s="2" t="s">
        <v>6</v>
      </c>
      <c r="C13" s="42"/>
      <c r="D13" s="43"/>
      <c r="E13" s="43"/>
      <c r="F13" s="43"/>
      <c r="G13" s="43"/>
      <c r="H13" s="43"/>
      <c r="J13" s="94"/>
      <c r="K13" s="380"/>
      <c r="L13" s="58">
        <f>IF(SUM(G13:H13)&gt;50,50-SUM(G13:H13),IF(AND(SUM(G13:H13)&gt;25,SUM(G13:H13)&lt;40),25-SUM(G13:H13),))</f>
        <v>0</v>
      </c>
      <c r="M13" s="64">
        <f>IF(SUM(G13:H13)&gt;50,50,IF(SUM(G13:H13)&gt;=40,SUM(G13:H13),IF(SUM(G13:H13)&gt;29,29,SUM(G13:H13))))</f>
        <v>0</v>
      </c>
    </row>
    <row r="14" spans="1:19" x14ac:dyDescent="0.25">
      <c r="B14" s="2" t="s">
        <v>341</v>
      </c>
      <c r="C14" s="42"/>
      <c r="D14" s="43"/>
      <c r="E14" s="43"/>
      <c r="F14" s="43"/>
      <c r="G14" s="43"/>
      <c r="H14" s="43"/>
      <c r="J14" s="94"/>
      <c r="K14" s="380"/>
      <c r="L14" s="58">
        <f>IF(SUM(G14:H14)&gt;50,50-SUM(G14:H14),IF(AND(SUM(G14:H14)&gt;25,SUM(G14:H14)&lt;40),25-SUM(G14:H14),))</f>
        <v>0</v>
      </c>
      <c r="M14" s="64">
        <f>IF(SUM(G14:H14)&gt;50,50,IF(SUM(G14:H14)&gt;=40,SUM(G14:H14),IF(SUM(G14:H14)&gt;29,29,SUM(G14:H14))))</f>
        <v>0</v>
      </c>
    </row>
    <row r="15" spans="1:19" x14ac:dyDescent="0.25">
      <c r="B15" s="2" t="s">
        <v>342</v>
      </c>
      <c r="C15" s="42"/>
      <c r="D15" s="43"/>
      <c r="E15" s="43"/>
      <c r="F15" s="43"/>
      <c r="G15" s="43"/>
      <c r="H15" s="43"/>
      <c r="J15" s="94"/>
      <c r="K15" s="380"/>
      <c r="L15" s="58">
        <f>IF(SUM(G15:H15)&gt;50,50-SUM(G15:H15),IF(AND(SUM(G15:H15)&gt;25,SUM(G15:H15)&lt;40),25-SUM(G15:H15),))</f>
        <v>0</v>
      </c>
      <c r="M15" s="64">
        <f>IF(SUM(G15:H15)&gt;50,50,IF(SUM(G15:H15)&gt;=40,SUM(G15:H15),IF(SUM(G15:H15)&gt;29,29,SUM(G15:H15))))</f>
        <v>0</v>
      </c>
    </row>
    <row r="16" spans="1:19" ht="15.75" x14ac:dyDescent="0.25">
      <c r="A16" s="4"/>
      <c r="B16" s="3" t="s">
        <v>7</v>
      </c>
      <c r="C16" s="3">
        <f>SUM(C12:C15)</f>
        <v>0</v>
      </c>
      <c r="D16" s="3">
        <f t="shared" ref="D16:F16" si="0">SUM(D12:D15)</f>
        <v>0</v>
      </c>
      <c r="E16" s="3">
        <f t="shared" si="0"/>
        <v>0</v>
      </c>
      <c r="F16" s="3">
        <f t="shared" si="0"/>
        <v>0</v>
      </c>
      <c r="G16" s="3">
        <f>SUM(G12:G15)</f>
        <v>0</v>
      </c>
      <c r="H16" s="3">
        <f>SUM(H12:H15)</f>
        <v>0</v>
      </c>
      <c r="J16" s="95">
        <f>SUM(J12:J15)</f>
        <v>0</v>
      </c>
      <c r="K16" s="380"/>
    </row>
    <row r="17" spans="1:16" x14ac:dyDescent="0.25">
      <c r="F17" s="87">
        <v>0.3</v>
      </c>
      <c r="K17" s="380"/>
    </row>
    <row r="18" spans="1:16" hidden="1" x14ac:dyDescent="0.25">
      <c r="C18" s="2" t="str">
        <f>IF(L9="R","Walser Realschule ",IF(L9="S","Sozialpädagog. Klein-KL ","MS-Abschluss-KL "))</f>
        <v xml:space="preserve">MS-Abschluss-KL </v>
      </c>
      <c r="D18" s="93"/>
      <c r="E18" t="str">
        <f>IF(L9="R","  .. bis zur 10. Schulstufe in "&amp;L37&amp;" Kooperations-KL",IF(L9="S","  .. im Spezial-Modell zur besonderen Förderung","  .. mit SPF"))</f>
        <v xml:space="preserve">  .. mit SPF</v>
      </c>
      <c r="G18" s="61"/>
      <c r="K18" s="380"/>
      <c r="L18" s="58">
        <v>0</v>
      </c>
      <c r="M18" s="64">
        <v>12</v>
      </c>
      <c r="N18" s="64">
        <v>14</v>
      </c>
      <c r="O18" s="64">
        <v>16</v>
      </c>
      <c r="P18" s="64">
        <v>18</v>
      </c>
    </row>
    <row r="19" spans="1:16" x14ac:dyDescent="0.25">
      <c r="K19" s="380"/>
      <c r="L19" s="90" t="s">
        <v>350</v>
      </c>
      <c r="M19" s="91">
        <v>32</v>
      </c>
      <c r="N19" s="91">
        <v>35</v>
      </c>
      <c r="O19" s="91">
        <v>38</v>
      </c>
      <c r="P19" s="91">
        <v>41</v>
      </c>
    </row>
    <row r="20" spans="1:16" ht="18.75" x14ac:dyDescent="0.3">
      <c r="A20" s="5"/>
      <c r="B20" s="31" t="s">
        <v>348</v>
      </c>
      <c r="K20" s="380"/>
    </row>
    <row r="21" spans="1:16" s="61" customFormat="1" ht="12.75" x14ac:dyDescent="0.2">
      <c r="C21" s="62">
        <f>IF(C12&gt;0,INT(((C12+(F12*F17)+L12)/25.01)+1),0)/IF(AND(OR(C12&lt;10,AND(C13&gt;0,C13&lt;10)),(C12+C13)&lt;23),2,1)</f>
        <v>0</v>
      </c>
      <c r="D21" s="77" t="s">
        <v>349</v>
      </c>
      <c r="E21" s="78">
        <v>25</v>
      </c>
      <c r="F21" s="63">
        <f>LOOKUP(F12,BasisM!H1:H21,BasisM!J1:J21)</f>
        <v>0</v>
      </c>
      <c r="G21" s="63">
        <f>IF(AND(G12&gt;15,L$24=1),8,)</f>
        <v>0</v>
      </c>
      <c r="H21" s="63">
        <f>IF(AND(H12&gt;15,L$24=2),M12*2/3,)</f>
        <v>0</v>
      </c>
      <c r="K21" s="381"/>
    </row>
    <row r="22" spans="1:16" s="61" customFormat="1" ht="12.75" x14ac:dyDescent="0.2">
      <c r="C22" s="62">
        <f>IF(C13&gt;0,INT(((C13+(F13*F17)+L13)/25.01)+1),0)/IF(AND(OR(C12&lt;10,C13&lt;10),(C12+C13)&lt;23),2,1)</f>
        <v>0</v>
      </c>
      <c r="F22" s="63">
        <f>LOOKUP(F13,BasisM!H1:H21,BasisM!J1:J21)</f>
        <v>0</v>
      </c>
      <c r="G22" s="63">
        <f>IF(AND(G13&gt;15,L$24=1),6,)</f>
        <v>0</v>
      </c>
      <c r="H22" s="63">
        <f>IF(AND(H13&gt;15,L$24=2),M13*2/3,)</f>
        <v>0</v>
      </c>
      <c r="K22" s="381"/>
    </row>
    <row r="23" spans="1:16" s="61" customFormat="1" ht="12.75" x14ac:dyDescent="0.2">
      <c r="C23" s="62">
        <f>IF(C14&gt;0,INT(((C14+(F14*F17)+L14)/25.01)+1),0)/IF(AND(OR(C14&lt;10,AND(C15&gt;0,C15&lt;10)),(C14+C15)&lt;23),2,1)</f>
        <v>0</v>
      </c>
      <c r="F23" s="63">
        <f>LOOKUP(F14,BasisM!H1:H21,BasisM!J1:J21)</f>
        <v>0</v>
      </c>
      <c r="G23" s="63">
        <f>IF(AND(G14&gt;15,L$24=1),8,)</f>
        <v>0</v>
      </c>
      <c r="H23" s="63">
        <f>IF(AND(H14&gt;15,L$24=2),M14*2/3,)</f>
        <v>0</v>
      </c>
      <c r="K23" s="381"/>
    </row>
    <row r="24" spans="1:16" s="61" customFormat="1" ht="12.75" x14ac:dyDescent="0.2">
      <c r="C24" s="62">
        <f>IF(C15&gt;0,INT(((C15+(F15*F17)+L15)/25.01)+1),0)/IF(AND(OR(C14&lt;10,C15&lt;10),(C14+C15)&lt;23),2,1)</f>
        <v>0</v>
      </c>
      <c r="F24" s="63">
        <f>LOOKUP(F15,BasisM!H1:H21,BasisM!J1:J21)</f>
        <v>0</v>
      </c>
      <c r="G24" s="63">
        <f>IF(AND(G15&gt;15,L$24=1),7,)</f>
        <v>0</v>
      </c>
      <c r="H24" s="63">
        <f>IF(AND(H15&gt;15,L$24=2),M15*2/3,)</f>
        <v>0</v>
      </c>
      <c r="K24" s="381"/>
      <c r="L24" s="88">
        <f>IF(OR(B7=801032,B7=801042,B7=801062,B7=803032),1,IF(OR(B7=804062,B7=804052,B7=802032,B7=802162),1,IF(OR(B7=802012,B7=802142,B7=801052,B7=803022,B7=804042),2,)))</f>
        <v>0</v>
      </c>
      <c r="M24" s="115" t="s">
        <v>346</v>
      </c>
    </row>
    <row r="25" spans="1:16" ht="4.5" customHeight="1" x14ac:dyDescent="0.25">
      <c r="K25" s="380"/>
    </row>
    <row r="26" spans="1:16" ht="15" customHeight="1" x14ac:dyDescent="0.25">
      <c r="B26" s="100" t="s">
        <v>345</v>
      </c>
      <c r="C26" s="59">
        <f>SUM(C21:C24,L37)</f>
        <v>0</v>
      </c>
      <c r="D26" s="2" t="s">
        <v>347</v>
      </c>
      <c r="E26" s="99">
        <f>IF(K55=0,,".. und ")</f>
        <v>0</v>
      </c>
      <c r="F26" s="80">
        <f>K55</f>
        <v>0</v>
      </c>
      <c r="G26" s="101">
        <f>IF(K55=0,,IF(K55&lt;0," WENIGER in Absprache mit Präs/3"," ZUSÄTZLICH laut Genehmigung von"))</f>
        <v>0</v>
      </c>
      <c r="H26" s="98"/>
      <c r="I26" s="98"/>
      <c r="J26" s="98"/>
      <c r="K26" s="380"/>
    </row>
    <row r="27" spans="1:16" x14ac:dyDescent="0.25">
      <c r="C27" s="26" t="str">
        <f>IF(D27&lt;&gt;L27,"..und schulautonom: ","..und tatsächlich: ")</f>
        <v xml:space="preserve">..und tatsächlich: </v>
      </c>
      <c r="D27" s="53">
        <f>L27</f>
        <v>0</v>
      </c>
      <c r="E27" s="60" t="s">
        <v>355</v>
      </c>
      <c r="G27" s="98"/>
      <c r="H27" s="98"/>
      <c r="I27" s="98"/>
      <c r="J27" s="79">
        <f>IF(K55&gt;0," Präs/3",)</f>
        <v>0</v>
      </c>
      <c r="K27" s="380"/>
      <c r="L27" s="92">
        <f>IF(C26&gt;0,C26+K55,)</f>
        <v>0</v>
      </c>
    </row>
    <row r="28" spans="1:16" ht="18.75" x14ac:dyDescent="0.3">
      <c r="A28" s="5"/>
      <c r="E28" s="123">
        <f>IF(C16&gt;0,SUM(C16,D18)/D27,)</f>
        <v>0</v>
      </c>
      <c r="F28" s="124">
        <f>IF(C16&gt;0,"SuS im Durchschnitt",)</f>
        <v>0</v>
      </c>
      <c r="K28" s="380"/>
    </row>
    <row r="29" spans="1:16" ht="18.75" x14ac:dyDescent="0.3">
      <c r="A29" s="232"/>
      <c r="B29" s="233" t="s">
        <v>266</v>
      </c>
      <c r="C29" s="234"/>
      <c r="D29" s="235" t="s">
        <v>411</v>
      </c>
      <c r="E29" s="234"/>
      <c r="F29" s="234"/>
      <c r="G29" s="234"/>
      <c r="H29" s="234"/>
      <c r="I29" s="234"/>
      <c r="J29" s="234"/>
      <c r="K29" s="380"/>
    </row>
    <row r="30" spans="1:16" ht="18.75" x14ac:dyDescent="0.3">
      <c r="A30" s="5"/>
      <c r="B30" s="6"/>
      <c r="C30" s="32" t="s">
        <v>270</v>
      </c>
      <c r="D30" s="7" t="s">
        <v>9</v>
      </c>
      <c r="E30" s="7" t="s">
        <v>10</v>
      </c>
      <c r="G30" s="7" t="s">
        <v>12</v>
      </c>
      <c r="H30" s="7" t="s">
        <v>13</v>
      </c>
      <c r="K30" s="380"/>
      <c r="L30" s="831" t="s">
        <v>497</v>
      </c>
    </row>
    <row r="31" spans="1:16" x14ac:dyDescent="0.25">
      <c r="B31" s="67"/>
      <c r="C31" s="82">
        <f>LOOKUP(C16,BasisM!E1:E470,BasisM!F1:F470)+ROUND(C16*BasisM!B25,2)</f>
        <v>0</v>
      </c>
      <c r="D31" s="33">
        <f>IF(D16&gt;25,40,IF(D16&gt;7,20,IF(D16&gt;0,6,)))</f>
        <v>0</v>
      </c>
      <c r="E31" s="33">
        <f>IF(AND(E16&gt;0,E16&lt;8),"(0,0)",ROUNDDOWN(E16/8,0)*6)</f>
        <v>0</v>
      </c>
      <c r="G31" s="33">
        <f>SUM(G21:G24)</f>
        <v>0</v>
      </c>
      <c r="H31" s="33">
        <f>ROUNDUP(SUM(H21:H24),1)</f>
        <v>0</v>
      </c>
      <c r="I31" s="3"/>
      <c r="J31" s="473">
        <f>IF(L61&gt;0,-L61,)</f>
        <v>0</v>
      </c>
      <c r="K31" s="380"/>
      <c r="L31" s="119" t="s">
        <v>498</v>
      </c>
    </row>
    <row r="32" spans="1:16" ht="15" customHeight="1" x14ac:dyDescent="0.25">
      <c r="B32" s="886" t="str">
        <f>IF(C31&gt;0,"von 2,8 beginnend 
degressiv bis "&amp;L33,"")</f>
        <v/>
      </c>
      <c r="C32" s="887"/>
      <c r="D32" s="86" t="str">
        <f>IF(D31&gt;19,"DFöKL !",IF(D31=6,"DFöKurs"," "))</f>
        <v xml:space="preserve"> </v>
      </c>
      <c r="E32" s="68" t="str">
        <f>IF(AND(E31&gt;0,E31&lt;99),"für DFörderung","")</f>
        <v/>
      </c>
      <c r="G32" s="48" t="s">
        <v>338</v>
      </c>
      <c r="H32" s="49"/>
      <c r="I32" s="893">
        <f>IF(L61&lt;&gt;0,"als Abzug wg 
IT-Einrechnung",)</f>
        <v>0</v>
      </c>
      <c r="J32" s="893"/>
      <c r="K32" s="380"/>
      <c r="L32" s="116" t="s">
        <v>521</v>
      </c>
    </row>
    <row r="33" spans="1:13" x14ac:dyDescent="0.25">
      <c r="B33" s="886"/>
      <c r="C33" s="886"/>
      <c r="I33" s="893"/>
      <c r="J33" s="893"/>
      <c r="K33" s="380"/>
      <c r="L33" s="76">
        <f>IF(C16&gt;159,1.35,LOOKUP(C16,BasisM!A1:A20,BasisM!C1:C20))</f>
        <v>2.8</v>
      </c>
    </row>
    <row r="34" spans="1:13" x14ac:dyDescent="0.25">
      <c r="D34" s="32" t="s">
        <v>344</v>
      </c>
      <c r="E34" s="83">
        <f>ROUND(SUM(C31:J31),2)</f>
        <v>0</v>
      </c>
      <c r="F34" s="97" t="s">
        <v>356</v>
      </c>
      <c r="K34" s="380"/>
    </row>
    <row r="35" spans="1:13" x14ac:dyDescent="0.25">
      <c r="D35" s="50" t="s">
        <v>340</v>
      </c>
      <c r="E35" s="84">
        <f>(D27-L37)*6</f>
        <v>0</v>
      </c>
      <c r="F35" s="97"/>
      <c r="I35" s="122">
        <f>IF(AND(L37&gt;0,L9="R"),"(ohne die Realschul-KL)",IF(AND(L37&gt;0,L9="S"),"(ohne die Klein-KL)",IF(L37&gt;0,"(ohne MS-Abschluss-KL)",)))</f>
        <v>0</v>
      </c>
      <c r="K35" s="380"/>
      <c r="L35" s="116" t="s">
        <v>496</v>
      </c>
    </row>
    <row r="36" spans="1:13" x14ac:dyDescent="0.25">
      <c r="A36" s="116"/>
      <c r="B36" s="116"/>
      <c r="C36" s="116"/>
      <c r="D36" s="484" t="s">
        <v>665</v>
      </c>
      <c r="E36" s="114">
        <f>ROUND(C16/(SUM(LEFT(BasisM!B31,4),MIN(ROUND((C16-BasisM!C31)*BasisM!$B32/BasisM!C32,5),BasisM!B32))),2)</f>
        <v>0</v>
      </c>
      <c r="F36" s="97" t="str">
        <f>"Wochenstunden für 20"&amp;RIGHT(Konti_MS!H1,5)</f>
        <v>Wochenstunden für 2024/25</v>
      </c>
      <c r="K36" s="380"/>
      <c r="L36" s="116" t="s">
        <v>598</v>
      </c>
    </row>
    <row r="37" spans="1:13" x14ac:dyDescent="0.25">
      <c r="D37" s="32">
        <f>IF(AND(D18&gt;0,L9="A"),"MS-Abschluss für SuS mit SPF",IF(AND(L37&gt;0,L9="R"),"Kooperation Walser Realschule",IF(AND(D18&gt;0,L9="S"),"Sozialpädagog. Klein-Klasse",IF(B7=804082,"da reine Mädchen-Schule",))))</f>
        <v>0</v>
      </c>
      <c r="E37" s="114">
        <f>IF(AND(D18&gt;0,L9="A"),LOOKUP(D18,L18:P18,L19:P19),IF(AND(D18&gt;=12,L9="R"),97/2*L37,IF(AND(D18&gt;=6,L9="S"),36,IF(AND(D18&gt;=4,L9="S"),30,IF(B7=804082,SUM(C21:C24,K55)*-2.5,)))))-GTS!A30</f>
        <v>0</v>
      </c>
      <c r="F37" s="97" t="str">
        <f>IF(E37&gt;0,"Wochenstunden für den Klassen-Unterricht",IF(B7=804082,"= ohne Bewegung u. Sport für Knaben",))&amp;IF(GTS!A30&gt;0," Abzug für GTS Überschreitung",)</f>
        <v/>
      </c>
      <c r="K37" s="380"/>
      <c r="L37" s="89">
        <f>IF(AND(D18&gt;=4,L9="S"),1,IF(D18&lt;12,0,IF(D18&gt;=23,2,1)))</f>
        <v>0</v>
      </c>
      <c r="M37" s="104" t="s">
        <v>363</v>
      </c>
    </row>
    <row r="38" spans="1:13" x14ac:dyDescent="0.25">
      <c r="D38" s="39" t="s">
        <v>332</v>
      </c>
      <c r="E38" s="85">
        <f>IF(C16=0,,IF(G7&lt;CI!P1,"(0,0)",ROUND((G7-CI!P1)*C16*CI!P2,2)))</f>
        <v>0</v>
      </c>
      <c r="F38" s="38" t="s">
        <v>333</v>
      </c>
      <c r="K38" s="380"/>
      <c r="L38" s="125" t="str">
        <f>" ab CI von "&amp;TEXT(CI!P1,"0,0")</f>
        <v xml:space="preserve"> ab CI von 108,0</v>
      </c>
    </row>
    <row r="39" spans="1:13" x14ac:dyDescent="0.25">
      <c r="D39" s="51" t="s">
        <v>334</v>
      </c>
      <c r="E39" s="69">
        <f>ROUNDUP(SUM(E34:E38),1)</f>
        <v>0</v>
      </c>
      <c r="K39" s="380"/>
    </row>
    <row r="40" spans="1:13" x14ac:dyDescent="0.25">
      <c r="D40" s="32" t="s">
        <v>362</v>
      </c>
      <c r="E40" s="70">
        <f>CEILING(SUM(F21:F24),0.5)</f>
        <v>0</v>
      </c>
      <c r="F40" s="74" t="str">
        <f>IF(E40&gt;0," ohne Stunden der schulischen Assistenz","")</f>
        <v/>
      </c>
      <c r="K40" s="380"/>
    </row>
    <row r="41" spans="1:13" hidden="1" x14ac:dyDescent="0.25">
      <c r="D41" s="32"/>
      <c r="E41" s="71"/>
      <c r="F41" s="74" t="s">
        <v>629</v>
      </c>
      <c r="K41" s="380"/>
    </row>
    <row r="42" spans="1:13" ht="5.25" customHeight="1" thickBot="1" x14ac:dyDescent="0.3">
      <c r="K42" s="380"/>
    </row>
    <row r="43" spans="1:13" ht="17.25" thickTop="1" thickBot="1" x14ac:dyDescent="0.3">
      <c r="D43" s="45" t="s">
        <v>337</v>
      </c>
      <c r="E43" s="72">
        <f>SUM(E39:E42)</f>
        <v>0</v>
      </c>
      <c r="F43" s="44" t="s">
        <v>357</v>
      </c>
      <c r="K43" s="380"/>
    </row>
    <row r="44" spans="1:13" s="105" customFormat="1" ht="9.75" customHeight="1" thickTop="1" x14ac:dyDescent="0.25">
      <c r="G44" s="121"/>
      <c r="H44" s="121"/>
      <c r="I44" s="121"/>
      <c r="J44" s="121"/>
      <c r="K44" s="382"/>
    </row>
    <row r="45" spans="1:13" ht="15" hidden="1" customHeight="1" x14ac:dyDescent="0.25">
      <c r="E45" s="32" t="s">
        <v>366</v>
      </c>
      <c r="F45" s="259"/>
      <c r="G45" s="120"/>
      <c r="H45" s="120"/>
      <c r="I45" s="120"/>
      <c r="J45" s="120"/>
      <c r="K45" s="380"/>
    </row>
    <row r="46" spans="1:13" x14ac:dyDescent="0.25">
      <c r="E46" s="111">
        <f>IF(F46&lt;&gt;0,"Weiters wegen geänderter Klassenzahl:",)</f>
        <v>0</v>
      </c>
      <c r="F46" s="260">
        <f>L47</f>
        <v>0</v>
      </c>
      <c r="G46" s="883">
        <f>IF(L47&lt;0,"..als Reduktion wegen eingerichteter Mehrklassen",IF(L47&gt;0,"..wegen Unterschreitung der möglichen Klassenzahl",))</f>
        <v>0</v>
      </c>
      <c r="H46" s="883"/>
      <c r="I46" s="883"/>
      <c r="J46" s="883"/>
      <c r="K46" s="380"/>
      <c r="L46" s="116" t="s">
        <v>495</v>
      </c>
    </row>
    <row r="47" spans="1:13" x14ac:dyDescent="0.25">
      <c r="F47" s="65">
        <f>IF(OR(F45&lt;&gt;0,F46&lt;&gt;0),SUM(E43,F45,F46),)</f>
        <v>0</v>
      </c>
      <c r="G47" s="883"/>
      <c r="H47" s="883"/>
      <c r="I47" s="883"/>
      <c r="J47" s="883"/>
      <c r="K47" s="380"/>
      <c r="L47" s="64">
        <f>IF(AND(L27&lt;8,D27&gt;7),(L27*1.5)-18,IF(AND(D27&lt;&gt;L27,MIN(D27,L27)&lt;M47),(MIN(D27,M47)-MIN(L27,M47))*-1.5,))</f>
        <v>0</v>
      </c>
      <c r="M47" s="75">
        <v>12</v>
      </c>
    </row>
    <row r="48" spans="1:13" ht="18.75" x14ac:dyDescent="0.3">
      <c r="A48" s="236"/>
      <c r="B48" s="237" t="s">
        <v>412</v>
      </c>
      <c r="C48" s="238" t="s">
        <v>374</v>
      </c>
      <c r="D48" s="239"/>
      <c r="E48" s="239"/>
      <c r="F48" s="240"/>
      <c r="G48" s="241" t="s">
        <v>413</v>
      </c>
      <c r="H48" s="240"/>
      <c r="I48" s="242"/>
      <c r="J48" s="283">
        <f>SUM(E50:E51)</f>
        <v>0</v>
      </c>
      <c r="K48" s="380"/>
    </row>
    <row r="49" spans="1:13" ht="6" customHeight="1" x14ac:dyDescent="0.25">
      <c r="A49" s="116"/>
      <c r="B49" s="116"/>
      <c r="K49" s="380"/>
    </row>
    <row r="50" spans="1:13" x14ac:dyDescent="0.25">
      <c r="D50" s="54" t="s">
        <v>358</v>
      </c>
      <c r="E50" s="96">
        <f>IF(J16&gt;0,J16*5,)</f>
        <v>0</v>
      </c>
      <c r="F50" s="107">
        <f>IF(E50=0,,"..berechnet aus KL *5,0 für GLZ u. 1/2-ILZ")</f>
        <v>0</v>
      </c>
      <c r="G50" s="105"/>
      <c r="H50" s="105"/>
      <c r="K50" s="380"/>
    </row>
    <row r="51" spans="1:13" x14ac:dyDescent="0.25">
      <c r="D51" s="54" t="s">
        <v>352</v>
      </c>
      <c r="E51" s="96">
        <f>IF(GTS!A30&gt;0,GTS!A29,GTS!A28)</f>
        <v>0</v>
      </c>
      <c r="F51" s="105"/>
      <c r="G51" s="105"/>
      <c r="H51" s="106" t="s">
        <v>354</v>
      </c>
      <c r="I51" s="282">
        <f>GTS!C6</f>
        <v>0</v>
      </c>
      <c r="J51" s="102" t="s">
        <v>353</v>
      </c>
      <c r="K51" s="380"/>
      <c r="L51" s="117">
        <f>IF(E51=0,,"..die ILZ-Stunden sind *0,5 einbezogen")</f>
        <v>0</v>
      </c>
    </row>
    <row r="52" spans="1:13" ht="18.75" x14ac:dyDescent="0.3">
      <c r="A52" s="5"/>
      <c r="B52" s="52" t="s">
        <v>339</v>
      </c>
      <c r="E52" s="884">
        <f>IF(SUM(E50:E51)=0,,SUM(E50:E51,E43:F46))</f>
        <v>0</v>
      </c>
      <c r="F52" s="884"/>
      <c r="K52" s="380"/>
    </row>
    <row r="53" spans="1:13" ht="15" customHeight="1" x14ac:dyDescent="0.25">
      <c r="B53" s="882"/>
      <c r="C53" s="882"/>
      <c r="D53" s="882"/>
      <c r="E53" s="882"/>
      <c r="F53" s="882"/>
      <c r="G53" s="882"/>
      <c r="H53" s="882"/>
      <c r="I53" s="882"/>
      <c r="J53" s="882"/>
      <c r="K53" s="380"/>
    </row>
    <row r="54" spans="1:13" ht="15" customHeight="1" x14ac:dyDescent="0.25">
      <c r="B54" s="882"/>
      <c r="C54" s="882"/>
      <c r="D54" s="882"/>
      <c r="E54" s="882"/>
      <c r="F54" s="882"/>
      <c r="G54" s="882"/>
      <c r="H54" s="882"/>
      <c r="I54" s="882"/>
      <c r="J54" s="882"/>
      <c r="K54" s="380"/>
    </row>
    <row r="55" spans="1:13" ht="15" customHeight="1" x14ac:dyDescent="0.25">
      <c r="B55" s="882"/>
      <c r="C55" s="882"/>
      <c r="D55" s="882"/>
      <c r="E55" s="882"/>
      <c r="F55" s="882"/>
      <c r="G55" s="882"/>
      <c r="H55" s="882"/>
      <c r="I55" s="882"/>
      <c r="J55" s="882"/>
      <c r="K55" s="383"/>
      <c r="L55" s="81">
        <f>IF(K55&lt;&gt;0," KL genehmigt durch BilDi",)</f>
        <v>0</v>
      </c>
    </row>
    <row r="56" spans="1:13" ht="10.5" customHeight="1" x14ac:dyDescent="0.25">
      <c r="K56" s="380"/>
    </row>
    <row r="57" spans="1:13" ht="18.75" x14ac:dyDescent="0.3">
      <c r="A57" s="232"/>
      <c r="B57" s="238" t="s">
        <v>414</v>
      </c>
      <c r="C57" s="234"/>
      <c r="D57" s="239" t="s">
        <v>415</v>
      </c>
      <c r="E57" s="234"/>
      <c r="F57" s="234"/>
      <c r="G57" s="234"/>
      <c r="H57" s="234"/>
      <c r="I57" s="234"/>
      <c r="J57" s="234"/>
      <c r="K57" s="380"/>
    </row>
    <row r="58" spans="1:13" ht="6" customHeight="1" x14ac:dyDescent="0.25">
      <c r="A58" s="116"/>
      <c r="B58" s="116"/>
      <c r="K58" s="380"/>
    </row>
    <row r="59" spans="1:13" ht="15.75" x14ac:dyDescent="0.25">
      <c r="A59" s="243"/>
      <c r="B59" s="116"/>
      <c r="D59" s="244" t="s">
        <v>416</v>
      </c>
      <c r="E59" s="245"/>
      <c r="F59" s="246" t="s">
        <v>417</v>
      </c>
      <c r="G59" s="247"/>
      <c r="H59" s="248"/>
      <c r="I59" s="248"/>
      <c r="J59" s="248"/>
      <c r="K59" s="353"/>
      <c r="L59" s="249">
        <f>LOOKUP(E59,BasisM!L13:L42,BasisM!M13:M42)</f>
        <v>0</v>
      </c>
      <c r="M59" s="248"/>
    </row>
    <row r="60" spans="1:13" ht="15.75" x14ac:dyDescent="0.25">
      <c r="A60" s="243"/>
      <c r="B60" s="116"/>
      <c r="D60" s="250"/>
      <c r="E60" s="251" t="str">
        <f>IF(E59&gt;0,"Das mögliche Ausmaß beträgt: "," ")</f>
        <v xml:space="preserve"> </v>
      </c>
      <c r="F60" s="252" t="str">
        <f>IF(E59&gt;5," maximal  "&amp;TEXT(L59,"0,0")&amp;"  für die umfassende Betreuung",IF(E59&gt;0,"nichts möglich"," "))</f>
        <v xml:space="preserve"> </v>
      </c>
      <c r="G60" s="253"/>
      <c r="H60" s="250"/>
      <c r="I60" s="250"/>
      <c r="K60" s="380"/>
      <c r="L60" s="247">
        <f>IF(L59&gt;=2.5,0.1,)+L59</f>
        <v>0</v>
      </c>
    </row>
    <row r="61" spans="1:13" ht="15.75" x14ac:dyDescent="0.25">
      <c r="A61" s="243"/>
      <c r="B61" s="116"/>
      <c r="D61" s="254"/>
      <c r="E61" s="255"/>
      <c r="F61" s="248"/>
      <c r="G61" s="256" t="str">
        <f>IF(L59&gt;0,"Die tatsächl. Betreuung berechtigt als LV-Einrechnung: ","")</f>
        <v/>
      </c>
      <c r="H61" s="285" t="str">
        <f>IF(L59&gt;0,L59," ")</f>
        <v xml:space="preserve"> </v>
      </c>
      <c r="I61" s="247" t="str">
        <f>IF(H61&lt;&gt;" ","  wöchentlich","")</f>
        <v/>
      </c>
      <c r="K61" s="380"/>
      <c r="L61" s="116">
        <f>IF(AND(H61&lt;&gt;" ",H61&gt;L59),H61-L59,)</f>
        <v>0</v>
      </c>
      <c r="M61" s="61">
        <f>IF(L60&gt;L59," um max. 0,1 darf erhöht werden ..zulasten des Unterr.-Kontingentes",)</f>
        <v>0</v>
      </c>
    </row>
    <row r="62" spans="1:13" ht="6" customHeight="1" x14ac:dyDescent="0.25">
      <c r="A62" s="116"/>
      <c r="B62" s="116"/>
      <c r="K62" s="380"/>
    </row>
    <row r="63" spans="1:13" ht="15.75" x14ac:dyDescent="0.25">
      <c r="G63" s="267" t="str">
        <f>"IT - Mobile Device Management"&amp;IF(H63&gt;0,", für Pädagog. fachliche Betreuung: "," ..     ")</f>
        <v xml:space="preserve">IT - Mobile Device Management ..     </v>
      </c>
      <c r="H63" s="291">
        <f>IF(OR(LEFT(L63,1)&lt;&gt;"j",C16=0),,IF(IF(L63="j22",SUM(C12:C13),IF(L63="j21",SUM(C12:C15),SUM(C12:C12)))&gt;100,2,1))</f>
        <v>0</v>
      </c>
      <c r="I63" s="247" t="str">
        <f>IF(H63&gt;0,"  wö. bei "&amp;C12&amp;IF(L63="j22","+"&amp;C13,IF(L63="j21","+"&amp;C13&amp;"+"&amp;C14&amp;"+"&amp;C15,))&amp;" SuS","")</f>
        <v/>
      </c>
      <c r="K63" s="380"/>
      <c r="L63" s="374" t="str">
        <f>LOOKUP(B7,CI!C240:C296,CI!E240:E296)</f>
        <v>j21</v>
      </c>
      <c r="M63" s="374">
        <f>LOOKUP(B7,CI!C240:C296,CI!I240:I296)</f>
        <v>0</v>
      </c>
    </row>
    <row r="64" spans="1:13" ht="15.75" x14ac:dyDescent="0.25">
      <c r="G64" s="263" t="str">
        <f>IF(H64&gt;0,"IT - MDM,  für Technische Betreuung /Support: ","")</f>
        <v/>
      </c>
      <c r="H64" s="291">
        <f>IF(AND(H63&gt;0,M63&lt;&gt;"pri"),IF(L63="j21",LOOKUP(D27,BasisM!P14:P18,BasisM!Q14:Q18),1),)</f>
        <v>0</v>
      </c>
      <c r="I64" s="247" t="str">
        <f>IF(H64&gt;0,"  wöchentlich bei "&amp;D27&amp;" KL","")</f>
        <v/>
      </c>
      <c r="K64" s="380"/>
      <c r="L64" s="297">
        <f>IF(H64&gt;0," &lt;&lt; Achtung:  an PD-Lehrpersonen NICHT zuweisbar!",)</f>
        <v>0</v>
      </c>
    </row>
    <row r="65" spans="1:15" ht="11.25" customHeight="1" x14ac:dyDescent="0.25">
      <c r="A65" s="116"/>
      <c r="B65" s="242"/>
      <c r="K65" s="380"/>
    </row>
    <row r="66" spans="1:15" ht="15.75" x14ac:dyDescent="0.25">
      <c r="G66" s="267">
        <f>IF(H66&lt;&gt;" ","LV-Einrechnung für den Bereich Berufsorientierung: ",)</f>
        <v>0</v>
      </c>
      <c r="H66" s="291" t="str">
        <f>IF(L66&gt;3,0.6,IF(L66=3,0.5,IF(L66&gt;0,0.4," ")))</f>
        <v xml:space="preserve"> </v>
      </c>
      <c r="I66" s="247" t="str">
        <f>IF(H66&lt;&gt;" ","  wöchentlich","")</f>
        <v/>
      </c>
      <c r="K66" s="380"/>
      <c r="L66" s="286">
        <f>C24</f>
        <v>0</v>
      </c>
      <c r="M66" s="287" t="s">
        <v>449</v>
      </c>
      <c r="O66" s="297" t="str">
        <f>IF(H66&gt;0," &lt;&lt; Achtung:  an PD-Lehrpersonen NICHT zuweisbar!",)</f>
        <v xml:space="preserve"> &lt;&lt; Achtung:  an PD-Lehrpersonen NICHT zuweisbar!</v>
      </c>
    </row>
    <row r="67" spans="1:15" ht="6" customHeight="1" x14ac:dyDescent="0.25">
      <c r="K67" s="380"/>
    </row>
    <row r="68" spans="1:15" ht="15.75" x14ac:dyDescent="0.25">
      <c r="A68" s="243"/>
      <c r="B68" s="262"/>
      <c r="C68" s="263" t="str">
        <f>IF(D68&gt;0,"Die 'Schulbibliothek' ","Für Biblio. eingeben:  'X' ")</f>
        <v xml:space="preserve">Für Biblio. eingeben:  'X' </v>
      </c>
      <c r="D68" s="264"/>
      <c r="F68" s="255"/>
      <c r="G68" s="263" t="str">
        <f>IF(D68&gt;0,".. wird betreut mit: ",".. bei tatsächlicher Führung")</f>
        <v>.. bei tatsächlicher Führung</v>
      </c>
      <c r="H68" s="284">
        <f>IF(D68&gt;0,IF(OR(B7=804052,B7=804142),2.9,IF(C26&gt;=12,4.9,3.9)),)</f>
        <v>0</v>
      </c>
      <c r="I68" s="247" t="str">
        <f>IF(H68&gt;0,"  wöchentlich (bei "&amp;C26&amp;" KL)","")</f>
        <v/>
      </c>
      <c r="K68" s="380"/>
    </row>
    <row r="69" spans="1:15" ht="6" customHeight="1" x14ac:dyDescent="0.25">
      <c r="K69" s="380"/>
    </row>
    <row r="70" spans="1:15" ht="15.75" x14ac:dyDescent="0.25">
      <c r="A70" s="243"/>
      <c r="B70" s="262"/>
      <c r="C70" s="263" t="s">
        <v>450</v>
      </c>
      <c r="D70" s="289" t="s">
        <v>451</v>
      </c>
      <c r="F70" s="255"/>
      <c r="G70" s="255"/>
      <c r="H70" s="292"/>
      <c r="I70" s="247" t="str">
        <f>IF(H70&gt;0,"  wöchentlich","")</f>
        <v/>
      </c>
      <c r="K70" s="380"/>
      <c r="L70" s="116" t="s">
        <v>622</v>
      </c>
    </row>
    <row r="71" spans="1:15" x14ac:dyDescent="0.25">
      <c r="A71" s="116"/>
      <c r="B71" s="242"/>
      <c r="I71" s="293">
        <f>IF(L71=0,,TEXT(L71,"0,0")&amp;" in Summe")</f>
        <v>0</v>
      </c>
      <c r="K71" s="380"/>
      <c r="L71" s="290">
        <f>SUM(H61:H70)</f>
        <v>0</v>
      </c>
      <c r="M71" s="265" t="str">
        <f>LOOKUP(B7,CI!C240:C296,CI!F240:F296)</f>
        <v>Altr.</v>
      </c>
      <c r="N71" s="265" t="str">
        <f>LEFT(O71,2)</f>
        <v>0</v>
      </c>
      <c r="O71" s="278">
        <f>LOOKUP(B7,CI!C240:C296,CI!H240:H296)</f>
        <v>0</v>
      </c>
    </row>
    <row r="72" spans="1:15" ht="6" customHeight="1" x14ac:dyDescent="0.25">
      <c r="K72" s="380"/>
    </row>
    <row r="73" spans="1:15" ht="15.75" x14ac:dyDescent="0.25">
      <c r="A73" s="116"/>
      <c r="B73" s="266" t="s">
        <v>420</v>
      </c>
      <c r="E73" s="267" t="s">
        <v>421</v>
      </c>
      <c r="F73" s="890" t="str">
        <f>IF(B7=801122,M75,IF(M71="PD",M74,M73))</f>
        <v xml:space="preserve">  ist im Altrecht angestellt (meist L2a2)</v>
      </c>
      <c r="G73" s="891"/>
      <c r="H73" s="891"/>
      <c r="I73" s="891"/>
      <c r="J73" s="892"/>
      <c r="K73" s="380"/>
      <c r="L73" s="384" t="str">
        <f>LOOKUP(F73,M73:M76,N73:N76)</f>
        <v>a</v>
      </c>
      <c r="M73" s="268" t="s">
        <v>444</v>
      </c>
      <c r="N73" s="268" t="s">
        <v>422</v>
      </c>
      <c r="O73" s="279">
        <f>LOOKUP(B7,CI!C240:C296,CI!G240:G296)</f>
        <v>0</v>
      </c>
    </row>
    <row r="74" spans="1:15" x14ac:dyDescent="0.25">
      <c r="A74" s="116"/>
      <c r="B74" s="116"/>
      <c r="D74" s="274">
        <f>IF(OR(N71="gL",E74&gt;0),"..und führt weitere ",)</f>
        <v>0</v>
      </c>
      <c r="E74" s="275">
        <f>O73</f>
        <v>0</v>
      </c>
      <c r="F74" s="116">
        <f>IF(N71="gL"," angeschlossene Klassen anderer Schulart",IF(E74&gt;0," Klassen an anderem Standort in Mitbetrauung",))</f>
        <v>0</v>
      </c>
      <c r="K74" s="380"/>
      <c r="L74" s="276">
        <f>D27+E74</f>
        <v>0</v>
      </c>
      <c r="M74" s="268" t="s">
        <v>445</v>
      </c>
      <c r="N74" s="268" t="s">
        <v>423</v>
      </c>
    </row>
    <row r="75" spans="1:15" x14ac:dyDescent="0.25">
      <c r="A75" s="116"/>
      <c r="B75" s="116"/>
      <c r="K75" s="380"/>
      <c r="M75" s="268" t="s">
        <v>446</v>
      </c>
      <c r="N75" s="268" t="s">
        <v>428</v>
      </c>
    </row>
    <row r="76" spans="1:15" x14ac:dyDescent="0.25">
      <c r="A76" s="116"/>
      <c r="B76" s="269" t="s">
        <v>424</v>
      </c>
      <c r="D76" s="3" t="s">
        <v>425</v>
      </c>
      <c r="E76" s="3" t="s">
        <v>441</v>
      </c>
      <c r="F76" s="280">
        <f>IF(N71="gL","angeschl.",IF(E74&gt;0,"Mitbetr.",))</f>
        <v>0</v>
      </c>
      <c r="G76" s="3" t="s">
        <v>426</v>
      </c>
      <c r="K76" s="380"/>
      <c r="M76" s="268" t="s">
        <v>427</v>
      </c>
      <c r="N76" s="268" t="s">
        <v>443</v>
      </c>
    </row>
    <row r="77" spans="1:15" x14ac:dyDescent="0.25">
      <c r="A77" s="116"/>
      <c r="B77" s="116"/>
      <c r="C77" s="2" t="s">
        <v>429</v>
      </c>
      <c r="D77" s="270">
        <f>IF(AND(L73="a",C16&gt;0),-2,)</f>
        <v>0</v>
      </c>
      <c r="E77" s="270">
        <f>-D27*1.5</f>
        <v>0</v>
      </c>
      <c r="F77" s="271">
        <f>-E74*IF(B7&lt;&gt;801082,1.5,1)</f>
        <v>0</v>
      </c>
      <c r="G77" s="271">
        <f>IF(OR(GTS!AK26=0,M71="PD",L73="b"),,GTS!BD30*-0.75)</f>
        <v>0</v>
      </c>
      <c r="I77" s="881">
        <f>IF(OR(M71="PD",L73="b"),,IF(SUM(D77:H77)&lt;-20,"-20 maximal",SUM(D77:H77)))</f>
        <v>0</v>
      </c>
      <c r="J77" s="881"/>
      <c r="K77" s="380"/>
    </row>
    <row r="78" spans="1:15" x14ac:dyDescent="0.25">
      <c r="A78" s="116"/>
      <c r="B78" s="116"/>
      <c r="C78" s="288" t="str">
        <f>IF(OR(M71&lt;&gt;"Altr.",L73="b",B7=801122),,IF(SUM(L74,(GTS!BD30/2))&gt;=8,"SchulleiterIn ist freigestellt!","Schulleit. mit Unterr.Verpflichtung"))</f>
        <v>Schulleit. mit Unterr.Verpflichtung</v>
      </c>
      <c r="G78" s="272">
        <f>IF(LEFT(G77,1)="?","siehe SOK",)</f>
        <v>0</v>
      </c>
      <c r="H78" s="880" t="str">
        <f>IF(AND(G78&gt;0,SUM(D77:H77)&gt;-20),"  noch ohne '? ..'  ",)&amp;IF(LEFT(C78,14)="Schulleit. mit",IF(G78&gt;0,"somit max. 
","somit verbleiben 
")&amp;20+I77&amp;" an wöch. Unterr.Verpfli",)</f>
        <v>somit verbleiben 
20 an wöch. Unterr.Verpfli</v>
      </c>
      <c r="I78" s="880"/>
      <c r="J78" s="880"/>
      <c r="K78" s="880"/>
    </row>
    <row r="79" spans="1:15" ht="10.5" customHeight="1" x14ac:dyDescent="0.25">
      <c r="H79" s="880"/>
      <c r="I79" s="880"/>
      <c r="J79" s="880"/>
      <c r="K79" s="880"/>
    </row>
    <row r="80" spans="1:15" x14ac:dyDescent="0.25">
      <c r="A80" s="116"/>
      <c r="B80" s="116"/>
      <c r="C80" s="466" t="s">
        <v>430</v>
      </c>
      <c r="D80" s="467" t="s">
        <v>431</v>
      </c>
      <c r="K80" s="116"/>
      <c r="L80" s="265" t="s">
        <v>432</v>
      </c>
    </row>
    <row r="81" spans="1:15" ht="15.75" x14ac:dyDescent="0.25">
      <c r="A81" s="243"/>
      <c r="B81" s="116"/>
      <c r="J81" s="468" t="s">
        <v>433</v>
      </c>
      <c r="K81" s="380"/>
    </row>
    <row r="82" spans="1:15" ht="10.5" customHeight="1" x14ac:dyDescent="0.25">
      <c r="K82" s="380"/>
    </row>
    <row r="83" spans="1:15" ht="18.75" x14ac:dyDescent="0.3">
      <c r="A83" s="232"/>
      <c r="B83" s="238" t="s">
        <v>662</v>
      </c>
      <c r="C83" s="273"/>
      <c r="D83" s="239"/>
      <c r="E83" s="234"/>
      <c r="F83" s="234"/>
      <c r="G83" s="234"/>
      <c r="H83" s="234"/>
      <c r="I83" s="234"/>
      <c r="J83" s="234"/>
      <c r="K83" s="380"/>
    </row>
    <row r="84" spans="1:15" ht="10.5" customHeight="1" x14ac:dyDescent="0.25">
      <c r="K84" s="380"/>
    </row>
    <row r="85" spans="1:15" x14ac:dyDescent="0.25">
      <c r="B85" s="71"/>
      <c r="C85" s="73" t="s">
        <v>633</v>
      </c>
      <c r="J85" s="519">
        <f>IF(B85=0,,SUM(E50:E51,E43:F46,B85))</f>
        <v>0</v>
      </c>
      <c r="K85" s="380"/>
    </row>
    <row r="86" spans="1:15" ht="10.5" customHeight="1" x14ac:dyDescent="0.25">
      <c r="K86" s="380"/>
    </row>
    <row r="87" spans="1:15" ht="18" customHeight="1" x14ac:dyDescent="0.25">
      <c r="B87" s="879" t="s">
        <v>663</v>
      </c>
      <c r="C87" s="879"/>
      <c r="D87" s="879"/>
      <c r="E87" s="879"/>
      <c r="F87" s="879"/>
      <c r="G87" s="879"/>
      <c r="H87" s="879"/>
      <c r="I87" s="879"/>
      <c r="J87" s="879"/>
      <c r="K87" s="380"/>
    </row>
    <row r="88" spans="1:15" ht="18" customHeight="1" x14ac:dyDescent="0.25">
      <c r="B88" s="879"/>
      <c r="C88" s="879"/>
      <c r="D88" s="879"/>
      <c r="E88" s="879"/>
      <c r="F88" s="879"/>
      <c r="G88" s="879"/>
      <c r="H88" s="879"/>
      <c r="I88" s="879"/>
      <c r="J88" s="879"/>
      <c r="K88" s="380"/>
    </row>
    <row r="89" spans="1:15" ht="18" customHeight="1" x14ac:dyDescent="0.25">
      <c r="B89" s="879"/>
      <c r="C89" s="879"/>
      <c r="D89" s="879"/>
      <c r="E89" s="879"/>
      <c r="F89" s="879"/>
      <c r="G89" s="879"/>
      <c r="H89" s="879"/>
      <c r="I89" s="879"/>
      <c r="J89" s="879"/>
      <c r="K89" s="383"/>
      <c r="L89" s="81"/>
    </row>
    <row r="90" spans="1:15" ht="10.5" customHeight="1" x14ac:dyDescent="0.25">
      <c r="K90" s="380"/>
    </row>
    <row r="91" spans="1:15" ht="18.75" x14ac:dyDescent="0.3">
      <c r="A91" s="515"/>
      <c r="B91" s="516" t="s">
        <v>434</v>
      </c>
      <c r="C91" s="517" t="s">
        <v>435</v>
      </c>
      <c r="D91" s="518"/>
      <c r="E91" s="513"/>
      <c r="F91" s="513"/>
      <c r="G91" s="513"/>
      <c r="H91" s="513"/>
      <c r="I91" s="513"/>
      <c r="J91" s="513"/>
      <c r="K91" s="380"/>
      <c r="L91" s="512" t="s">
        <v>632</v>
      </c>
      <c r="M91" s="513"/>
      <c r="N91" s="513"/>
      <c r="O91" s="514"/>
    </row>
    <row r="92" spans="1:15" ht="6" customHeight="1" x14ac:dyDescent="0.25">
      <c r="A92" s="116"/>
      <c r="B92" s="116"/>
      <c r="K92" s="380"/>
    </row>
    <row r="93" spans="1:15" x14ac:dyDescent="0.25">
      <c r="C93" s="2" t="s">
        <v>436</v>
      </c>
      <c r="D93" s="547">
        <f>Assistenz!L61</f>
        <v>0</v>
      </c>
      <c r="E93" t="str">
        <f>" Wochenstunden"&amp;IF(D93&gt;0," für Assistenzleistungen",)&amp;IF(Assistenz!I60&gt;0," (incl. GTS)",)</f>
        <v xml:space="preserve"> Wochenstunden</v>
      </c>
      <c r="K93" s="380"/>
      <c r="L93" s="390" t="s">
        <v>501</v>
      </c>
    </row>
    <row r="94" spans="1:15" x14ac:dyDescent="0.25">
      <c r="C94" s="2"/>
      <c r="D94" s="511">
        <f>Assistenz!L62</f>
        <v>0</v>
      </c>
      <c r="E94">
        <f>IF(Assistenz!L62&gt;0," durch SAF-Personal",)</f>
        <v>0</v>
      </c>
      <c r="K94" s="380"/>
    </row>
    <row r="95" spans="1:15" x14ac:dyDescent="0.25">
      <c r="D95" s="511">
        <f>Assistenz!L63</f>
        <v>0</v>
      </c>
      <c r="E95">
        <f>IF(Assistenz!L63&gt;0," durch entsprechendes Lehrpersonal",)</f>
        <v>0</v>
      </c>
      <c r="K95" s="380"/>
    </row>
    <row r="96" spans="1:15" x14ac:dyDescent="0.25">
      <c r="D96" s="548" t="str">
        <f>IF(SUM(D94:D95)&lt;&gt;D93,"Hier liegt ein Fehler im Tabellenblatt &lt;Assistenz&gt; vor!","")</f>
        <v/>
      </c>
      <c r="K96" s="380"/>
    </row>
    <row r="97" spans="1:15" ht="18.75" x14ac:dyDescent="0.3">
      <c r="A97" s="236"/>
      <c r="B97" s="375"/>
      <c r="C97" s="455" t="s">
        <v>487</v>
      </c>
      <c r="D97" s="376"/>
      <c r="E97" s="376"/>
      <c r="F97" s="376"/>
      <c r="G97" s="376"/>
      <c r="H97" s="379" t="s">
        <v>488</v>
      </c>
      <c r="I97" s="376"/>
      <c r="J97" s="376"/>
      <c r="K97" s="380"/>
    </row>
    <row r="98" spans="1:15" ht="6" customHeight="1" x14ac:dyDescent="0.25">
      <c r="A98" s="116"/>
      <c r="B98" s="116"/>
      <c r="K98" s="380"/>
    </row>
    <row r="99" spans="1:15" x14ac:dyDescent="0.25">
      <c r="B99" s="377" t="s">
        <v>489</v>
      </c>
      <c r="K99" s="380"/>
      <c r="L99" s="388" t="s">
        <v>500</v>
      </c>
      <c r="M99" s="376"/>
      <c r="N99" s="376"/>
      <c r="O99" s="389"/>
    </row>
    <row r="100" spans="1:15" ht="15.75" x14ac:dyDescent="0.25">
      <c r="A100" s="4"/>
      <c r="C100" s="378" t="s">
        <v>490</v>
      </c>
      <c r="D100" s="371">
        <f>Religion!H38</f>
        <v>0</v>
      </c>
      <c r="E100" s="97" t="s">
        <v>493</v>
      </c>
      <c r="G100" s="454">
        <f>Religion!A40</f>
        <v>1</v>
      </c>
      <c r="H100" s="97" t="s">
        <v>491</v>
      </c>
      <c r="K100" s="380"/>
      <c r="L100" s="390" t="s">
        <v>501</v>
      </c>
      <c r="M100" s="116"/>
      <c r="N100" s="116"/>
      <c r="O100" s="116"/>
    </row>
    <row r="101" spans="1:15" x14ac:dyDescent="0.25">
      <c r="D101" t="s">
        <v>492</v>
      </c>
      <c r="K101" s="380"/>
    </row>
    <row r="102" spans="1:15" ht="33.75" customHeight="1" x14ac:dyDescent="0.25">
      <c r="A102" s="116"/>
      <c r="B102" s="116"/>
      <c r="K102" s="380"/>
    </row>
    <row r="103" spans="1:15" ht="15.75" x14ac:dyDescent="0.25">
      <c r="A103" s="470"/>
      <c r="B103" s="469" t="s">
        <v>522</v>
      </c>
      <c r="K103" s="380"/>
    </row>
    <row r="104" spans="1:15" x14ac:dyDescent="0.25"/>
    <row r="105" spans="1:15" x14ac:dyDescent="0.25"/>
    <row r="106" spans="1:15" x14ac:dyDescent="0.25"/>
    <row r="107" spans="1:15" x14ac:dyDescent="0.25"/>
    <row r="108" spans="1:15" x14ac:dyDescent="0.25"/>
    <row r="109" spans="1:15" x14ac:dyDescent="0.25"/>
    <row r="110" spans="1:15" x14ac:dyDescent="0.25"/>
  </sheetData>
  <sheetProtection algorithmName="SHA-512" hashValue="A/Nt1CxZnTvLZJ1qpX9+t4xISFsChpglqmVRaBi/wDWuIaGKqhWYKe1iddQl14TXCQOpHE007jeMqtaCbg++3w==" saltValue="NOxSN4pbL26ZgqK905S3Mw==" spinCount="100000" sheet="1" formatRows="0"/>
  <mergeCells count="12">
    <mergeCell ref="H1:J1"/>
    <mergeCell ref="B32:C33"/>
    <mergeCell ref="I9:J11"/>
    <mergeCell ref="C8:J8"/>
    <mergeCell ref="F73:J73"/>
    <mergeCell ref="I32:J33"/>
    <mergeCell ref="B87:J89"/>
    <mergeCell ref="H78:K79"/>
    <mergeCell ref="I77:J77"/>
    <mergeCell ref="B53:J55"/>
    <mergeCell ref="G46:J47"/>
    <mergeCell ref="E52:F52"/>
  </mergeCells>
  <conditionalFormatting sqref="D32">
    <cfRule type="cellIs" dxfId="126" priority="66" operator="notEqual">
      <formula>" "</formula>
    </cfRule>
  </conditionalFormatting>
  <conditionalFormatting sqref="E41">
    <cfRule type="cellIs" dxfId="125" priority="65" operator="notEqual">
      <formula>0</formula>
    </cfRule>
  </conditionalFormatting>
  <conditionalFormatting sqref="F26">
    <cfRule type="cellIs" dxfId="124" priority="61" operator="notEqual">
      <formula>0</formula>
    </cfRule>
  </conditionalFormatting>
  <conditionalFormatting sqref="C8:J8">
    <cfRule type="cellIs" dxfId="123" priority="58" operator="notEqual">
      <formula>0</formula>
    </cfRule>
  </conditionalFormatting>
  <conditionalFormatting sqref="E38">
    <cfRule type="cellIs" dxfId="122" priority="55" operator="equal">
      <formula>"(0,0)"</formula>
    </cfRule>
  </conditionalFormatting>
  <conditionalFormatting sqref="L8">
    <cfRule type="expression" dxfId="121" priority="54">
      <formula>$L$9&gt;0</formula>
    </cfRule>
  </conditionalFormatting>
  <conditionalFormatting sqref="F60">
    <cfRule type="cellIs" dxfId="120" priority="53" stopIfTrue="1" operator="equal">
      <formula>" "</formula>
    </cfRule>
  </conditionalFormatting>
  <conditionalFormatting sqref="F46">
    <cfRule type="cellIs" dxfId="119" priority="51" operator="notEqual">
      <formula>0</formula>
    </cfRule>
  </conditionalFormatting>
  <conditionalFormatting sqref="G77">
    <cfRule type="cellIs" dxfId="118" priority="48" operator="lessThan">
      <formula>0</formula>
    </cfRule>
    <cfRule type="cellIs" dxfId="117" priority="49" operator="greaterThan">
      <formula>0</formula>
    </cfRule>
  </conditionalFormatting>
  <conditionalFormatting sqref="F77">
    <cfRule type="cellIs" dxfId="116" priority="44" operator="notEqual">
      <formula>0</formula>
    </cfRule>
  </conditionalFormatting>
  <conditionalFormatting sqref="F76:F77">
    <cfRule type="expression" dxfId="115" priority="43">
      <formula>$K$74="b"</formula>
    </cfRule>
  </conditionalFormatting>
  <conditionalFormatting sqref="E74">
    <cfRule type="cellIs" dxfId="114" priority="41" operator="notEqual">
      <formula>$O$73</formula>
    </cfRule>
  </conditionalFormatting>
  <conditionalFormatting sqref="H61">
    <cfRule type="expression" dxfId="113" priority="39">
      <formula>$L$61=0.1</formula>
    </cfRule>
    <cfRule type="cellIs" dxfId="112" priority="40" stopIfTrue="1" operator="notEqual">
      <formula>" "</formula>
    </cfRule>
  </conditionalFormatting>
  <conditionalFormatting sqref="H68">
    <cfRule type="cellIs" dxfId="111" priority="36" stopIfTrue="1" operator="greaterThan">
      <formula>0</formula>
    </cfRule>
  </conditionalFormatting>
  <conditionalFormatting sqref="H66">
    <cfRule type="cellIs" dxfId="110" priority="34" stopIfTrue="1" operator="notEqual">
      <formula>" "</formula>
    </cfRule>
  </conditionalFormatting>
  <conditionalFormatting sqref="H70">
    <cfRule type="cellIs" dxfId="109" priority="24" operator="lessThan">
      <formula>0</formula>
    </cfRule>
    <cfRule type="cellIs" dxfId="108" priority="32" stopIfTrue="1" operator="greaterThan">
      <formula>0</formula>
    </cfRule>
  </conditionalFormatting>
  <conditionalFormatting sqref="H63">
    <cfRule type="cellIs" dxfId="107" priority="31" stopIfTrue="1" operator="greaterThan">
      <formula>0</formula>
    </cfRule>
  </conditionalFormatting>
  <conditionalFormatting sqref="H64">
    <cfRule type="cellIs" dxfId="106" priority="26" stopIfTrue="1" operator="greaterThan">
      <formula>0</formula>
    </cfRule>
  </conditionalFormatting>
  <conditionalFormatting sqref="D70">
    <cfRule type="expression" dxfId="105" priority="25">
      <formula>$H$70&lt;&gt;0</formula>
    </cfRule>
  </conditionalFormatting>
  <conditionalFormatting sqref="G78">
    <cfRule type="cellIs" dxfId="104" priority="23" operator="notEqual">
      <formula>0</formula>
    </cfRule>
  </conditionalFormatting>
  <conditionalFormatting sqref="B76:E77 G76:J77 G78 B78 D78:E78">
    <cfRule type="expression" dxfId="103" priority="120">
      <formula>$L$73="b"</formula>
    </cfRule>
  </conditionalFormatting>
  <conditionalFormatting sqref="C80:J81">
    <cfRule type="expression" dxfId="102" priority="123">
      <formula>$L$73&lt;&gt;"b"</formula>
    </cfRule>
  </conditionalFormatting>
  <conditionalFormatting sqref="D100">
    <cfRule type="cellIs" dxfId="101" priority="18" operator="notEqual">
      <formula>0</formula>
    </cfRule>
  </conditionalFormatting>
  <conditionalFormatting sqref="G100">
    <cfRule type="cellIs" dxfId="100" priority="17" operator="notEqual">
      <formula>0</formula>
    </cfRule>
  </conditionalFormatting>
  <conditionalFormatting sqref="J31">
    <cfRule type="cellIs" dxfId="99" priority="16" operator="notEqual">
      <formula>0</formula>
    </cfRule>
  </conditionalFormatting>
  <conditionalFormatting sqref="B85">
    <cfRule type="cellIs" dxfId="98" priority="10" operator="notEqual">
      <formula>0</formula>
    </cfRule>
  </conditionalFormatting>
  <conditionalFormatting sqref="D93:D94">
    <cfRule type="expression" dxfId="97" priority="6">
      <formula>SUM($D$94:$D$95)&lt;&gt;$D$93</formula>
    </cfRule>
  </conditionalFormatting>
  <conditionalFormatting sqref="D95">
    <cfRule type="expression" dxfId="96" priority="4">
      <formula>SUM(D94:D95)&lt;&gt;D93</formula>
    </cfRule>
  </conditionalFormatting>
  <conditionalFormatting sqref="D93">
    <cfRule type="cellIs" dxfId="95" priority="3" operator="greaterThan">
      <formula>0</formula>
    </cfRule>
  </conditionalFormatting>
  <conditionalFormatting sqref="D96:I96">
    <cfRule type="expression" dxfId="94" priority="2">
      <formula>$D$96&lt;&gt;""</formula>
    </cfRule>
  </conditionalFormatting>
  <conditionalFormatting sqref="D95">
    <cfRule type="cellIs" dxfId="93" priority="5" operator="greaterThan">
      <formula>0</formula>
    </cfRule>
  </conditionalFormatting>
  <conditionalFormatting sqref="D94">
    <cfRule type="cellIs" dxfId="92" priority="7" operator="greaterThan">
      <formula>0</formula>
    </cfRule>
  </conditionalFormatting>
  <conditionalFormatting sqref="C78">
    <cfRule type="expression" dxfId="91" priority="1">
      <formula>$L$73="b"</formula>
    </cfRule>
  </conditionalFormatting>
  <dataValidations count="11">
    <dataValidation type="whole" allowBlank="1" showInputMessage="1" showErrorMessage="1" prompt="Bitte eine gültige Zahl zwischen 801000 und 804999 eingeben" sqref="B7">
      <formula1>801000</formula1>
      <formula2>804999</formula2>
    </dataValidation>
    <dataValidation type="whole" allowBlank="1" showInputMessage="1" showErrorMessage="1" sqref="C12:H15">
      <formula1>0</formula1>
      <formula2>333</formula2>
    </dataValidation>
    <dataValidation type="whole" allowBlank="1" showInputMessage="1" showErrorMessage="1" sqref="J12:J15">
      <formula1>0</formula1>
      <formula2>5</formula2>
    </dataValidation>
    <dataValidation type="whole" allowBlank="1" showInputMessage="1" showErrorMessage="1" sqref="D27">
      <formula1>0</formula1>
      <formula2>33</formula2>
    </dataValidation>
    <dataValidation type="whole" allowBlank="1" showInputMessage="1" showErrorMessage="1" prompt="Hier eingetragene SuS dürfen oben NICHT zugezählt sein!" sqref="D18">
      <formula1>0</formula1>
      <formula2>66</formula2>
    </dataValidation>
    <dataValidation type="decimal" allowBlank="1" showInputMessage="1" showErrorMessage="1" error="soviel gibt es nicht !!" sqref="H61">
      <formula1>-5</formula1>
      <formula2>L60</formula2>
    </dataValidation>
    <dataValidation type="whole" allowBlank="1" showInputMessage="1" showErrorMessage="1" error="bitte Ganzzahl eingeben!" prompt="zu zählen sind PC u. Laptop im Unterricht, auch interaktive Tafeln;_x000a_Nicht aber Server, PC für Verwaltung und Lehrer(-Vorbereitung) .." sqref="E59">
      <formula1>1</formula1>
      <formula2>222</formula2>
    </dataValidation>
    <dataValidation type="list" allowBlank="1" showInputMessage="1" showErrorMessage="1" sqref="F73:J73">
      <formula1>$M$73:$M$76</formula1>
    </dataValidation>
    <dataValidation allowBlank="1" showInputMessage="1" showErrorMessage="1" prompt="Mit der Tabulator-Taste sind die zu bearbeitenden bzw änderbaren Zellen gut erreichbar.." sqref="B4"/>
    <dataValidation allowBlank="1" showInputMessage="1" showErrorMessage="1" prompt="Hier sind regionale/landesweite Tätigkeiten anzuführen (zB IT-Regionalbetreuung), _x000a_nicht jedoch, was durch eigene Lehrpersonen an einer anderen Schule (aus deren eigenen Einrechnungsstunden) übernommen wird. " sqref="D70"/>
    <dataValidation allowBlank="1" showInputMessage="1" showErrorMessage="1" prompt="ab 8/16/24/.. ao-m werden jeweils _x000a_+6 WoStd für eine Kursgruppe zugerechnet" sqref="E31"/>
  </dataValidations>
  <printOptions horizontalCentered="1"/>
  <pageMargins left="0.6692913385826772" right="0.51181102362204722" top="0.55118110236220474" bottom="0.43307086614173229" header="1.299212598425197" footer="0.31496062992125984"/>
  <pageSetup paperSize="9" scale="95" orientation="portrait" horizontalDpi="4294967293" r:id="rId1"/>
  <headerFooter scaleWithDoc="0">
    <oddFooter>&amp;C&amp;5&amp;Z&amp;11&amp;F&amp;R&amp;D</oddFooter>
  </headerFooter>
  <rowBreaks count="1" manualBreakCount="1">
    <brk id="56" min="1" max="9"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theme="8" tint="0.59999389629810485"/>
    <pageSetUpPr fitToPage="1"/>
  </sheetPr>
  <dimension ref="A1:BN46"/>
  <sheetViews>
    <sheetView showGridLines="0" showZeros="0" zoomScaleNormal="100" workbookViewId="0">
      <selection activeCell="J5" sqref="J5:K5"/>
    </sheetView>
  </sheetViews>
  <sheetFormatPr baseColWidth="10" defaultColWidth="0" defaultRowHeight="15" x14ac:dyDescent="0.25"/>
  <cols>
    <col min="1" max="2" width="7.42578125" style="142" customWidth="1"/>
    <col min="3" max="3" width="4.42578125" style="142" hidden="1" customWidth="1"/>
    <col min="4" max="4" width="7.140625" style="142" customWidth="1"/>
    <col min="5" max="6" width="6.42578125" style="142" customWidth="1"/>
    <col min="7" max="9" width="6" style="142" customWidth="1"/>
    <col min="10" max="10" width="1.85546875" style="142" customWidth="1"/>
    <col min="11" max="12" width="6.42578125" style="142" customWidth="1"/>
    <col min="13" max="15" width="6" style="142" customWidth="1"/>
    <col min="16" max="16" width="3" style="142" customWidth="1"/>
    <col min="17" max="18" width="6.42578125" style="142" customWidth="1"/>
    <col min="19" max="21" width="6" style="142" customWidth="1"/>
    <col min="22" max="22" width="1.85546875" style="142" customWidth="1"/>
    <col min="23" max="24" width="6.42578125" style="142" customWidth="1"/>
    <col min="25" max="27" width="6" style="142" customWidth="1"/>
    <col min="28" max="28" width="3" style="142" customWidth="1"/>
    <col min="29" max="30" width="6.42578125" style="142" customWidth="1"/>
    <col min="31" max="33" width="6" style="142" customWidth="1"/>
    <col min="34" max="34" width="3" style="142" customWidth="1"/>
    <col min="35" max="35" width="3" style="142" hidden="1" customWidth="1"/>
    <col min="36" max="45" width="5" style="142" hidden="1" customWidth="1"/>
    <col min="46" max="46" width="5.140625" style="802" hidden="1" customWidth="1"/>
    <col min="47" max="47" width="4.42578125" style="802" hidden="1" customWidth="1"/>
    <col min="48" max="48" width="4.28515625" style="802" hidden="1" customWidth="1"/>
    <col min="49" max="49" width="3.7109375" style="802" hidden="1" customWidth="1"/>
    <col min="50" max="50" width="4.42578125" style="802" hidden="1" customWidth="1"/>
    <col min="51" max="51" width="4" style="802" hidden="1" customWidth="1"/>
    <col min="52" max="52" width="4.85546875" style="802" hidden="1" customWidth="1"/>
    <col min="53" max="53" width="4.28515625" style="802" hidden="1" customWidth="1"/>
    <col min="54" max="54" width="4.7109375" style="802" hidden="1" customWidth="1"/>
    <col min="55" max="55" width="4.140625" style="802" hidden="1" customWidth="1"/>
    <col min="56" max="56" width="7.7109375" style="802" hidden="1" customWidth="1"/>
    <col min="57" max="57" width="4.42578125" style="802" hidden="1" customWidth="1"/>
    <col min="58" max="58" width="4.28515625" style="802" hidden="1" customWidth="1"/>
    <col min="59" max="59" width="3.7109375" style="802" hidden="1" customWidth="1"/>
    <col min="60" max="60" width="4.42578125" style="802" hidden="1" customWidth="1"/>
    <col min="61" max="61" width="4" style="802" hidden="1" customWidth="1"/>
    <col min="62" max="62" width="4.85546875" style="802" hidden="1" customWidth="1"/>
    <col min="63" max="63" width="4.28515625" style="802" hidden="1" customWidth="1"/>
    <col min="64" max="64" width="4.7109375" style="802" hidden="1" customWidth="1"/>
    <col min="65" max="65" width="4.140625" style="802" hidden="1" customWidth="1"/>
    <col min="66" max="66" width="11.42578125" style="802" hidden="1" customWidth="1"/>
    <col min="67" max="16384" width="0" style="802" hidden="1"/>
  </cols>
  <sheetData>
    <row r="1" spans="1:66" ht="31.5" x14ac:dyDescent="0.5">
      <c r="A1" s="137" t="s">
        <v>374</v>
      </c>
      <c r="Q1" s="157" t="s">
        <v>375</v>
      </c>
      <c r="R1" s="801" t="str">
        <f>Konti_MS!C7</f>
        <v>MS  . . .</v>
      </c>
      <c r="AF1" s="520" t="str">
        <f>Konti_MS!H1</f>
        <v>MS für 2024/25</v>
      </c>
      <c r="AG1" s="520"/>
      <c r="AL1" s="139">
        <v>10</v>
      </c>
      <c r="AM1" s="140">
        <v>20</v>
      </c>
      <c r="AN1" s="141" t="s">
        <v>376</v>
      </c>
      <c r="AO1" s="139" t="s">
        <v>377</v>
      </c>
    </row>
    <row r="2" spans="1:66" ht="11.25" customHeight="1" x14ac:dyDescent="0.25">
      <c r="AL2" s="143">
        <v>4</v>
      </c>
      <c r="AM2" s="140">
        <v>7</v>
      </c>
      <c r="AN2" s="139">
        <v>3</v>
      </c>
      <c r="AO2" s="144">
        <v>2</v>
      </c>
    </row>
    <row r="3" spans="1:66" ht="13.5" customHeight="1" x14ac:dyDescent="0.25">
      <c r="A3" s="163"/>
      <c r="R3" s="802"/>
      <c r="V3" s="145" t="s">
        <v>627</v>
      </c>
      <c r="W3" s="146" t="s">
        <v>378</v>
      </c>
      <c r="AL3" s="139">
        <v>25</v>
      </c>
      <c r="AM3" s="144">
        <v>0</v>
      </c>
      <c r="AN3" s="140">
        <v>0.4</v>
      </c>
      <c r="AO3" s="141">
        <f>SUM(AN2:AO2)</f>
        <v>5</v>
      </c>
    </row>
    <row r="4" spans="1:66" ht="15.75" thickBot="1" x14ac:dyDescent="0.3">
      <c r="D4" s="147" t="s">
        <v>379</v>
      </c>
      <c r="Q4" s="802"/>
      <c r="R4" s="802"/>
      <c r="S4" s="148" t="s">
        <v>380</v>
      </c>
      <c r="T4" s="149"/>
      <c r="U4" s="149"/>
      <c r="V4" s="150" t="s">
        <v>381</v>
      </c>
      <c r="AL4" s="139"/>
      <c r="AM4" s="144">
        <v>2</v>
      </c>
      <c r="AN4" s="140">
        <v>0.62</v>
      </c>
      <c r="AO4" s="139"/>
    </row>
    <row r="5" spans="1:66" ht="20.25" thickTop="1" thickBot="1" x14ac:dyDescent="0.35">
      <c r="A5" s="156"/>
      <c r="H5" s="151" t="s">
        <v>403</v>
      </c>
      <c r="I5" s="151"/>
      <c r="J5" s="894"/>
      <c r="K5" s="895"/>
      <c r="L5" s="152" t="s">
        <v>382</v>
      </c>
      <c r="M5" s="153"/>
      <c r="N5" s="154" t="str">
        <f>IF(M5&lt;0," an anderer Schule", IF(M5&gt;0," von anderer Schule"," an/von anderer Schule"))</f>
        <v xml:space="preserve"> an/von anderer Schule</v>
      </c>
      <c r="O5" s="154"/>
      <c r="Q5" s="802"/>
      <c r="R5" s="802"/>
      <c r="S5" s="155">
        <f>IF(M5&lt;&gt;0,"= "&amp;C6,)</f>
        <v>0</v>
      </c>
      <c r="AL5" s="139"/>
      <c r="AM5" s="144">
        <v>3</v>
      </c>
      <c r="AN5" s="140">
        <v>0.84</v>
      </c>
      <c r="AO5" s="139"/>
    </row>
    <row r="6" spans="1:66" ht="19.5" thickTop="1" x14ac:dyDescent="0.3">
      <c r="A6" s="156"/>
      <c r="C6" s="803">
        <f>SUM(J5,M5)</f>
        <v>0</v>
      </c>
      <c r="P6" s="157">
        <f>IF(AO7&gt;0,"daher sind bei pr3 wöchentlich höchstens ",)</f>
        <v>0</v>
      </c>
      <c r="Q6" s="158">
        <f>IF(AO7&gt;0,AO7,)</f>
        <v>0</v>
      </c>
      <c r="R6" s="159">
        <f>ROUNDUP($AO7*0.84,1)</f>
        <v>0</v>
      </c>
      <c r="S6" s="159">
        <f>ROUNDUP($AO7*0.62,1)</f>
        <v>0</v>
      </c>
      <c r="T6" s="160">
        <f>ROUNDUP($AO7*0.4,1)</f>
        <v>0</v>
      </c>
      <c r="U6" s="804"/>
      <c r="V6" s="142">
        <f>IF(AO7&gt;0," Wochenstunden über die Lehrerbesoldung abrechenbar,",)</f>
        <v>0</v>
      </c>
      <c r="AL6" s="139"/>
      <c r="AM6" s="161">
        <v>4</v>
      </c>
      <c r="AN6" s="162">
        <v>1</v>
      </c>
    </row>
    <row r="7" spans="1:66" x14ac:dyDescent="0.25">
      <c r="A7" s="163"/>
      <c r="Q7" s="164">
        <f>IF(AO7&gt;0,"bei Lernzeiten an ..  4 od. 5, ",)</f>
        <v>0</v>
      </c>
      <c r="R7" s="165">
        <f>IF(AO7&gt;0,"an 3,",)</f>
        <v>0</v>
      </c>
      <c r="S7" s="165">
        <f>IF(AO7&gt;0,"an 2,",)</f>
        <v>0</v>
      </c>
      <c r="T7" s="166">
        <f>IF(AO7&gt;0," oder lediglich an 1 Tag(en) pro Woche.",)</f>
        <v>0</v>
      </c>
      <c r="U7" s="805"/>
      <c r="AL7" s="139">
        <v>40</v>
      </c>
      <c r="AN7" s="167">
        <f>ROUNDUP(LOOKUP(AL27,AM3:AM6,AN3:AN6)*AO7,1)</f>
        <v>0</v>
      </c>
      <c r="AO7" s="168">
        <f>IF(C6&lt;AM2,,IF(C6&lt;AL7,LOOKUP(C6,AN8:AN11,AO8:AO11),ROUNDDOWN(C6/AL$1,0)*AN$2+ROUNDDOWN(C6/AM$1,0)*AO$2))</f>
        <v>0</v>
      </c>
      <c r="AP7" s="169">
        <f>IF(C6&gt;=AM1,MAX(ROUNDDOWN(C6/AM1,0),ROUNDUP(C6/AL3,0)),IF(C6&gt;=AM2,1,))</f>
        <v>0</v>
      </c>
    </row>
    <row r="8" spans="1:66" ht="15.75" x14ac:dyDescent="0.25">
      <c r="A8" s="170" t="s">
        <v>404</v>
      </c>
      <c r="AN8" s="171">
        <v>0</v>
      </c>
      <c r="AO8" s="172">
        <f>AO3</f>
        <v>5</v>
      </c>
    </row>
    <row r="9" spans="1:66" ht="6.75" customHeight="1" x14ac:dyDescent="0.25">
      <c r="A9" s="163"/>
      <c r="AN9" s="171">
        <v>18</v>
      </c>
      <c r="AO9" s="172">
        <f>AO8*1.6</f>
        <v>8</v>
      </c>
    </row>
    <row r="10" spans="1:66" ht="21" customHeight="1" x14ac:dyDescent="0.35">
      <c r="A10" s="521"/>
      <c r="D10" s="522" t="s">
        <v>383</v>
      </c>
      <c r="E10" s="806"/>
      <c r="F10" s="896" t="s">
        <v>384</v>
      </c>
      <c r="G10" s="896"/>
      <c r="H10" s="523"/>
      <c r="I10" s="897" t="s">
        <v>658</v>
      </c>
      <c r="J10" s="807"/>
      <c r="K10" s="806"/>
      <c r="L10" s="896" t="s">
        <v>385</v>
      </c>
      <c r="M10" s="896"/>
      <c r="N10" s="523"/>
      <c r="O10" s="897" t="s">
        <v>658</v>
      </c>
      <c r="P10" s="807"/>
      <c r="Q10" s="806"/>
      <c r="R10" s="896" t="s">
        <v>386</v>
      </c>
      <c r="S10" s="896"/>
      <c r="T10" s="523"/>
      <c r="U10" s="897" t="s">
        <v>658</v>
      </c>
      <c r="V10" s="807"/>
      <c r="W10" s="806"/>
      <c r="X10" s="896" t="s">
        <v>387</v>
      </c>
      <c r="Y10" s="896"/>
      <c r="Z10" s="523"/>
      <c r="AA10" s="897" t="s">
        <v>658</v>
      </c>
      <c r="AB10" s="807"/>
      <c r="AC10" s="806"/>
      <c r="AD10" s="896" t="s">
        <v>388</v>
      </c>
      <c r="AE10" s="896"/>
      <c r="AF10" s="523"/>
      <c r="AG10" s="897" t="s">
        <v>658</v>
      </c>
      <c r="AH10" s="807"/>
      <c r="AN10" s="171">
        <v>24</v>
      </c>
      <c r="AO10" s="172">
        <f>AO8*2</f>
        <v>10</v>
      </c>
    </row>
    <row r="11" spans="1:66" ht="15" customHeight="1" x14ac:dyDescent="0.25">
      <c r="A11" s="900" t="s">
        <v>389</v>
      </c>
      <c r="B11" s="901"/>
      <c r="C11" s="524"/>
      <c r="D11" s="524"/>
      <c r="E11" s="808" t="s">
        <v>390</v>
      </c>
      <c r="F11" s="809"/>
      <c r="G11" s="904" t="s">
        <v>634</v>
      </c>
      <c r="H11" s="905"/>
      <c r="I11" s="898"/>
      <c r="J11" s="802"/>
      <c r="K11" s="808" t="s">
        <v>390</v>
      </c>
      <c r="L11" s="810"/>
      <c r="M11" s="904" t="s">
        <v>634</v>
      </c>
      <c r="N11" s="905"/>
      <c r="O11" s="898"/>
      <c r="P11" s="802"/>
      <c r="Q11" s="808" t="s">
        <v>390</v>
      </c>
      <c r="R11" s="810"/>
      <c r="S11" s="904" t="s">
        <v>634</v>
      </c>
      <c r="T11" s="905"/>
      <c r="U11" s="898"/>
      <c r="V11" s="802"/>
      <c r="W11" s="808" t="s">
        <v>390</v>
      </c>
      <c r="X11" s="810"/>
      <c r="Y11" s="904" t="s">
        <v>634</v>
      </c>
      <c r="Z11" s="905"/>
      <c r="AA11" s="898"/>
      <c r="AB11" s="802"/>
      <c r="AC11" s="808" t="s">
        <v>390</v>
      </c>
      <c r="AD11" s="810"/>
      <c r="AE11" s="904" t="s">
        <v>634</v>
      </c>
      <c r="AF11" s="905"/>
      <c r="AG11" s="898"/>
      <c r="AH11" s="802"/>
      <c r="AN11" s="171">
        <v>30</v>
      </c>
      <c r="AO11" s="172">
        <f>AO8*2.6</f>
        <v>13</v>
      </c>
    </row>
    <row r="12" spans="1:66" ht="15" customHeight="1" x14ac:dyDescent="0.25">
      <c r="A12" s="902"/>
      <c r="B12" s="903"/>
      <c r="C12" s="524"/>
      <c r="D12" s="524"/>
      <c r="E12" s="174" t="s">
        <v>391</v>
      </c>
      <c r="F12" s="811" t="s">
        <v>391</v>
      </c>
      <c r="G12" s="906"/>
      <c r="H12" s="907"/>
      <c r="I12" s="898"/>
      <c r="J12" s="802"/>
      <c r="K12" s="174" t="s">
        <v>391</v>
      </c>
      <c r="L12" s="175" t="s">
        <v>391</v>
      </c>
      <c r="M12" s="906"/>
      <c r="N12" s="907"/>
      <c r="O12" s="898"/>
      <c r="P12" s="802"/>
      <c r="Q12" s="174" t="s">
        <v>391</v>
      </c>
      <c r="R12" s="175" t="s">
        <v>391</v>
      </c>
      <c r="S12" s="906"/>
      <c r="T12" s="907"/>
      <c r="U12" s="898"/>
      <c r="V12" s="802"/>
      <c r="W12" s="174" t="s">
        <v>391</v>
      </c>
      <c r="X12" s="175" t="s">
        <v>391</v>
      </c>
      <c r="Y12" s="906"/>
      <c r="Z12" s="907"/>
      <c r="AA12" s="898"/>
      <c r="AB12" s="802"/>
      <c r="AC12" s="174" t="s">
        <v>391</v>
      </c>
      <c r="AD12" s="175" t="s">
        <v>391</v>
      </c>
      <c r="AE12" s="906"/>
      <c r="AF12" s="907"/>
      <c r="AG12" s="898"/>
      <c r="AH12" s="802"/>
      <c r="AJ12" s="525">
        <v>3.4722222222222224E-2</v>
      </c>
      <c r="AK12" s="525">
        <v>0.66666666666666663</v>
      </c>
      <c r="AL12" s="176">
        <v>0.625</v>
      </c>
      <c r="AT12" s="908" t="s">
        <v>635</v>
      </c>
      <c r="AU12" s="908"/>
      <c r="AV12" s="908"/>
      <c r="AW12" s="908"/>
      <c r="AX12" s="908"/>
      <c r="AY12" s="908"/>
      <c r="AZ12" s="908"/>
      <c r="BA12" s="908"/>
      <c r="BB12" s="908"/>
      <c r="BC12" s="908"/>
      <c r="BD12" s="909" t="s">
        <v>636</v>
      </c>
      <c r="BE12" s="909"/>
      <c r="BF12" s="909"/>
      <c r="BG12" s="909"/>
      <c r="BH12" s="909"/>
      <c r="BI12" s="909"/>
      <c r="BJ12" s="909"/>
      <c r="BK12" s="909"/>
      <c r="BL12" s="909"/>
      <c r="BM12" s="909"/>
      <c r="BN12" s="812">
        <v>25</v>
      </c>
    </row>
    <row r="13" spans="1:66" x14ac:dyDescent="0.25">
      <c r="A13" s="526" t="s">
        <v>392</v>
      </c>
      <c r="B13" s="527" t="s">
        <v>393</v>
      </c>
      <c r="C13" s="528"/>
      <c r="D13" s="528"/>
      <c r="E13" s="177" t="s">
        <v>394</v>
      </c>
      <c r="F13" s="178" t="s">
        <v>395</v>
      </c>
      <c r="G13" s="179" t="s">
        <v>394</v>
      </c>
      <c r="H13" s="529" t="s">
        <v>395</v>
      </c>
      <c r="I13" s="899"/>
      <c r="J13" s="802"/>
      <c r="K13" s="177" t="s">
        <v>394</v>
      </c>
      <c r="L13" s="178" t="s">
        <v>395</v>
      </c>
      <c r="M13" s="179" t="s">
        <v>394</v>
      </c>
      <c r="N13" s="529" t="s">
        <v>395</v>
      </c>
      <c r="O13" s="899"/>
      <c r="P13" s="802"/>
      <c r="Q13" s="177" t="s">
        <v>394</v>
      </c>
      <c r="R13" s="178" t="s">
        <v>395</v>
      </c>
      <c r="S13" s="179" t="s">
        <v>394</v>
      </c>
      <c r="T13" s="529" t="s">
        <v>395</v>
      </c>
      <c r="U13" s="899"/>
      <c r="V13" s="802"/>
      <c r="W13" s="177" t="s">
        <v>394</v>
      </c>
      <c r="X13" s="178" t="s">
        <v>395</v>
      </c>
      <c r="Y13" s="179" t="s">
        <v>394</v>
      </c>
      <c r="Z13" s="529" t="s">
        <v>395</v>
      </c>
      <c r="AA13" s="899"/>
      <c r="AB13" s="802"/>
      <c r="AC13" s="177" t="s">
        <v>394</v>
      </c>
      <c r="AD13" s="178" t="s">
        <v>395</v>
      </c>
      <c r="AE13" s="179" t="s">
        <v>394</v>
      </c>
      <c r="AF13" s="529" t="s">
        <v>395</v>
      </c>
      <c r="AG13" s="899"/>
      <c r="AH13" s="802"/>
      <c r="AT13" s="530" t="s">
        <v>637</v>
      </c>
      <c r="AU13" s="530" t="s">
        <v>638</v>
      </c>
      <c r="AV13" s="530" t="s">
        <v>639</v>
      </c>
      <c r="AW13" s="530" t="s">
        <v>640</v>
      </c>
      <c r="AX13" s="530" t="s">
        <v>641</v>
      </c>
      <c r="AY13" s="530" t="s">
        <v>642</v>
      </c>
      <c r="AZ13" s="530" t="s">
        <v>643</v>
      </c>
      <c r="BA13" s="530" t="s">
        <v>644</v>
      </c>
      <c r="BB13" s="530" t="s">
        <v>645</v>
      </c>
      <c r="BC13" s="530" t="s">
        <v>646</v>
      </c>
      <c r="BD13" s="531" t="s">
        <v>637</v>
      </c>
      <c r="BE13" s="531" t="s">
        <v>638</v>
      </c>
      <c r="BF13" s="531" t="s">
        <v>639</v>
      </c>
      <c r="BG13" s="531" t="s">
        <v>640</v>
      </c>
      <c r="BH13" s="531" t="s">
        <v>641</v>
      </c>
      <c r="BI13" s="531" t="s">
        <v>642</v>
      </c>
      <c r="BJ13" s="531" t="s">
        <v>643</v>
      </c>
      <c r="BK13" s="531" t="s">
        <v>644</v>
      </c>
      <c r="BL13" s="531" t="s">
        <v>645</v>
      </c>
      <c r="BM13" s="531" t="s">
        <v>646</v>
      </c>
      <c r="BN13" s="812" t="s">
        <v>664</v>
      </c>
    </row>
    <row r="14" spans="1:66" ht="18" x14ac:dyDescent="0.25">
      <c r="A14" s="261"/>
      <c r="B14" s="219">
        <f t="shared" ref="B14:B23" si="0">IF(A14&gt;0,A14+AJ$12,)</f>
        <v>0</v>
      </c>
      <c r="C14" s="213">
        <f>ROUND((B14-A14)*24*60,1)</f>
        <v>0</v>
      </c>
      <c r="D14" s="213">
        <f t="shared" ref="D14:D23" si="1">IF(A14&gt;0,"= "&amp;C14&amp;" min",)</f>
        <v>0</v>
      </c>
      <c r="E14" s="214"/>
      <c r="F14" s="215"/>
      <c r="G14" s="532">
        <f>AT14</f>
        <v>0</v>
      </c>
      <c r="H14" s="533">
        <f>AU14</f>
        <v>0</v>
      </c>
      <c r="I14" s="813">
        <f>G14*$C14/50+H14*$C14/50*0.5</f>
        <v>0</v>
      </c>
      <c r="J14" s="216"/>
      <c r="K14" s="214"/>
      <c r="L14" s="215"/>
      <c r="M14" s="532">
        <f t="shared" ref="M14:N23" si="2">AV14</f>
        <v>0</v>
      </c>
      <c r="N14" s="533">
        <f>AW14</f>
        <v>0</v>
      </c>
      <c r="O14" s="813">
        <f>M14*$C14/50+N14*$C14/50*0.5</f>
        <v>0</v>
      </c>
      <c r="P14" s="217"/>
      <c r="Q14" s="214"/>
      <c r="R14" s="215"/>
      <c r="S14" s="532">
        <f t="shared" ref="S14:T23" si="3">AX14</f>
        <v>0</v>
      </c>
      <c r="T14" s="533">
        <f>AY14</f>
        <v>0</v>
      </c>
      <c r="U14" s="813">
        <f>S14*$C14/50+T14*$C14/50*0.5</f>
        <v>0</v>
      </c>
      <c r="V14" s="217"/>
      <c r="W14" s="214"/>
      <c r="X14" s="215"/>
      <c r="Y14" s="532">
        <f t="shared" ref="Y14:Z23" si="4">AZ14</f>
        <v>0</v>
      </c>
      <c r="Z14" s="533">
        <f>BA14</f>
        <v>0</v>
      </c>
      <c r="AA14" s="813">
        <f>Y14*$C14/50+Z14*$C14/50*0.5</f>
        <v>0</v>
      </c>
      <c r="AB14" s="217"/>
      <c r="AC14" s="214"/>
      <c r="AD14" s="215"/>
      <c r="AE14" s="532">
        <f>BB14</f>
        <v>0</v>
      </c>
      <c r="AF14" s="533">
        <f>BC14</f>
        <v>0</v>
      </c>
      <c r="AG14" s="813">
        <f>AE14*$C14/50+AF14*$C14/50*0.5</f>
        <v>0</v>
      </c>
      <c r="AH14" s="217"/>
      <c r="AJ14" s="180">
        <f>IF(E14&gt;=AL1,ROUNDDOWN(E14/AL1,0),IF(E14&gt;0,1,))*C14/50</f>
        <v>0</v>
      </c>
      <c r="AK14" s="180">
        <f>IF(F14&gt;=AM1,MAX(ROUNDDOWN(F14/AM1,0),ROUNDUP(F14/AL3,0)),IF(F14&gt;0,1,))*C14/50*0.5</f>
        <v>0</v>
      </c>
      <c r="AL14" s="180">
        <f>IF(K14&gt;=AL1,ROUNDDOWN(K14/AL1,0),IF(K14&gt;0,1,))*C14/50</f>
        <v>0</v>
      </c>
      <c r="AM14" s="180">
        <f>IF(L14&gt;=AM1,MAX(ROUNDDOWN(L14/AM1,0),ROUNDUP(L14/AL3,0)),IF(L14&gt;0,1,))*C14/50*0.5</f>
        <v>0</v>
      </c>
      <c r="AN14" s="180">
        <f>IF(Q14&gt;=AL1,ROUNDDOWN(Q14/AL1,0),IF(Q14&gt;0,1,))*C14/50</f>
        <v>0</v>
      </c>
      <c r="AO14" s="180">
        <f>IF(R14&gt;=AM1,MAX(ROUNDDOWN(R14/AM1,0),ROUNDUP(R14/AL3,0)),IF(R14&gt;0,1,))*C14/50*0.5</f>
        <v>0</v>
      </c>
      <c r="AP14" s="180">
        <f>IF(W14&gt;=AL1,ROUNDDOWN(W14/AL1,0),IF(W14&gt;0,1,))*C14/50</f>
        <v>0</v>
      </c>
      <c r="AQ14" s="180">
        <f>IF(X14&gt;=AM1,MAX(ROUNDDOWN(X14/AM1,0),ROUNDUP(X14/AL3,0)),IF(X14&gt;0,1,))*C14/50*0.5</f>
        <v>0</v>
      </c>
      <c r="AR14" s="180">
        <f>IF(AC14&gt;=AL1,ROUNDDOWN(AC14/AL1,0),IF(AC14&gt;0,1,))*C14/50</f>
        <v>0</v>
      </c>
      <c r="AS14" s="180">
        <f>IF(AD14&gt;=AM1,MAX(ROUNDDOWN(AD14/AM1,0),ROUNDUP(AD14/AL3,0)),IF(AD14&gt;0,1,))*C14/50*0.5</f>
        <v>0</v>
      </c>
      <c r="AT14" s="814">
        <f t="shared" ref="AT14:AT23" si="5">IF(E14&gt;=$AL$1,ROUNDDOWN(E14/$AL$1,0),IF(E14&gt;0,1,))</f>
        <v>0</v>
      </c>
      <c r="AU14" s="814">
        <f t="shared" ref="AU14:AU23" si="6">IF(F14&gt;=$AM$1,ROUNDDOWN(F14/$AM$1,0),IF(F14&gt;0,1,))</f>
        <v>0</v>
      </c>
      <c r="AV14" s="814">
        <f t="shared" ref="AV14:AV23" si="7">IF(K14&gt;=AL$1,ROUNDDOWN(K14/$AL$1,0),IF(K14&gt;0,1,))</f>
        <v>0</v>
      </c>
      <c r="AW14" s="814">
        <f t="shared" ref="AW14:AW23" si="8">IF(L14&gt;=$AM$1,ROUNDDOWN(L14/$AM$1,0),IF(L14&gt;0,1,))</f>
        <v>0</v>
      </c>
      <c r="AX14" s="814">
        <f t="shared" ref="AX14:AX23" si="9">IF(Q14&gt;=$AL$1,ROUNDDOWN(Q14/$AL$1,0),IF(Q14&gt;0,1,))</f>
        <v>0</v>
      </c>
      <c r="AY14" s="814">
        <f>IF(R14&gt;=$AM$1,ROUNDDOWN(R14/$AM$1,0),IF(R14&gt;0,1,))</f>
        <v>0</v>
      </c>
      <c r="AZ14" s="814">
        <f t="shared" ref="AZ14:AZ23" si="10">IF(W14&gt;=$AL$1,ROUNDDOWN(W14/$AL$1,0),IF(W14&gt;0,1,))</f>
        <v>0</v>
      </c>
      <c r="BA14" s="814">
        <f t="shared" ref="BA14:BA23" si="11">IF(X14&gt;=$AM$1,ROUNDDOWN(X14/$AM$1,0),IF(X14&gt;0,1,))</f>
        <v>0</v>
      </c>
      <c r="BB14" s="814">
        <f t="shared" ref="BB14:BB23" si="12">IF(AC14&gt;=$AL$1,ROUNDDOWN(AC14/$AL$1,0),IF(AC14&gt;0,1,))</f>
        <v>0</v>
      </c>
      <c r="BC14" s="814">
        <f t="shared" ref="BC14:BC23" si="13">IF(AD14&gt;=$AM$1,ROUNDDOWN(AD14/$AM$1,0),IF(AD14&gt;0,1,))</f>
        <v>0</v>
      </c>
      <c r="BD14" s="815">
        <f t="shared" ref="BD14:BE23" si="14">G14</f>
        <v>0</v>
      </c>
      <c r="BE14" s="815">
        <f t="shared" si="14"/>
        <v>0</v>
      </c>
      <c r="BF14" s="815">
        <f t="shared" ref="BF14:BG23" si="15">M14</f>
        <v>0</v>
      </c>
      <c r="BG14" s="815">
        <f t="shared" si="15"/>
        <v>0</v>
      </c>
      <c r="BH14" s="815">
        <f t="shared" ref="BH14:BI23" si="16">S14</f>
        <v>0</v>
      </c>
      <c r="BI14" s="815">
        <f t="shared" si="16"/>
        <v>0</v>
      </c>
      <c r="BJ14" s="815">
        <f t="shared" ref="BJ14:BK23" si="17">Y14</f>
        <v>0</v>
      </c>
      <c r="BK14" s="815">
        <f t="shared" si="17"/>
        <v>0</v>
      </c>
      <c r="BL14" s="815">
        <f t="shared" ref="BL14:BM23" si="18">AE14</f>
        <v>0</v>
      </c>
      <c r="BM14" s="815">
        <f t="shared" si="18"/>
        <v>0</v>
      </c>
      <c r="BN14" s="812">
        <f>IF(AND($C14&gt;0,$C14&lt;$BN$12),1,)</f>
        <v>0</v>
      </c>
    </row>
    <row r="15" spans="1:66" ht="18" x14ac:dyDescent="0.25">
      <c r="A15" s="218">
        <f t="shared" ref="A15:A23" si="19">IF(OR(B14&gt;=AK$12,B14=0),,B14+IF(B14&gt;=AL$12,TIME(0,5,0),))</f>
        <v>0</v>
      </c>
      <c r="B15" s="219">
        <f t="shared" si="0"/>
        <v>0</v>
      </c>
      <c r="C15" s="213">
        <f t="shared" ref="C15:C23" si="20">ROUND((B15-A15)*24*60,1)</f>
        <v>0</v>
      </c>
      <c r="D15" s="213">
        <f t="shared" si="1"/>
        <v>0</v>
      </c>
      <c r="E15" s="214"/>
      <c r="F15" s="215"/>
      <c r="G15" s="532">
        <f t="shared" ref="G15:H23" si="21">AT15</f>
        <v>0</v>
      </c>
      <c r="H15" s="533">
        <f t="shared" si="21"/>
        <v>0</v>
      </c>
      <c r="I15" s="813">
        <f t="shared" ref="I15:I23" si="22">G15*$C15/50+H15*$C15/50*0.5</f>
        <v>0</v>
      </c>
      <c r="J15" s="216"/>
      <c r="K15" s="214"/>
      <c r="L15" s="215"/>
      <c r="M15" s="532">
        <f t="shared" si="2"/>
        <v>0</v>
      </c>
      <c r="N15" s="533">
        <f t="shared" si="2"/>
        <v>0</v>
      </c>
      <c r="O15" s="813">
        <f t="shared" ref="O15:O23" si="23">M15*$C15/50+N15*$C15/50*0.5</f>
        <v>0</v>
      </c>
      <c r="P15" s="217"/>
      <c r="Q15" s="214"/>
      <c r="R15" s="215"/>
      <c r="S15" s="532">
        <f t="shared" si="3"/>
        <v>0</v>
      </c>
      <c r="T15" s="533">
        <f t="shared" si="3"/>
        <v>0</v>
      </c>
      <c r="U15" s="813">
        <f t="shared" ref="U15:U23" si="24">S15*$C15/50+T15*$C15/50*0.5</f>
        <v>0</v>
      </c>
      <c r="V15" s="217"/>
      <c r="W15" s="214"/>
      <c r="X15" s="215"/>
      <c r="Y15" s="532">
        <f t="shared" si="4"/>
        <v>0</v>
      </c>
      <c r="Z15" s="533">
        <f t="shared" si="4"/>
        <v>0</v>
      </c>
      <c r="AA15" s="813">
        <f t="shared" ref="AA15:AA23" si="25">Y15*$C15/50+Z15*$C15/50*0.5</f>
        <v>0</v>
      </c>
      <c r="AB15" s="217"/>
      <c r="AC15" s="214"/>
      <c r="AD15" s="215"/>
      <c r="AE15" s="532">
        <f t="shared" ref="AE15:AF23" si="26">BB15</f>
        <v>0</v>
      </c>
      <c r="AF15" s="533">
        <f t="shared" si="26"/>
        <v>0</v>
      </c>
      <c r="AG15" s="813">
        <f t="shared" ref="AG15:AG23" si="27">AE15*$C15/50+AF15*$C15/50*0.5</f>
        <v>0</v>
      </c>
      <c r="AH15" s="217"/>
      <c r="AJ15" s="180">
        <f>IF(E15&gt;=AL1,ROUNDDOWN(E15/AL1,0),IF(E15&gt;0,1,))*C15/50</f>
        <v>0</v>
      </c>
      <c r="AK15" s="180">
        <f>IF(F15&gt;=AM1,MAX(ROUNDDOWN(F15/AM1,0),ROUNDUP(F15/AL3,0)),IF(F15&gt;0,1,))*C15/50*0.5</f>
        <v>0</v>
      </c>
      <c r="AL15" s="180">
        <f>IF(K15&gt;=AL1,ROUNDDOWN(K15/AL1,0),IF(K15&gt;0,1,))*C15/50</f>
        <v>0</v>
      </c>
      <c r="AM15" s="180">
        <f>IF(L15&gt;=AM1,MAX(ROUNDDOWN(L15/AM1,0),ROUNDUP(L15/AL3,0)),IF(L15&gt;0,1,))*C15/50*0.5</f>
        <v>0</v>
      </c>
      <c r="AN15" s="180">
        <f>IF(Q15&gt;=AL1,ROUNDDOWN(Q15/AL1,0),IF(Q15&gt;0,1,))*C15/50</f>
        <v>0</v>
      </c>
      <c r="AO15" s="180">
        <f>IF(R15&gt;=AM1,MAX(ROUNDDOWN(R15/AM1,0),ROUNDUP(R15/AL3,0)),IF(R15&gt;0,1,))*C15/50*0.5</f>
        <v>0</v>
      </c>
      <c r="AP15" s="180">
        <f>IF(W15&gt;=AL1,ROUNDDOWN(W15/AL1,0),IF(W15&gt;0,1,))*C15/50</f>
        <v>0</v>
      </c>
      <c r="AQ15" s="180">
        <f>IF(X15&gt;=AM1,MAX(ROUNDDOWN(X15/AM1,0),ROUNDUP(X15/AL3,0)),IF(X15&gt;0,1,))*C15/50*0.5</f>
        <v>0</v>
      </c>
      <c r="AR15" s="180">
        <f>IF(AC15&gt;=AL1,ROUNDDOWN(AC15/AL1,0),IF(AC15&gt;0,1,))*C15/50</f>
        <v>0</v>
      </c>
      <c r="AS15" s="180">
        <f>IF(AD15&gt;=AM1,MAX(ROUNDDOWN(AD15/AM1,0),ROUNDUP(AD15/AL3,0)),IF(AD15&gt;0,1,))*C15/50*0.5</f>
        <v>0</v>
      </c>
      <c r="AT15" s="814">
        <f t="shared" si="5"/>
        <v>0</v>
      </c>
      <c r="AU15" s="814">
        <f t="shared" si="6"/>
        <v>0</v>
      </c>
      <c r="AV15" s="814">
        <f t="shared" si="7"/>
        <v>0</v>
      </c>
      <c r="AW15" s="814">
        <f t="shared" si="8"/>
        <v>0</v>
      </c>
      <c r="AX15" s="814">
        <f t="shared" si="9"/>
        <v>0</v>
      </c>
      <c r="AY15" s="814">
        <f t="shared" ref="AY15:AY21" si="28">IF(R15&gt;=$AM$1,ROUNDDOWN(R15/$AM$1,0),IF(R15&gt;0,1,))</f>
        <v>0</v>
      </c>
      <c r="AZ15" s="814">
        <f t="shared" si="10"/>
        <v>0</v>
      </c>
      <c r="BA15" s="814">
        <f t="shared" si="11"/>
        <v>0</v>
      </c>
      <c r="BB15" s="814">
        <f t="shared" si="12"/>
        <v>0</v>
      </c>
      <c r="BC15" s="814">
        <f t="shared" si="13"/>
        <v>0</v>
      </c>
      <c r="BD15" s="815">
        <f t="shared" si="14"/>
        <v>0</v>
      </c>
      <c r="BE15" s="815">
        <f t="shared" si="14"/>
        <v>0</v>
      </c>
      <c r="BF15" s="815">
        <f t="shared" si="15"/>
        <v>0</v>
      </c>
      <c r="BG15" s="815">
        <f t="shared" si="15"/>
        <v>0</v>
      </c>
      <c r="BH15" s="815">
        <f t="shared" si="16"/>
        <v>0</v>
      </c>
      <c r="BI15" s="815">
        <f t="shared" si="16"/>
        <v>0</v>
      </c>
      <c r="BJ15" s="815">
        <f t="shared" si="17"/>
        <v>0</v>
      </c>
      <c r="BK15" s="815">
        <f t="shared" si="17"/>
        <v>0</v>
      </c>
      <c r="BL15" s="815">
        <f t="shared" si="18"/>
        <v>0</v>
      </c>
      <c r="BM15" s="815">
        <f t="shared" si="18"/>
        <v>0</v>
      </c>
      <c r="BN15" s="812">
        <f t="shared" ref="BN15:BN23" si="29">IF(AND($C15&gt;0,$C15&lt;$BN$12),1,)</f>
        <v>0</v>
      </c>
    </row>
    <row r="16" spans="1:66" ht="18" x14ac:dyDescent="0.25">
      <c r="A16" s="218">
        <f t="shared" si="19"/>
        <v>0</v>
      </c>
      <c r="B16" s="219">
        <f t="shared" si="0"/>
        <v>0</v>
      </c>
      <c r="C16" s="213">
        <f>ROUND((B16-A16)*24*60,1)</f>
        <v>0</v>
      </c>
      <c r="D16" s="213">
        <f>IF(A16&gt;0,"= "&amp;C16&amp;" min",)</f>
        <v>0</v>
      </c>
      <c r="E16" s="214"/>
      <c r="F16" s="215"/>
      <c r="G16" s="532">
        <f t="shared" si="21"/>
        <v>0</v>
      </c>
      <c r="H16" s="533">
        <f t="shared" si="21"/>
        <v>0</v>
      </c>
      <c r="I16" s="813">
        <f>G16*$C16/50+H16*$C16/50*0.5</f>
        <v>0</v>
      </c>
      <c r="J16" s="216"/>
      <c r="K16" s="214"/>
      <c r="L16" s="215"/>
      <c r="M16" s="532">
        <f t="shared" si="2"/>
        <v>0</v>
      </c>
      <c r="N16" s="533">
        <f t="shared" si="2"/>
        <v>0</v>
      </c>
      <c r="O16" s="813">
        <f t="shared" si="23"/>
        <v>0</v>
      </c>
      <c r="P16" s="217"/>
      <c r="Q16" s="214"/>
      <c r="R16" s="215"/>
      <c r="S16" s="532">
        <f t="shared" si="3"/>
        <v>0</v>
      </c>
      <c r="T16" s="533">
        <f t="shared" si="3"/>
        <v>0</v>
      </c>
      <c r="U16" s="813">
        <f t="shared" si="24"/>
        <v>0</v>
      </c>
      <c r="V16" s="217"/>
      <c r="W16" s="214"/>
      <c r="X16" s="215"/>
      <c r="Y16" s="532">
        <f t="shared" si="4"/>
        <v>0</v>
      </c>
      <c r="Z16" s="533">
        <f t="shared" si="4"/>
        <v>0</v>
      </c>
      <c r="AA16" s="813">
        <f t="shared" si="25"/>
        <v>0</v>
      </c>
      <c r="AB16" s="217"/>
      <c r="AC16" s="214"/>
      <c r="AD16" s="215"/>
      <c r="AE16" s="532">
        <f t="shared" si="26"/>
        <v>0</v>
      </c>
      <c r="AF16" s="533">
        <f t="shared" si="26"/>
        <v>0</v>
      </c>
      <c r="AG16" s="813">
        <f t="shared" si="27"/>
        <v>0</v>
      </c>
      <c r="AH16" s="217"/>
      <c r="AJ16" s="180">
        <f>IF(E16&gt;=AL1,ROUNDDOWN(E16/AL1,0),IF(E16&gt;0,1,))*C16/50</f>
        <v>0</v>
      </c>
      <c r="AK16" s="180">
        <f>IF(F16&gt;=AM1,MAX(ROUNDDOWN(F16/AM1,0),ROUNDUP(F16/AL3,0)),IF(F16&gt;0,1,))*C16/50*0.5</f>
        <v>0</v>
      </c>
      <c r="AL16" s="180">
        <f>IF(K16&gt;=AL1,ROUNDDOWN(K16/AL1,0),IF(K16&gt;0,1,))*C16/50</f>
        <v>0</v>
      </c>
      <c r="AM16" s="180">
        <f>IF(L16&gt;=AM1,MAX(ROUNDDOWN(L16/AM1,0),ROUNDUP(L16/AL3,0)),IF(L16&gt;0,1,))*C16/50*0.5</f>
        <v>0</v>
      </c>
      <c r="AN16" s="180">
        <f>IF(Q16&gt;=AL1,ROUNDDOWN(Q16/AL1,0),IF(Q16&gt;0,1,))*C16/50</f>
        <v>0</v>
      </c>
      <c r="AO16" s="180">
        <f>IF(R16&gt;=AM1,MAX(ROUNDDOWN(R16/AM1,0),ROUNDUP(R16/AL3,0)),IF(R16&gt;0,1,))*C16/50*0.5</f>
        <v>0</v>
      </c>
      <c r="AP16" s="180">
        <f>IF(W16&gt;=AL1,ROUNDDOWN(W16/AL1,0),IF(W16&gt;0,1,))*C16/50</f>
        <v>0</v>
      </c>
      <c r="AQ16" s="180">
        <f>IF(X16&gt;=AM1,MAX(ROUNDDOWN(X16/AM1,0),ROUNDUP(X16/AL3,0)),IF(X16&gt;0,1,))*C16/50*0.5</f>
        <v>0</v>
      </c>
      <c r="AR16" s="180">
        <f>IF(AC16&gt;=AL1,ROUNDDOWN(AC16/AL1,0),IF(AC16&gt;0,1,))*C16/50</f>
        <v>0</v>
      </c>
      <c r="AS16" s="180">
        <f>IF(AD16&gt;=AM1,MAX(ROUNDDOWN(AD16/AM1,0),ROUNDUP(AD16/AL3,0)),IF(AD16&gt;0,1,))*C16/50*0.5</f>
        <v>0</v>
      </c>
      <c r="AT16" s="814">
        <f t="shared" si="5"/>
        <v>0</v>
      </c>
      <c r="AU16" s="814">
        <f t="shared" si="6"/>
        <v>0</v>
      </c>
      <c r="AV16" s="814">
        <f t="shared" si="7"/>
        <v>0</v>
      </c>
      <c r="AW16" s="814">
        <f t="shared" si="8"/>
        <v>0</v>
      </c>
      <c r="AX16" s="814">
        <f t="shared" si="9"/>
        <v>0</v>
      </c>
      <c r="AY16" s="814">
        <f t="shared" si="28"/>
        <v>0</v>
      </c>
      <c r="AZ16" s="814">
        <f t="shared" si="10"/>
        <v>0</v>
      </c>
      <c r="BA16" s="814">
        <f t="shared" si="11"/>
        <v>0</v>
      </c>
      <c r="BB16" s="814">
        <f t="shared" si="12"/>
        <v>0</v>
      </c>
      <c r="BC16" s="814">
        <f t="shared" si="13"/>
        <v>0</v>
      </c>
      <c r="BD16" s="815">
        <f t="shared" si="14"/>
        <v>0</v>
      </c>
      <c r="BE16" s="815">
        <f t="shared" si="14"/>
        <v>0</v>
      </c>
      <c r="BF16" s="815">
        <f t="shared" si="15"/>
        <v>0</v>
      </c>
      <c r="BG16" s="815">
        <f t="shared" si="15"/>
        <v>0</v>
      </c>
      <c r="BH16" s="815">
        <f t="shared" si="16"/>
        <v>0</v>
      </c>
      <c r="BI16" s="815">
        <f t="shared" si="16"/>
        <v>0</v>
      </c>
      <c r="BJ16" s="815">
        <f t="shared" si="17"/>
        <v>0</v>
      </c>
      <c r="BK16" s="815">
        <f t="shared" si="17"/>
        <v>0</v>
      </c>
      <c r="BL16" s="815">
        <f t="shared" si="18"/>
        <v>0</v>
      </c>
      <c r="BM16" s="815">
        <f t="shared" si="18"/>
        <v>0</v>
      </c>
      <c r="BN16" s="812">
        <f t="shared" si="29"/>
        <v>0</v>
      </c>
    </row>
    <row r="17" spans="1:66" ht="18" x14ac:dyDescent="0.25">
      <c r="A17" s="218">
        <f t="shared" si="19"/>
        <v>0</v>
      </c>
      <c r="B17" s="219">
        <f t="shared" si="0"/>
        <v>0</v>
      </c>
      <c r="C17" s="213">
        <f t="shared" si="20"/>
        <v>0</v>
      </c>
      <c r="D17" s="213">
        <f t="shared" si="1"/>
        <v>0</v>
      </c>
      <c r="E17" s="214"/>
      <c r="F17" s="215"/>
      <c r="G17" s="532">
        <f t="shared" si="21"/>
        <v>0</v>
      </c>
      <c r="H17" s="533">
        <f t="shared" si="21"/>
        <v>0</v>
      </c>
      <c r="I17" s="813">
        <f t="shared" si="22"/>
        <v>0</v>
      </c>
      <c r="J17" s="216"/>
      <c r="K17" s="214"/>
      <c r="L17" s="215"/>
      <c r="M17" s="532">
        <f t="shared" si="2"/>
        <v>0</v>
      </c>
      <c r="N17" s="533">
        <f t="shared" si="2"/>
        <v>0</v>
      </c>
      <c r="O17" s="813">
        <f t="shared" si="23"/>
        <v>0</v>
      </c>
      <c r="P17" s="217"/>
      <c r="Q17" s="214"/>
      <c r="R17" s="215"/>
      <c r="S17" s="532">
        <f t="shared" si="3"/>
        <v>0</v>
      </c>
      <c r="T17" s="533">
        <f t="shared" si="3"/>
        <v>0</v>
      </c>
      <c r="U17" s="813">
        <f t="shared" si="24"/>
        <v>0</v>
      </c>
      <c r="V17" s="217"/>
      <c r="W17" s="214"/>
      <c r="X17" s="215"/>
      <c r="Y17" s="532">
        <f t="shared" si="4"/>
        <v>0</v>
      </c>
      <c r="Z17" s="533">
        <f t="shared" si="4"/>
        <v>0</v>
      </c>
      <c r="AA17" s="813">
        <f t="shared" si="25"/>
        <v>0</v>
      </c>
      <c r="AB17" s="217"/>
      <c r="AC17" s="214"/>
      <c r="AD17" s="215"/>
      <c r="AE17" s="532">
        <f t="shared" si="26"/>
        <v>0</v>
      </c>
      <c r="AF17" s="533">
        <f t="shared" si="26"/>
        <v>0</v>
      </c>
      <c r="AG17" s="813">
        <f t="shared" si="27"/>
        <v>0</v>
      </c>
      <c r="AH17" s="217"/>
      <c r="AJ17" s="180">
        <f>IF(E17&gt;=AL1,ROUNDDOWN(E17/AL1,0),IF(E17&gt;0,1,))*C17/50</f>
        <v>0</v>
      </c>
      <c r="AK17" s="180">
        <f>IF(F17&gt;=AM1,MAX(ROUNDDOWN(F17/AM1,0),ROUNDUP(F17/AL3,0)),IF(F17&gt;0,1,))*C17/50*0.5</f>
        <v>0</v>
      </c>
      <c r="AL17" s="180">
        <f>IF(K17&gt;=AL1,ROUNDDOWN(K17/AL1,0),IF(K17&gt;0,1,))*C17/50</f>
        <v>0</v>
      </c>
      <c r="AM17" s="180">
        <f>IF(L17&gt;=AM1,MAX(ROUNDDOWN(L17/AM1,0),ROUNDUP(L17/AL3,0)),IF(L17&gt;0,1,))*C17/50*0.5</f>
        <v>0</v>
      </c>
      <c r="AN17" s="180">
        <f>IF(Q17&gt;=AL1,ROUNDDOWN(Q17/AL1,0),IF(Q17&gt;0,1,))*C17/50</f>
        <v>0</v>
      </c>
      <c r="AO17" s="180">
        <f>IF(R17&gt;=AM1,MAX(ROUNDDOWN(R17/AM1,0),ROUNDUP(R17/AL3,0)),IF(R17&gt;0,1,))*C17/50*0.5</f>
        <v>0</v>
      </c>
      <c r="AP17" s="180">
        <f>IF(W17&gt;=AL1,ROUNDDOWN(W17/AL1,0),IF(W17&gt;0,1,))*C17/50</f>
        <v>0</v>
      </c>
      <c r="AQ17" s="180">
        <f>IF(X17&gt;=AM1,MAX(ROUNDDOWN(X17/AM1,0),ROUNDUP(X17/AL3,0)),IF(X17&gt;0,1,))*C17/50*0.5</f>
        <v>0</v>
      </c>
      <c r="AR17" s="180">
        <f>IF(AC17&gt;=AL1,ROUNDDOWN(AC17/AL1,0),IF(AC17&gt;0,1,))*C17/50</f>
        <v>0</v>
      </c>
      <c r="AS17" s="180">
        <f>IF(AD17&gt;=AM1,MAX(ROUNDDOWN(AD17/AM1,0),ROUNDUP(AD17/AL3,0)),IF(AD17&gt;0,1,))*C17/50*0.5</f>
        <v>0</v>
      </c>
      <c r="AT17" s="814">
        <f t="shared" si="5"/>
        <v>0</v>
      </c>
      <c r="AU17" s="814">
        <f t="shared" si="6"/>
        <v>0</v>
      </c>
      <c r="AV17" s="814">
        <f t="shared" si="7"/>
        <v>0</v>
      </c>
      <c r="AW17" s="814">
        <f t="shared" si="8"/>
        <v>0</v>
      </c>
      <c r="AX17" s="814">
        <f t="shared" si="9"/>
        <v>0</v>
      </c>
      <c r="AY17" s="814">
        <f t="shared" si="28"/>
        <v>0</v>
      </c>
      <c r="AZ17" s="814">
        <f t="shared" si="10"/>
        <v>0</v>
      </c>
      <c r="BA17" s="814">
        <f t="shared" si="11"/>
        <v>0</v>
      </c>
      <c r="BB17" s="814">
        <f t="shared" si="12"/>
        <v>0</v>
      </c>
      <c r="BC17" s="814">
        <f t="shared" si="13"/>
        <v>0</v>
      </c>
      <c r="BD17" s="815">
        <f t="shared" si="14"/>
        <v>0</v>
      </c>
      <c r="BE17" s="815">
        <f t="shared" si="14"/>
        <v>0</v>
      </c>
      <c r="BF17" s="815">
        <f t="shared" si="15"/>
        <v>0</v>
      </c>
      <c r="BG17" s="815">
        <f t="shared" si="15"/>
        <v>0</v>
      </c>
      <c r="BH17" s="815">
        <f t="shared" si="16"/>
        <v>0</v>
      </c>
      <c r="BI17" s="815">
        <f t="shared" si="16"/>
        <v>0</v>
      </c>
      <c r="BJ17" s="815">
        <f t="shared" si="17"/>
        <v>0</v>
      </c>
      <c r="BK17" s="815">
        <f t="shared" si="17"/>
        <v>0</v>
      </c>
      <c r="BL17" s="815">
        <f t="shared" si="18"/>
        <v>0</v>
      </c>
      <c r="BM17" s="815">
        <f t="shared" si="18"/>
        <v>0</v>
      </c>
      <c r="BN17" s="812">
        <f t="shared" si="29"/>
        <v>0</v>
      </c>
    </row>
    <row r="18" spans="1:66" ht="18" x14ac:dyDescent="0.25">
      <c r="A18" s="218">
        <f t="shared" si="19"/>
        <v>0</v>
      </c>
      <c r="B18" s="219">
        <f t="shared" si="0"/>
        <v>0</v>
      </c>
      <c r="C18" s="213">
        <f t="shared" si="20"/>
        <v>0</v>
      </c>
      <c r="D18" s="213">
        <f t="shared" si="1"/>
        <v>0</v>
      </c>
      <c r="E18" s="214"/>
      <c r="F18" s="215"/>
      <c r="G18" s="532">
        <f t="shared" si="21"/>
        <v>0</v>
      </c>
      <c r="H18" s="533">
        <f t="shared" si="21"/>
        <v>0</v>
      </c>
      <c r="I18" s="813">
        <f t="shared" si="22"/>
        <v>0</v>
      </c>
      <c r="J18" s="216"/>
      <c r="K18" s="214"/>
      <c r="L18" s="215"/>
      <c r="M18" s="532">
        <f t="shared" si="2"/>
        <v>0</v>
      </c>
      <c r="N18" s="533">
        <f t="shared" si="2"/>
        <v>0</v>
      </c>
      <c r="O18" s="813">
        <f t="shared" si="23"/>
        <v>0</v>
      </c>
      <c r="P18" s="217"/>
      <c r="Q18" s="214"/>
      <c r="R18" s="215"/>
      <c r="S18" s="532">
        <f t="shared" si="3"/>
        <v>0</v>
      </c>
      <c r="T18" s="533">
        <f t="shared" si="3"/>
        <v>0</v>
      </c>
      <c r="U18" s="813">
        <f t="shared" si="24"/>
        <v>0</v>
      </c>
      <c r="V18" s="217"/>
      <c r="W18" s="214"/>
      <c r="X18" s="215"/>
      <c r="Y18" s="532">
        <f t="shared" si="4"/>
        <v>0</v>
      </c>
      <c r="Z18" s="533">
        <f t="shared" si="4"/>
        <v>0</v>
      </c>
      <c r="AA18" s="813">
        <f t="shared" si="25"/>
        <v>0</v>
      </c>
      <c r="AB18" s="217"/>
      <c r="AC18" s="214"/>
      <c r="AD18" s="215"/>
      <c r="AE18" s="532">
        <f t="shared" si="26"/>
        <v>0</v>
      </c>
      <c r="AF18" s="533">
        <f t="shared" si="26"/>
        <v>0</v>
      </c>
      <c r="AG18" s="813">
        <f t="shared" si="27"/>
        <v>0</v>
      </c>
      <c r="AH18" s="217"/>
      <c r="AJ18" s="180">
        <f>IF(E18&gt;=AL1,ROUNDDOWN(E18/AL1,0),IF(E18&gt;0,1,))*C18/50</f>
        <v>0</v>
      </c>
      <c r="AK18" s="180">
        <f>IF(F18&gt;=AM1,MAX(ROUNDDOWN(F18/AM1,0),ROUNDUP(F18/AL3,0)),IF(F18&gt;0,1,))*C18/50*0.5</f>
        <v>0</v>
      </c>
      <c r="AL18" s="180">
        <f>IF(K18&gt;=AL1,ROUNDDOWN(K18/AL1,0),IF(K18&gt;0,1,))*C18/50</f>
        <v>0</v>
      </c>
      <c r="AM18" s="180">
        <f>IF(L18&gt;=AM1,MAX(ROUNDDOWN(L18/AM1,0),ROUNDUP(L18/AL3,0)),IF(L18&gt;0,1,))*C18/50*0.5</f>
        <v>0</v>
      </c>
      <c r="AN18" s="180">
        <f>IF(Q18&gt;=AL1,ROUNDDOWN(Q18/AL1,0),IF(Q18&gt;0,1,))*C18/50</f>
        <v>0</v>
      </c>
      <c r="AO18" s="180">
        <f>IF(R18&gt;=AM1,MAX(ROUNDDOWN(R18/AM1,0),ROUNDUP(R18/AL3,0)),IF(R18&gt;0,1,))*C18/50*0.5</f>
        <v>0</v>
      </c>
      <c r="AP18" s="180">
        <f>IF(W18&gt;=AL1,ROUNDDOWN(W18/AL1,0),IF(W18&gt;0,1,))*C18/50</f>
        <v>0</v>
      </c>
      <c r="AQ18" s="180">
        <f>IF(X18&gt;=AM1,MAX(ROUNDDOWN(X18/AM1,0),ROUNDUP(X18/AL3,0)),IF(X18&gt;0,1,))*C18/50*0.5</f>
        <v>0</v>
      </c>
      <c r="AR18" s="180">
        <f>IF(AC18&gt;=AL1,ROUNDDOWN(AC18/AL1,0),IF(AC18&gt;0,1,))*C18/50</f>
        <v>0</v>
      </c>
      <c r="AS18" s="180">
        <f>IF(AD18&gt;=AM1,MAX(ROUNDDOWN(AD18/AM1,0),ROUNDUP(AD18/AL3,0)),IF(AD18&gt;0,1,))*C18/50*0.5</f>
        <v>0</v>
      </c>
      <c r="AT18" s="814">
        <f t="shared" si="5"/>
        <v>0</v>
      </c>
      <c r="AU18" s="814">
        <f t="shared" si="6"/>
        <v>0</v>
      </c>
      <c r="AV18" s="814">
        <f t="shared" si="7"/>
        <v>0</v>
      </c>
      <c r="AW18" s="814">
        <f t="shared" si="8"/>
        <v>0</v>
      </c>
      <c r="AX18" s="814">
        <f t="shared" si="9"/>
        <v>0</v>
      </c>
      <c r="AY18" s="814">
        <f t="shared" si="28"/>
        <v>0</v>
      </c>
      <c r="AZ18" s="814">
        <f t="shared" si="10"/>
        <v>0</v>
      </c>
      <c r="BA18" s="814">
        <f t="shared" si="11"/>
        <v>0</v>
      </c>
      <c r="BB18" s="814">
        <f t="shared" si="12"/>
        <v>0</v>
      </c>
      <c r="BC18" s="814">
        <f t="shared" si="13"/>
        <v>0</v>
      </c>
      <c r="BD18" s="815">
        <f t="shared" si="14"/>
        <v>0</v>
      </c>
      <c r="BE18" s="815">
        <f t="shared" si="14"/>
        <v>0</v>
      </c>
      <c r="BF18" s="815">
        <f t="shared" si="15"/>
        <v>0</v>
      </c>
      <c r="BG18" s="815">
        <f t="shared" si="15"/>
        <v>0</v>
      </c>
      <c r="BH18" s="815">
        <f t="shared" si="16"/>
        <v>0</v>
      </c>
      <c r="BI18" s="815">
        <f t="shared" si="16"/>
        <v>0</v>
      </c>
      <c r="BJ18" s="815">
        <f t="shared" si="17"/>
        <v>0</v>
      </c>
      <c r="BK18" s="815">
        <f t="shared" si="17"/>
        <v>0</v>
      </c>
      <c r="BL18" s="815">
        <f t="shared" si="18"/>
        <v>0</v>
      </c>
      <c r="BM18" s="815">
        <f t="shared" si="18"/>
        <v>0</v>
      </c>
      <c r="BN18" s="812">
        <f t="shared" si="29"/>
        <v>0</v>
      </c>
    </row>
    <row r="19" spans="1:66" ht="18" x14ac:dyDescent="0.25">
      <c r="A19" s="218">
        <f t="shared" si="19"/>
        <v>0</v>
      </c>
      <c r="B19" s="219">
        <f t="shared" si="0"/>
        <v>0</v>
      </c>
      <c r="C19" s="213">
        <f>ROUND((B19-A19)*24*60,1)</f>
        <v>0</v>
      </c>
      <c r="D19" s="213">
        <f>IF(A19&gt;0,"= "&amp;C19&amp;" min",)</f>
        <v>0</v>
      </c>
      <c r="E19" s="214"/>
      <c r="F19" s="215"/>
      <c r="G19" s="532">
        <f t="shared" si="21"/>
        <v>0</v>
      </c>
      <c r="H19" s="533">
        <f t="shared" si="21"/>
        <v>0</v>
      </c>
      <c r="I19" s="813">
        <f t="shared" si="22"/>
        <v>0</v>
      </c>
      <c r="J19" s="216"/>
      <c r="K19" s="214"/>
      <c r="L19" s="215"/>
      <c r="M19" s="532">
        <f t="shared" si="2"/>
        <v>0</v>
      </c>
      <c r="N19" s="533">
        <f t="shared" si="2"/>
        <v>0</v>
      </c>
      <c r="O19" s="813">
        <f t="shared" si="23"/>
        <v>0</v>
      </c>
      <c r="P19" s="217"/>
      <c r="Q19" s="214"/>
      <c r="R19" s="215"/>
      <c r="S19" s="532">
        <f t="shared" si="3"/>
        <v>0</v>
      </c>
      <c r="T19" s="533">
        <f t="shared" si="3"/>
        <v>0</v>
      </c>
      <c r="U19" s="813">
        <f t="shared" si="24"/>
        <v>0</v>
      </c>
      <c r="V19" s="217"/>
      <c r="W19" s="214"/>
      <c r="X19" s="215"/>
      <c r="Y19" s="532">
        <f t="shared" si="4"/>
        <v>0</v>
      </c>
      <c r="Z19" s="533">
        <f t="shared" si="4"/>
        <v>0</v>
      </c>
      <c r="AA19" s="813">
        <f t="shared" si="25"/>
        <v>0</v>
      </c>
      <c r="AB19" s="217"/>
      <c r="AC19" s="214"/>
      <c r="AD19" s="215"/>
      <c r="AE19" s="532">
        <f t="shared" si="26"/>
        <v>0</v>
      </c>
      <c r="AF19" s="533">
        <f t="shared" si="26"/>
        <v>0</v>
      </c>
      <c r="AG19" s="813">
        <f t="shared" si="27"/>
        <v>0</v>
      </c>
      <c r="AH19" s="217"/>
      <c r="AJ19" s="180">
        <f>IF(E19&gt;=AL1,ROUNDDOWN(E19/AL1,0),IF(E19&gt;0,1,))*C19/50</f>
        <v>0</v>
      </c>
      <c r="AK19" s="180">
        <f>IF(F19&gt;=AM1,MAX(ROUNDDOWN(F19/AM1,0),ROUNDUP(F19/AL3,0)),IF(F19&gt;0,1,))*C19/50*0.5</f>
        <v>0</v>
      </c>
      <c r="AL19" s="180">
        <f>IF(K19&gt;=AL1,ROUNDDOWN(K19/AL1,0),IF(K19&gt;0,1,))*C19/50</f>
        <v>0</v>
      </c>
      <c r="AM19" s="180">
        <f>IF(L19&gt;=AM1,MAX(ROUNDDOWN(L19/AM1,0),ROUNDUP(L19/AL3,0)),IF(L19&gt;0,1,))*C19/50*0.5</f>
        <v>0</v>
      </c>
      <c r="AN19" s="180">
        <f>IF(Q19&gt;=AL1,ROUNDDOWN(Q19/AL1,0),IF(Q19&gt;0,1,))*C19/50</f>
        <v>0</v>
      </c>
      <c r="AO19" s="180">
        <f>IF(R19&gt;=AM1,MAX(ROUNDDOWN(R19/AM1,0),ROUNDUP(R19/AL3,0)),IF(R19&gt;0,1,))*C19/50*0.5</f>
        <v>0</v>
      </c>
      <c r="AP19" s="180">
        <f>IF(W19&gt;=AL1,ROUNDDOWN(W19/AL1,0),IF(W19&gt;0,1,))*C19/50</f>
        <v>0</v>
      </c>
      <c r="AQ19" s="180">
        <f>IF(X19&gt;=AM1,MAX(ROUNDDOWN(X19/AM1,0),ROUNDUP(X19/AL3,0)),IF(X19&gt;0,1,))*C19/50*0.5</f>
        <v>0</v>
      </c>
      <c r="AR19" s="180">
        <f>IF(AC19&gt;=AL1,ROUNDDOWN(AC19/AL1,0),IF(AC19&gt;0,1,))*C19/50</f>
        <v>0</v>
      </c>
      <c r="AS19" s="180">
        <f>IF(AD19&gt;=AM1,MAX(ROUNDDOWN(AD19/AM1,0),ROUNDUP(AD19/AL3,0)),IF(AD19&gt;0,1,))*C19/50*0.5</f>
        <v>0</v>
      </c>
      <c r="AT19" s="814">
        <f t="shared" si="5"/>
        <v>0</v>
      </c>
      <c r="AU19" s="814">
        <f t="shared" si="6"/>
        <v>0</v>
      </c>
      <c r="AV19" s="814">
        <f t="shared" si="7"/>
        <v>0</v>
      </c>
      <c r="AW19" s="814">
        <f t="shared" si="8"/>
        <v>0</v>
      </c>
      <c r="AX19" s="814">
        <f t="shared" si="9"/>
        <v>0</v>
      </c>
      <c r="AY19" s="814">
        <f t="shared" si="28"/>
        <v>0</v>
      </c>
      <c r="AZ19" s="814">
        <f t="shared" si="10"/>
        <v>0</v>
      </c>
      <c r="BA19" s="814">
        <f t="shared" si="11"/>
        <v>0</v>
      </c>
      <c r="BB19" s="814">
        <f t="shared" si="12"/>
        <v>0</v>
      </c>
      <c r="BC19" s="814">
        <f t="shared" si="13"/>
        <v>0</v>
      </c>
      <c r="BD19" s="815">
        <f t="shared" si="14"/>
        <v>0</v>
      </c>
      <c r="BE19" s="815">
        <f t="shared" si="14"/>
        <v>0</v>
      </c>
      <c r="BF19" s="815">
        <f t="shared" si="15"/>
        <v>0</v>
      </c>
      <c r="BG19" s="815">
        <f t="shared" si="15"/>
        <v>0</v>
      </c>
      <c r="BH19" s="815">
        <f t="shared" si="16"/>
        <v>0</v>
      </c>
      <c r="BI19" s="815">
        <f t="shared" si="16"/>
        <v>0</v>
      </c>
      <c r="BJ19" s="815">
        <f t="shared" si="17"/>
        <v>0</v>
      </c>
      <c r="BK19" s="815">
        <f t="shared" si="17"/>
        <v>0</v>
      </c>
      <c r="BL19" s="815">
        <f t="shared" si="18"/>
        <v>0</v>
      </c>
      <c r="BM19" s="815">
        <f t="shared" si="18"/>
        <v>0</v>
      </c>
      <c r="BN19" s="812">
        <f t="shared" si="29"/>
        <v>0</v>
      </c>
    </row>
    <row r="20" spans="1:66" ht="18" x14ac:dyDescent="0.25">
      <c r="A20" s="218">
        <f t="shared" si="19"/>
        <v>0</v>
      </c>
      <c r="B20" s="219">
        <f t="shared" si="0"/>
        <v>0</v>
      </c>
      <c r="C20" s="213">
        <f>ROUND((B20-A20)*24*60,1)</f>
        <v>0</v>
      </c>
      <c r="D20" s="213">
        <f>IF(A20&gt;0,"= "&amp;C20&amp;" min",)</f>
        <v>0</v>
      </c>
      <c r="E20" s="214"/>
      <c r="F20" s="215"/>
      <c r="G20" s="532">
        <f t="shared" si="21"/>
        <v>0</v>
      </c>
      <c r="H20" s="533">
        <f t="shared" si="21"/>
        <v>0</v>
      </c>
      <c r="I20" s="813">
        <f t="shared" si="22"/>
        <v>0</v>
      </c>
      <c r="J20" s="216"/>
      <c r="K20" s="214"/>
      <c r="L20" s="215"/>
      <c r="M20" s="532">
        <f t="shared" si="2"/>
        <v>0</v>
      </c>
      <c r="N20" s="533">
        <f t="shared" si="2"/>
        <v>0</v>
      </c>
      <c r="O20" s="813">
        <f t="shared" si="23"/>
        <v>0</v>
      </c>
      <c r="P20" s="217"/>
      <c r="Q20" s="214"/>
      <c r="R20" s="215"/>
      <c r="S20" s="532">
        <f t="shared" si="3"/>
        <v>0</v>
      </c>
      <c r="T20" s="533">
        <f t="shared" si="3"/>
        <v>0</v>
      </c>
      <c r="U20" s="813">
        <f t="shared" si="24"/>
        <v>0</v>
      </c>
      <c r="V20" s="217"/>
      <c r="W20" s="214"/>
      <c r="X20" s="215"/>
      <c r="Y20" s="532">
        <f t="shared" si="4"/>
        <v>0</v>
      </c>
      <c r="Z20" s="533">
        <f t="shared" si="4"/>
        <v>0</v>
      </c>
      <c r="AA20" s="813">
        <f t="shared" si="25"/>
        <v>0</v>
      </c>
      <c r="AB20" s="217"/>
      <c r="AC20" s="214"/>
      <c r="AD20" s="215"/>
      <c r="AE20" s="532">
        <f t="shared" si="26"/>
        <v>0</v>
      </c>
      <c r="AF20" s="533">
        <f t="shared" si="26"/>
        <v>0</v>
      </c>
      <c r="AG20" s="813">
        <f t="shared" si="27"/>
        <v>0</v>
      </c>
      <c r="AH20" s="217"/>
      <c r="AJ20" s="180">
        <f>IF(E20&gt;=AL1,ROUNDDOWN(E20/AL1,0),IF(E20&gt;0,1,))*C20/50</f>
        <v>0</v>
      </c>
      <c r="AK20" s="180">
        <f>IF(F20&gt;=AM1,MAX(ROUNDDOWN(F20/AM1,0),ROUNDUP(F20/AL3,0)),IF(F20&gt;0,1,))*C20/50*0.5</f>
        <v>0</v>
      </c>
      <c r="AL20" s="180">
        <f>IF(K20&gt;=AL1,ROUNDDOWN(K20/AL1,0),IF(K20&gt;0,1,))*C20/50</f>
        <v>0</v>
      </c>
      <c r="AM20" s="180">
        <f>IF(L20&gt;=AM1,MAX(ROUNDDOWN(L20/AM1,0),ROUNDUP(L20/AL3,0)),IF(L20&gt;0,1,))*C20/50*0.5</f>
        <v>0</v>
      </c>
      <c r="AN20" s="180">
        <f>IF(Q20&gt;=AL1,ROUNDDOWN(Q20/AL1,0),IF(Q20&gt;0,1,))*C20/50</f>
        <v>0</v>
      </c>
      <c r="AO20" s="180">
        <f>IF(R20&gt;=AM1,MAX(ROUNDDOWN(R20/AM1,0),ROUNDUP(R20/AL3,0)),IF(R20&gt;0,1,))*C20/50*0.5</f>
        <v>0</v>
      </c>
      <c r="AP20" s="180">
        <f>IF(W20&gt;=AL1,ROUNDDOWN(W20/AL1,0),IF(W20&gt;0,1,))*C20/50</f>
        <v>0</v>
      </c>
      <c r="AQ20" s="180">
        <f>IF(X20&gt;=AM1,MAX(ROUNDDOWN(X20/AM1,0),ROUNDUP(X20/AL3,0)),IF(X20&gt;0,1,))*C20/50*0.5</f>
        <v>0</v>
      </c>
      <c r="AR20" s="180">
        <f>IF(AC20&gt;=AL1,ROUNDDOWN(AC20/AL1,0),IF(AC20&gt;0,1,))*C20/50</f>
        <v>0</v>
      </c>
      <c r="AS20" s="180">
        <f>IF(AD20&gt;=AM1,MAX(ROUNDDOWN(AD20/AM1,0),ROUNDUP(AD20/AL3,0)),IF(AD20&gt;0,1,))*C20/50*0.5</f>
        <v>0</v>
      </c>
      <c r="AT20" s="814">
        <f t="shared" si="5"/>
        <v>0</v>
      </c>
      <c r="AU20" s="814">
        <f t="shared" si="6"/>
        <v>0</v>
      </c>
      <c r="AV20" s="814">
        <f t="shared" si="7"/>
        <v>0</v>
      </c>
      <c r="AW20" s="814">
        <f t="shared" si="8"/>
        <v>0</v>
      </c>
      <c r="AX20" s="814">
        <f t="shared" si="9"/>
        <v>0</v>
      </c>
      <c r="AY20" s="814">
        <f t="shared" si="28"/>
        <v>0</v>
      </c>
      <c r="AZ20" s="814">
        <f t="shared" si="10"/>
        <v>0</v>
      </c>
      <c r="BA20" s="814">
        <f t="shared" si="11"/>
        <v>0</v>
      </c>
      <c r="BB20" s="814">
        <f t="shared" si="12"/>
        <v>0</v>
      </c>
      <c r="BC20" s="814">
        <f t="shared" si="13"/>
        <v>0</v>
      </c>
      <c r="BD20" s="815">
        <f t="shared" si="14"/>
        <v>0</v>
      </c>
      <c r="BE20" s="815">
        <f t="shared" si="14"/>
        <v>0</v>
      </c>
      <c r="BF20" s="815">
        <f t="shared" si="15"/>
        <v>0</v>
      </c>
      <c r="BG20" s="815">
        <f t="shared" si="15"/>
        <v>0</v>
      </c>
      <c r="BH20" s="815">
        <f t="shared" si="16"/>
        <v>0</v>
      </c>
      <c r="BI20" s="815">
        <f t="shared" si="16"/>
        <v>0</v>
      </c>
      <c r="BJ20" s="815">
        <f t="shared" si="17"/>
        <v>0</v>
      </c>
      <c r="BK20" s="815">
        <f t="shared" si="17"/>
        <v>0</v>
      </c>
      <c r="BL20" s="815">
        <f t="shared" si="18"/>
        <v>0</v>
      </c>
      <c r="BM20" s="815">
        <f t="shared" si="18"/>
        <v>0</v>
      </c>
      <c r="BN20" s="812">
        <f t="shared" si="29"/>
        <v>0</v>
      </c>
    </row>
    <row r="21" spans="1:66" ht="18" x14ac:dyDescent="0.25">
      <c r="A21" s="218">
        <f t="shared" si="19"/>
        <v>0</v>
      </c>
      <c r="B21" s="219">
        <f t="shared" si="0"/>
        <v>0</v>
      </c>
      <c r="C21" s="213">
        <f>ROUND((B21-A21)*24*60,1)</f>
        <v>0</v>
      </c>
      <c r="D21" s="213">
        <f>IF(A21&gt;0,"= "&amp;C21&amp;" min",)</f>
        <v>0</v>
      </c>
      <c r="E21" s="214"/>
      <c r="F21" s="215"/>
      <c r="G21" s="532">
        <f t="shared" si="21"/>
        <v>0</v>
      </c>
      <c r="H21" s="533">
        <f t="shared" si="21"/>
        <v>0</v>
      </c>
      <c r="I21" s="813">
        <f t="shared" si="22"/>
        <v>0</v>
      </c>
      <c r="J21" s="216"/>
      <c r="K21" s="214"/>
      <c r="L21" s="215"/>
      <c r="M21" s="532">
        <f t="shared" si="2"/>
        <v>0</v>
      </c>
      <c r="N21" s="533">
        <f t="shared" si="2"/>
        <v>0</v>
      </c>
      <c r="O21" s="813">
        <f t="shared" si="23"/>
        <v>0</v>
      </c>
      <c r="P21" s="217"/>
      <c r="Q21" s="214"/>
      <c r="R21" s="215"/>
      <c r="S21" s="532">
        <f t="shared" si="3"/>
        <v>0</v>
      </c>
      <c r="T21" s="533">
        <f t="shared" si="3"/>
        <v>0</v>
      </c>
      <c r="U21" s="813">
        <f t="shared" si="24"/>
        <v>0</v>
      </c>
      <c r="V21" s="217"/>
      <c r="W21" s="214"/>
      <c r="X21" s="215"/>
      <c r="Y21" s="532">
        <f t="shared" si="4"/>
        <v>0</v>
      </c>
      <c r="Z21" s="533">
        <f t="shared" si="4"/>
        <v>0</v>
      </c>
      <c r="AA21" s="813">
        <f t="shared" si="25"/>
        <v>0</v>
      </c>
      <c r="AB21" s="217"/>
      <c r="AC21" s="214"/>
      <c r="AD21" s="215"/>
      <c r="AE21" s="532">
        <f t="shared" si="26"/>
        <v>0</v>
      </c>
      <c r="AF21" s="533">
        <f t="shared" si="26"/>
        <v>0</v>
      </c>
      <c r="AG21" s="813">
        <f t="shared" si="27"/>
        <v>0</v>
      </c>
      <c r="AH21" s="217"/>
      <c r="AJ21" s="180">
        <f>IF(E21&gt;=AL1,ROUNDDOWN(E21/AL1,0),IF(E21&gt;0,1,))*C21/50</f>
        <v>0</v>
      </c>
      <c r="AK21" s="180">
        <f>IF(F21&gt;=AM1,MAX(ROUNDDOWN(F21/AM1,0),ROUNDUP(F21/AL3,0)),IF(F21&gt;0,1,))*C21/50*0.5</f>
        <v>0</v>
      </c>
      <c r="AL21" s="180">
        <f>IF(K21&gt;=AL1,ROUNDDOWN(K21/AL1,0),IF(K21&gt;0,1,))*C21/50</f>
        <v>0</v>
      </c>
      <c r="AM21" s="180">
        <f>IF(L21&gt;=AM1,MAX(ROUNDDOWN(L21/AM1,0),ROUNDUP(L21/AL3,0)),IF(L21&gt;0,1,))*C21/50*0.5</f>
        <v>0</v>
      </c>
      <c r="AN21" s="180">
        <f>IF(Q21&gt;=AL1,ROUNDDOWN(Q21/AL1,0),IF(Q21&gt;0,1,))*C21/50</f>
        <v>0</v>
      </c>
      <c r="AO21" s="180">
        <f>IF(R21&gt;=AM1,MAX(ROUNDDOWN(R21/AM1,0),ROUNDUP(R21/AL3,0)),IF(R21&gt;0,1,))*C21/50*0.5</f>
        <v>0</v>
      </c>
      <c r="AP21" s="180">
        <f>IF(W21&gt;=AL1,ROUNDDOWN(W21/AL1,0),IF(W21&gt;0,1,))*C21/50</f>
        <v>0</v>
      </c>
      <c r="AQ21" s="180">
        <f>IF(X21&gt;=AM1,MAX(ROUNDDOWN(X21/AM1,0),ROUNDUP(X21/AL3,0)),IF(X21&gt;0,1,))*C21/50*0.5</f>
        <v>0</v>
      </c>
      <c r="AR21" s="180">
        <f>IF(AC21&gt;=AL1,ROUNDDOWN(AC21/AL1,0),IF(AC21&gt;0,1,))*C21/50</f>
        <v>0</v>
      </c>
      <c r="AS21" s="180">
        <f>IF(AD21&gt;=AM1,MAX(ROUNDDOWN(AD21/AM1,0),ROUNDUP(AD21/AL3,0)),IF(AD21&gt;0,1,))*C21/50*0.5</f>
        <v>0</v>
      </c>
      <c r="AT21" s="814">
        <f t="shared" si="5"/>
        <v>0</v>
      </c>
      <c r="AU21" s="814">
        <f t="shared" si="6"/>
        <v>0</v>
      </c>
      <c r="AV21" s="814">
        <f t="shared" si="7"/>
        <v>0</v>
      </c>
      <c r="AW21" s="814">
        <f t="shared" si="8"/>
        <v>0</v>
      </c>
      <c r="AX21" s="814">
        <f t="shared" si="9"/>
        <v>0</v>
      </c>
      <c r="AY21" s="814">
        <f t="shared" si="28"/>
        <v>0</v>
      </c>
      <c r="AZ21" s="814">
        <f t="shared" si="10"/>
        <v>0</v>
      </c>
      <c r="BA21" s="814">
        <f t="shared" si="11"/>
        <v>0</v>
      </c>
      <c r="BB21" s="814">
        <f t="shared" si="12"/>
        <v>0</v>
      </c>
      <c r="BC21" s="814">
        <f t="shared" si="13"/>
        <v>0</v>
      </c>
      <c r="BD21" s="815">
        <f t="shared" si="14"/>
        <v>0</v>
      </c>
      <c r="BE21" s="815">
        <f t="shared" si="14"/>
        <v>0</v>
      </c>
      <c r="BF21" s="815">
        <f t="shared" si="15"/>
        <v>0</v>
      </c>
      <c r="BG21" s="815">
        <f t="shared" si="15"/>
        <v>0</v>
      </c>
      <c r="BH21" s="815">
        <f t="shared" si="16"/>
        <v>0</v>
      </c>
      <c r="BI21" s="815">
        <f t="shared" si="16"/>
        <v>0</v>
      </c>
      <c r="BJ21" s="815">
        <f t="shared" si="17"/>
        <v>0</v>
      </c>
      <c r="BK21" s="815">
        <f t="shared" si="17"/>
        <v>0</v>
      </c>
      <c r="BL21" s="815">
        <f t="shared" si="18"/>
        <v>0</v>
      </c>
      <c r="BM21" s="815">
        <f t="shared" si="18"/>
        <v>0</v>
      </c>
      <c r="BN21" s="812">
        <f t="shared" si="29"/>
        <v>0</v>
      </c>
    </row>
    <row r="22" spans="1:66" ht="18" x14ac:dyDescent="0.25">
      <c r="A22" s="218">
        <f t="shared" si="19"/>
        <v>0</v>
      </c>
      <c r="B22" s="219">
        <f t="shared" si="0"/>
        <v>0</v>
      </c>
      <c r="C22" s="213">
        <f t="shared" si="20"/>
        <v>0</v>
      </c>
      <c r="D22" s="213">
        <f t="shared" si="1"/>
        <v>0</v>
      </c>
      <c r="E22" s="214"/>
      <c r="F22" s="215"/>
      <c r="G22" s="532">
        <f t="shared" si="21"/>
        <v>0</v>
      </c>
      <c r="H22" s="533">
        <f t="shared" si="21"/>
        <v>0</v>
      </c>
      <c r="I22" s="813">
        <f t="shared" si="22"/>
        <v>0</v>
      </c>
      <c r="J22" s="216"/>
      <c r="K22" s="214"/>
      <c r="L22" s="215"/>
      <c r="M22" s="532">
        <f t="shared" si="2"/>
        <v>0</v>
      </c>
      <c r="N22" s="533">
        <f t="shared" si="2"/>
        <v>0</v>
      </c>
      <c r="O22" s="813">
        <f t="shared" si="23"/>
        <v>0</v>
      </c>
      <c r="P22" s="217"/>
      <c r="Q22" s="214"/>
      <c r="R22" s="215"/>
      <c r="S22" s="532">
        <f t="shared" si="3"/>
        <v>0</v>
      </c>
      <c r="T22" s="533">
        <f t="shared" si="3"/>
        <v>0</v>
      </c>
      <c r="U22" s="813">
        <f t="shared" si="24"/>
        <v>0</v>
      </c>
      <c r="V22" s="217"/>
      <c r="W22" s="214"/>
      <c r="X22" s="215"/>
      <c r="Y22" s="532">
        <f t="shared" si="4"/>
        <v>0</v>
      </c>
      <c r="Z22" s="533">
        <f t="shared" si="4"/>
        <v>0</v>
      </c>
      <c r="AA22" s="813">
        <f t="shared" si="25"/>
        <v>0</v>
      </c>
      <c r="AB22" s="217"/>
      <c r="AC22" s="214"/>
      <c r="AD22" s="215"/>
      <c r="AE22" s="532">
        <f t="shared" si="26"/>
        <v>0</v>
      </c>
      <c r="AF22" s="533">
        <f t="shared" si="26"/>
        <v>0</v>
      </c>
      <c r="AG22" s="813">
        <f t="shared" si="27"/>
        <v>0</v>
      </c>
      <c r="AH22" s="217"/>
      <c r="AJ22" s="180">
        <f>IF(E22&gt;=AL1,ROUNDDOWN(E22/AL1,0),IF(E22&gt;0,1,))*C22/50</f>
        <v>0</v>
      </c>
      <c r="AK22" s="180">
        <f>IF(F22&gt;=AM1,MAX(ROUNDDOWN(F22/AM1,0),ROUNDUP(F22/AL3,0)),IF(F22&gt;0,1,))*C22/50*0.5</f>
        <v>0</v>
      </c>
      <c r="AL22" s="180">
        <f>IF(K22&gt;=AL1,ROUNDDOWN(K22/AL1,0),IF(K22&gt;0,1,))*C22/50</f>
        <v>0</v>
      </c>
      <c r="AM22" s="180">
        <f>IF(L22&gt;=AM1,MAX(ROUNDDOWN(L22/AM1,0),ROUNDUP(L22/AL3,0)),IF(L22&gt;0,1,))*C22/50*0.5</f>
        <v>0</v>
      </c>
      <c r="AN22" s="180">
        <f>IF(Q22&gt;=AL1,ROUNDDOWN(Q22/AL1,0),IF(Q22&gt;0,1,))*C22/50</f>
        <v>0</v>
      </c>
      <c r="AO22" s="180">
        <f>IF(R22&gt;=AM1,MAX(ROUNDDOWN(R22/AM1,0),ROUNDUP(R22/AL3,0)),IF(R22&gt;0,1,))*C22/50*0.5</f>
        <v>0</v>
      </c>
      <c r="AP22" s="180">
        <f>IF(W22&gt;=AL1,ROUNDDOWN(W22/AL1,0),IF(W22&gt;0,1,))*C22/50</f>
        <v>0</v>
      </c>
      <c r="AQ22" s="180">
        <f>IF(X22&gt;=AM1,MAX(ROUNDDOWN(X22/AM1,0),ROUNDUP(X22/AL3,0)),IF(X22&gt;0,1,))*C22/50*0.5</f>
        <v>0</v>
      </c>
      <c r="AR22" s="180">
        <f>IF(AC22&gt;=AL1,ROUNDDOWN(AC22/AL1,0),IF(AC22&gt;0,1,))*C22/50</f>
        <v>0</v>
      </c>
      <c r="AS22" s="180">
        <f>IF(AD22&gt;=AM1,MAX(ROUNDDOWN(AD22/AM1,0),ROUNDUP(AD22/AL3,0)),IF(AD22&gt;0,1,))*C22/50*0.5</f>
        <v>0</v>
      </c>
      <c r="AT22" s="814">
        <f t="shared" si="5"/>
        <v>0</v>
      </c>
      <c r="AU22" s="814">
        <f t="shared" si="6"/>
        <v>0</v>
      </c>
      <c r="AV22" s="814">
        <f t="shared" si="7"/>
        <v>0</v>
      </c>
      <c r="AW22" s="814">
        <f t="shared" si="8"/>
        <v>0</v>
      </c>
      <c r="AX22" s="814">
        <f t="shared" si="9"/>
        <v>0</v>
      </c>
      <c r="AY22" s="814">
        <f>IF(R22&gt;=$AM$1,ROUNDDOWN(R22/$AM$1,0),IF(R22&gt;0,1,))</f>
        <v>0</v>
      </c>
      <c r="AZ22" s="814">
        <f t="shared" si="10"/>
        <v>0</v>
      </c>
      <c r="BA22" s="814">
        <f t="shared" si="11"/>
        <v>0</v>
      </c>
      <c r="BB22" s="814">
        <f t="shared" si="12"/>
        <v>0</v>
      </c>
      <c r="BC22" s="814">
        <f t="shared" si="13"/>
        <v>0</v>
      </c>
      <c r="BD22" s="815">
        <f t="shared" si="14"/>
        <v>0</v>
      </c>
      <c r="BE22" s="815">
        <f t="shared" si="14"/>
        <v>0</v>
      </c>
      <c r="BF22" s="815">
        <f t="shared" si="15"/>
        <v>0</v>
      </c>
      <c r="BG22" s="815">
        <f t="shared" si="15"/>
        <v>0</v>
      </c>
      <c r="BH22" s="815">
        <f t="shared" si="16"/>
        <v>0</v>
      </c>
      <c r="BI22" s="815">
        <f t="shared" si="16"/>
        <v>0</v>
      </c>
      <c r="BJ22" s="815">
        <f t="shared" si="17"/>
        <v>0</v>
      </c>
      <c r="BK22" s="815">
        <f t="shared" si="17"/>
        <v>0</v>
      </c>
      <c r="BL22" s="815">
        <f t="shared" si="18"/>
        <v>0</v>
      </c>
      <c r="BM22" s="815">
        <f t="shared" si="18"/>
        <v>0</v>
      </c>
      <c r="BN22" s="812">
        <f t="shared" si="29"/>
        <v>0</v>
      </c>
    </row>
    <row r="23" spans="1:66" ht="18" x14ac:dyDescent="0.25">
      <c r="A23" s="220">
        <f t="shared" si="19"/>
        <v>0</v>
      </c>
      <c r="B23" s="221">
        <f t="shared" si="0"/>
        <v>0</v>
      </c>
      <c r="C23" s="213">
        <f t="shared" si="20"/>
        <v>0</v>
      </c>
      <c r="D23" s="213">
        <f t="shared" si="1"/>
        <v>0</v>
      </c>
      <c r="E23" s="534"/>
      <c r="F23" s="535"/>
      <c r="G23" s="536">
        <f t="shared" si="21"/>
        <v>0</v>
      </c>
      <c r="H23" s="537">
        <f t="shared" si="21"/>
        <v>0</v>
      </c>
      <c r="I23" s="816">
        <f t="shared" si="22"/>
        <v>0</v>
      </c>
      <c r="J23" s="216"/>
      <c r="K23" s="534"/>
      <c r="L23" s="535"/>
      <c r="M23" s="536">
        <f t="shared" si="2"/>
        <v>0</v>
      </c>
      <c r="N23" s="537">
        <f t="shared" si="2"/>
        <v>0</v>
      </c>
      <c r="O23" s="816">
        <f t="shared" si="23"/>
        <v>0</v>
      </c>
      <c r="P23" s="217"/>
      <c r="Q23" s="534"/>
      <c r="R23" s="535"/>
      <c r="S23" s="536">
        <f t="shared" si="3"/>
        <v>0</v>
      </c>
      <c r="T23" s="537">
        <f t="shared" si="3"/>
        <v>0</v>
      </c>
      <c r="U23" s="816">
        <f t="shared" si="24"/>
        <v>0</v>
      </c>
      <c r="V23" s="217"/>
      <c r="W23" s="534"/>
      <c r="X23" s="535"/>
      <c r="Y23" s="536">
        <f t="shared" si="4"/>
        <v>0</v>
      </c>
      <c r="Z23" s="537">
        <f t="shared" si="4"/>
        <v>0</v>
      </c>
      <c r="AA23" s="816">
        <f t="shared" si="25"/>
        <v>0</v>
      </c>
      <c r="AB23" s="217"/>
      <c r="AC23" s="534"/>
      <c r="AD23" s="535"/>
      <c r="AE23" s="536">
        <f t="shared" si="26"/>
        <v>0</v>
      </c>
      <c r="AF23" s="537">
        <f t="shared" si="26"/>
        <v>0</v>
      </c>
      <c r="AG23" s="816">
        <f t="shared" si="27"/>
        <v>0</v>
      </c>
      <c r="AH23" s="217"/>
      <c r="AJ23" s="180">
        <f>IF(E23&gt;=AL1,ROUNDDOWN(E23/AL1,0),IF(E23&gt;0,1,))*C23/50</f>
        <v>0</v>
      </c>
      <c r="AK23" s="180">
        <f>IF(F23&gt;=AM1,MAX(ROUNDDOWN(F23/AM1,0),ROUNDUP(F23/AL3,0)),IF(F23&gt;0,1,))*C23/50*0.5</f>
        <v>0</v>
      </c>
      <c r="AL23" s="180">
        <f>IF(K23&gt;=AL1,ROUNDDOWN(K23/AL1,0),IF(K23&gt;0,1,))*C23/50</f>
        <v>0</v>
      </c>
      <c r="AM23" s="180">
        <f>IF(L23&gt;=AM1,MAX(ROUNDDOWN(L23/AM1,0),ROUNDUP(L23/AL3,0)),IF(L23&gt;0,1,))*C23/50*0.5</f>
        <v>0</v>
      </c>
      <c r="AN23" s="180">
        <f>IF(Q23&gt;=AL1,ROUNDDOWN(Q23/AL1,0),IF(Q23&gt;0,1,))*C23/50</f>
        <v>0</v>
      </c>
      <c r="AO23" s="180">
        <f>IF(R23&gt;=AM1,MAX(ROUNDDOWN(R23/AM1,0),ROUNDUP(R23/AL3,0)),IF(R23&gt;0,1,))*C23/50*0.5</f>
        <v>0</v>
      </c>
      <c r="AP23" s="180">
        <f>IF(W23&gt;=AL1,ROUNDDOWN(W23/AL1,0),IF(W23&gt;0,1,))*C23/50</f>
        <v>0</v>
      </c>
      <c r="AQ23" s="180">
        <f>IF(X23&gt;=AM1,MAX(ROUNDDOWN(X23/AM1,0),ROUNDUP(X23/AL3,0)),IF(X23&gt;0,1,))*C23/50*0.5</f>
        <v>0</v>
      </c>
      <c r="AR23" s="180">
        <f>IF(AC23&gt;=AL1,ROUNDDOWN(AC23/AL1,0),IF(AC23&gt;0,1,))*C23/50</f>
        <v>0</v>
      </c>
      <c r="AS23" s="180">
        <f>IF(AD23&gt;=AM1,MAX(ROUNDDOWN(AD23/AM1,0),ROUNDUP(AD23/AL3,0)),IF(AD23&gt;0,1,))*C23/50*0.5</f>
        <v>0</v>
      </c>
      <c r="AT23" s="814">
        <f t="shared" si="5"/>
        <v>0</v>
      </c>
      <c r="AU23" s="814">
        <f t="shared" si="6"/>
        <v>0</v>
      </c>
      <c r="AV23" s="814">
        <f t="shared" si="7"/>
        <v>0</v>
      </c>
      <c r="AW23" s="814">
        <f t="shared" si="8"/>
        <v>0</v>
      </c>
      <c r="AX23" s="814">
        <f t="shared" si="9"/>
        <v>0</v>
      </c>
      <c r="AY23" s="814">
        <f>IF(R23&gt;=$AM$1,ROUNDDOWN(R23/$AM$1,0),IF(R23&gt;0,1,))</f>
        <v>0</v>
      </c>
      <c r="AZ23" s="814">
        <f t="shared" si="10"/>
        <v>0</v>
      </c>
      <c r="BA23" s="814">
        <f t="shared" si="11"/>
        <v>0</v>
      </c>
      <c r="BB23" s="814">
        <f t="shared" si="12"/>
        <v>0</v>
      </c>
      <c r="BC23" s="814">
        <f t="shared" si="13"/>
        <v>0</v>
      </c>
      <c r="BD23" s="815">
        <f t="shared" si="14"/>
        <v>0</v>
      </c>
      <c r="BE23" s="815">
        <f t="shared" si="14"/>
        <v>0</v>
      </c>
      <c r="BF23" s="815">
        <f t="shared" si="15"/>
        <v>0</v>
      </c>
      <c r="BG23" s="815">
        <f t="shared" si="15"/>
        <v>0</v>
      </c>
      <c r="BH23" s="815">
        <f t="shared" si="16"/>
        <v>0</v>
      </c>
      <c r="BI23" s="815">
        <f t="shared" si="16"/>
        <v>0</v>
      </c>
      <c r="BJ23" s="815">
        <f t="shared" si="17"/>
        <v>0</v>
      </c>
      <c r="BK23" s="815">
        <f t="shared" si="17"/>
        <v>0</v>
      </c>
      <c r="BL23" s="815">
        <f t="shared" si="18"/>
        <v>0</v>
      </c>
      <c r="BM23" s="815">
        <f t="shared" si="18"/>
        <v>0</v>
      </c>
      <c r="BN23" s="812">
        <f t="shared" si="29"/>
        <v>0</v>
      </c>
    </row>
    <row r="24" spans="1:66" customFormat="1" ht="29.25" customHeight="1" x14ac:dyDescent="0.25">
      <c r="A24" s="911"/>
      <c r="B24" s="911"/>
      <c r="C24" s="911"/>
      <c r="D24" s="911"/>
      <c r="E24" s="911"/>
      <c r="F24" s="911"/>
      <c r="G24" s="910">
        <f>IF(SUM(G14:H23)=0,,"GTS-Mo
"&amp;SUM(G14:H23)&amp;" Gruppen")</f>
        <v>0</v>
      </c>
      <c r="H24" s="910"/>
      <c r="I24" s="6"/>
      <c r="J24" s="6"/>
      <c r="K24" s="911"/>
      <c r="L24" s="911"/>
      <c r="M24" s="910">
        <f>IF(SUM(M14:N23)=0,,"GTS-Di
"&amp;SUM(M14:N23)&amp;" Gruppen")</f>
        <v>0</v>
      </c>
      <c r="N24" s="910"/>
      <c r="O24" s="6"/>
      <c r="P24" s="6"/>
      <c r="Q24" s="911"/>
      <c r="R24" s="911"/>
      <c r="S24" s="910">
        <f>IF(SUM(S14:T23)=0,,"GTS-Mi
"&amp;SUM(S14:T23)&amp;" Gruppen")</f>
        <v>0</v>
      </c>
      <c r="T24" s="910"/>
      <c r="U24" s="6"/>
      <c r="V24" s="6"/>
      <c r="W24" s="911"/>
      <c r="X24" s="911"/>
      <c r="Y24" s="910">
        <f>IF(SUM(Y14:Z23)=0,,"GTS-Do
"&amp;SUM(Y14:Z23)&amp;" Gruppen")</f>
        <v>0</v>
      </c>
      <c r="Z24" s="910"/>
      <c r="AA24" s="6"/>
      <c r="AB24" s="6"/>
      <c r="AC24" s="911"/>
      <c r="AD24" s="911"/>
      <c r="AE24" s="910">
        <f>IF(SUM(AE14:AF23)=0,,"GTS-Fr
"&amp;SUM(AE14:AF23)&amp;" Gruppen")</f>
        <v>0</v>
      </c>
      <c r="AF24" s="910"/>
    </row>
    <row r="25" spans="1:66" x14ac:dyDescent="0.25">
      <c r="A25" s="913"/>
      <c r="B25" s="913"/>
      <c r="C25" s="913"/>
      <c r="D25" s="913"/>
      <c r="E25" s="181">
        <f>SUM(E14:E23)</f>
        <v>0</v>
      </c>
      <c r="F25" s="181">
        <f>SUM(F14:F23)</f>
        <v>0</v>
      </c>
      <c r="G25" s="181">
        <f>SUM(G14:G23)</f>
        <v>0</v>
      </c>
      <c r="H25" s="181">
        <f>SUM(H14:H23)</f>
        <v>0</v>
      </c>
      <c r="I25" s="181">
        <f>SUM(I14:I23)</f>
        <v>0</v>
      </c>
      <c r="J25" s="181"/>
      <c r="K25" s="181">
        <f>SUM(K14:K23)</f>
        <v>0</v>
      </c>
      <c r="L25" s="181">
        <f>SUM(L14:L23)</f>
        <v>0</v>
      </c>
      <c r="M25" s="181">
        <f>SUM(M14:M23)</f>
        <v>0</v>
      </c>
      <c r="N25" s="181">
        <f>SUM(N14:N23)</f>
        <v>0</v>
      </c>
      <c r="O25" s="181">
        <f>SUM(O14:O23)</f>
        <v>0</v>
      </c>
      <c r="P25" s="181"/>
      <c r="Q25" s="181">
        <f>SUM(Q14:Q23)</f>
        <v>0</v>
      </c>
      <c r="R25" s="181">
        <f>SUM(R14:R23)</f>
        <v>0</v>
      </c>
      <c r="S25" s="181">
        <f>SUM(S14:S23)</f>
        <v>0</v>
      </c>
      <c r="T25" s="181">
        <f>SUM(T14:T23)</f>
        <v>0</v>
      </c>
      <c r="U25" s="181">
        <f>SUM(U14:U23)</f>
        <v>0</v>
      </c>
      <c r="V25" s="181"/>
      <c r="W25" s="181">
        <f>SUM(W14:W23)</f>
        <v>0</v>
      </c>
      <c r="X25" s="181">
        <f>SUM(X14:X23)</f>
        <v>0</v>
      </c>
      <c r="Y25" s="181">
        <f>SUM(Y14:Y23)</f>
        <v>0</v>
      </c>
      <c r="Z25" s="181">
        <f>SUM(Z14:Z23)</f>
        <v>0</v>
      </c>
      <c r="AA25" s="181">
        <f>SUM(AA14:AA23)</f>
        <v>0</v>
      </c>
      <c r="AB25" s="181"/>
      <c r="AC25" s="181">
        <f>SUM(AC14:AC23)</f>
        <v>0</v>
      </c>
      <c r="AD25" s="181">
        <f>SUM(AD14:AD23)</f>
        <v>0</v>
      </c>
      <c r="AE25" s="181">
        <f>SUM(AE14:AE23)</f>
        <v>0</v>
      </c>
      <c r="AF25" s="817">
        <f>SUM(AF14:AF23)</f>
        <v>0</v>
      </c>
      <c r="AG25" s="817">
        <f>SUM(AG14:AG23)</f>
        <v>0</v>
      </c>
      <c r="AH25" s="818"/>
      <c r="AI25" s="182"/>
      <c r="AJ25" s="183">
        <f>E25+K25+Q25+W25+AC25</f>
        <v>0</v>
      </c>
      <c r="AK25" s="183">
        <f>F25+L25+R25+X25+AD25</f>
        <v>0</v>
      </c>
      <c r="AL25" s="184">
        <f>I25+O25+U25+AA25+AG25</f>
        <v>0</v>
      </c>
      <c r="AM25" s="184">
        <f>H25+N25+T25+Z25+AF25</f>
        <v>0</v>
      </c>
      <c r="AN25" s="184">
        <f>AL25+AM25</f>
        <v>0</v>
      </c>
      <c r="AO25" s="184">
        <f>ROUND(IF(AN25&gt;AN7,AN7,AN25),2)</f>
        <v>0</v>
      </c>
      <c r="AP25" s="185">
        <f>IF(AL25&gt;AO25,AO25,AL25)</f>
        <v>0</v>
      </c>
      <c r="AQ25" s="186">
        <f>AO25-AP25</f>
        <v>0</v>
      </c>
      <c r="AT25" s="819">
        <f>SUM(AT14:AT22,AV14:AV22,AX14:AX22,AZ14:AZ22,BB14:BB22)</f>
        <v>0</v>
      </c>
      <c r="AU25" s="819" t="s">
        <v>647</v>
      </c>
      <c r="AV25" s="814"/>
      <c r="BD25" s="815">
        <f>SUM(BD14:BD23)</f>
        <v>0</v>
      </c>
      <c r="BE25" s="815">
        <f t="shared" ref="BE25:BM25" si="30">SUM(BE14:BE23)</f>
        <v>0</v>
      </c>
      <c r="BF25" s="815">
        <f t="shared" si="30"/>
        <v>0</v>
      </c>
      <c r="BG25" s="815">
        <f t="shared" si="30"/>
        <v>0</v>
      </c>
      <c r="BH25" s="815">
        <f t="shared" si="30"/>
        <v>0</v>
      </c>
      <c r="BI25" s="815">
        <f t="shared" si="30"/>
        <v>0</v>
      </c>
      <c r="BJ25" s="815">
        <f t="shared" si="30"/>
        <v>0</v>
      </c>
      <c r="BK25" s="815">
        <f t="shared" si="30"/>
        <v>0</v>
      </c>
      <c r="BL25" s="815">
        <f t="shared" si="30"/>
        <v>0</v>
      </c>
      <c r="BM25" s="815">
        <f t="shared" si="30"/>
        <v>0</v>
      </c>
      <c r="BN25" s="812">
        <f>SUM(BN14:BN23)</f>
        <v>0</v>
      </c>
    </row>
    <row r="26" spans="1:66" ht="10.5" customHeight="1" x14ac:dyDescent="0.3">
      <c r="A26" s="913"/>
      <c r="B26" s="913"/>
      <c r="C26" s="913"/>
      <c r="D26" s="913"/>
      <c r="E26" s="538"/>
      <c r="F26" s="540">
        <f>E25+F25</f>
        <v>0</v>
      </c>
      <c r="G26" s="540">
        <f>AJ29+AK29*2</f>
        <v>0</v>
      </c>
      <c r="H26" s="540"/>
      <c r="I26" s="540"/>
      <c r="J26" s="541"/>
      <c r="K26" s="539"/>
      <c r="L26" s="540">
        <f>K25+L25</f>
        <v>0</v>
      </c>
      <c r="M26" s="540">
        <f>AL29+AM29*2</f>
        <v>0</v>
      </c>
      <c r="N26" s="539"/>
      <c r="O26" s="539"/>
      <c r="P26" s="540"/>
      <c r="Q26" s="539"/>
      <c r="R26" s="540">
        <f>Q25+R25</f>
        <v>0</v>
      </c>
      <c r="S26" s="540">
        <f>AN29+AO29*2</f>
        <v>0</v>
      </c>
      <c r="T26" s="539"/>
      <c r="U26" s="539"/>
      <c r="V26" s="540"/>
      <c r="W26" s="539"/>
      <c r="X26" s="540">
        <f>W25+X25</f>
        <v>0</v>
      </c>
      <c r="Y26" s="540">
        <f>AP29+AQ29*2</f>
        <v>0</v>
      </c>
      <c r="Z26" s="539"/>
      <c r="AA26" s="539"/>
      <c r="AB26" s="540"/>
      <c r="AC26" s="539"/>
      <c r="AD26" s="540">
        <f>AC25+AD25</f>
        <v>0</v>
      </c>
      <c r="AE26" s="540">
        <f>AR29+AS29*2</f>
        <v>0</v>
      </c>
      <c r="AF26" s="539"/>
      <c r="AG26" s="539"/>
      <c r="AH26" s="540"/>
      <c r="AI26" s="802"/>
      <c r="AJ26" s="802"/>
      <c r="AK26" s="187">
        <f>F26+L26+R26+X26+AD26</f>
        <v>0</v>
      </c>
      <c r="AL26" s="187">
        <f>G26+M26+S26+Y26+AE26</f>
        <v>0</v>
      </c>
      <c r="AM26" s="802"/>
      <c r="AN26" s="802"/>
      <c r="AO26" s="802"/>
      <c r="AP26" s="802"/>
      <c r="AQ26" s="188" t="s">
        <v>648</v>
      </c>
      <c r="AR26" s="802"/>
      <c r="AS26" s="802"/>
      <c r="AT26" s="819">
        <f>SUM(AU14:AU22,AW14:AW22,AY14:AY22,BA14:BA22,BC14:BC22)</f>
        <v>0</v>
      </c>
      <c r="AU26" s="819" t="s">
        <v>649</v>
      </c>
      <c r="BD26" s="815">
        <f>SUM(BD14:BD22,BF14:BF22,BH14:BH22,BJ14:BJ22,BL14:BL22)</f>
        <v>0</v>
      </c>
      <c r="BE26" s="815" t="s">
        <v>650</v>
      </c>
    </row>
    <row r="27" spans="1:66" ht="36.75" customHeight="1" x14ac:dyDescent="0.55000000000000004">
      <c r="A27" s="542">
        <f>IF(AN25&gt;AO25,AN25,)</f>
        <v>0</v>
      </c>
      <c r="B27" s="538"/>
      <c r="C27" s="538"/>
      <c r="D27" s="543"/>
      <c r="E27" s="538"/>
      <c r="F27" s="538"/>
      <c r="G27" s="538"/>
      <c r="H27" s="538"/>
      <c r="I27" s="538"/>
      <c r="J27" s="538"/>
      <c r="K27" s="189">
        <f>IF(AK26&gt;0,"Zusammengezählt werden "&amp;AK26&amp;" Schüler in  "&amp;AL26&amp;" Gruppen geführt  ",)</f>
        <v>0</v>
      </c>
      <c r="L27" s="539">
        <f>IF(AN25&gt;0,"&gt;="&amp;ROUND(AQ45/2,1),)</f>
        <v>0</v>
      </c>
      <c r="M27" s="544"/>
      <c r="N27" s="914">
        <f>IF(BN25=1,BN25&amp;" Einheit dauert unter "&amp;BN12&amp;" Minuten!
 Rücksprache mit Präs/3 halten!",IF(BN25&gt;1,BN25&amp;" Einheiten dauern unter "&amp;BN12&amp;" Minuten!
 Rücksprache mit Präs/3 halten!",))</f>
        <v>0</v>
      </c>
      <c r="O27" s="914"/>
      <c r="P27" s="914"/>
      <c r="Q27" s="914"/>
      <c r="R27" s="914"/>
      <c r="S27" s="915" t="str">
        <f>IF(OR(AK26&gt;0,H31&gt;0),"… über 5 Wochentage im Durch-  
  schnitt mit "&amp;BD30&amp;" Gruppen",)&amp;IF(H31&gt;0,"
davon "&amp;H31&amp;" in verschr. Klassen",)</f>
        <v/>
      </c>
      <c r="T27" s="915"/>
      <c r="U27" s="915"/>
      <c r="V27" s="915"/>
      <c r="W27" s="915"/>
      <c r="X27" s="915"/>
      <c r="Y27" s="802"/>
      <c r="Z27" s="802"/>
      <c r="AA27" s="802"/>
      <c r="AB27" s="802"/>
      <c r="AC27" s="802"/>
      <c r="AD27" s="802"/>
      <c r="AE27" s="802"/>
      <c r="AF27" s="189">
        <f>IF(A28&gt;0,"bei max. "&amp;AI27&amp;" LZGrup",)</f>
        <v>0</v>
      </c>
      <c r="AG27" s="189"/>
      <c r="AH27" s="802"/>
      <c r="AI27" s="492">
        <f>MAX(MAX(AJ31:AJ40,AL31:AL40,AN31:AN40,AP31:AP40,AR31:AR40),MAX(AK31:AK40,AM31:AM40,AO31:AO40,AQ31:AQ40,AS31:AS40)*2)</f>
        <v>0</v>
      </c>
      <c r="AJ27" s="802"/>
      <c r="AK27" s="190">
        <f>IF(AK26&gt;0,ROUND(AK26/AL26,1),)</f>
        <v>0</v>
      </c>
      <c r="AL27" s="190">
        <f>SUM(AJ28:AS28)</f>
        <v>0</v>
      </c>
      <c r="AM27" s="802"/>
      <c r="AN27" s="802"/>
      <c r="AO27" s="201">
        <f>IF(D41&gt;0,AI42+H31,)</f>
        <v>0</v>
      </c>
      <c r="AP27" s="191">
        <f>ROUND(AO27,0)</f>
        <v>0</v>
      </c>
      <c r="AQ27" s="188">
        <f>INT(AP27/2)</f>
        <v>0</v>
      </c>
      <c r="AR27" s="192">
        <f>ROUNDUP(AP27/2,0)</f>
        <v>0</v>
      </c>
      <c r="AS27" s="802"/>
      <c r="BD27" s="815">
        <f>SUM(BE14:BE22,BG14:BG22,BI14:BI22,BK14:BK22,BM14:BM22)</f>
        <v>0</v>
      </c>
      <c r="BE27" s="815" t="s">
        <v>651</v>
      </c>
    </row>
    <row r="28" spans="1:66" ht="18.75" x14ac:dyDescent="0.3">
      <c r="A28" s="916">
        <f>IF(SUM(I25,O25,U25,AA25,AG25)&lt;AO25,SUM(I25,O25,U25,AA25,AG25),AO25)</f>
        <v>0</v>
      </c>
      <c r="B28" s="916"/>
      <c r="C28" s="802"/>
      <c r="D28" s="223">
        <f>IF(AND(AK26&gt;0,AM25&gt;0),"  (umgerechnete) Wochenstden sind somit tatsächlich über die Lehrerbesoldung bei pr3 verrechenbar.",IF(AK26&gt;0,"  Wochenstunden sind somit tatsächlich über die Lehrerbesoldung bei pr3 verrechenbar.",))</f>
        <v>0</v>
      </c>
      <c r="E28" s="223"/>
      <c r="F28" s="802"/>
      <c r="G28" s="802"/>
      <c r="H28" s="802"/>
      <c r="I28" s="802"/>
      <c r="J28" s="802"/>
      <c r="K28" s="802"/>
      <c r="L28" s="802"/>
      <c r="M28" s="802"/>
      <c r="N28" s="802"/>
      <c r="O28" s="802"/>
      <c r="P28" s="802"/>
      <c r="Q28" s="802"/>
      <c r="R28" s="223"/>
      <c r="S28" s="545">
        <f>IF(AN25&gt;0,"Davon "&amp;AM25&amp;" ILZ ",)</f>
        <v>0</v>
      </c>
      <c r="X28" s="802"/>
      <c r="Y28" s="802"/>
      <c r="Z28" s="802"/>
      <c r="AA28" s="802"/>
      <c r="AB28" s="802"/>
      <c r="AC28" s="802"/>
      <c r="AD28" s="193">
        <f ca="1">TODAY()</f>
        <v>45364</v>
      </c>
      <c r="AE28" s="194"/>
      <c r="AF28" s="194"/>
      <c r="AG28" s="194"/>
      <c r="AH28" s="802"/>
      <c r="AI28" s="802"/>
      <c r="AJ28" s="802"/>
      <c r="AK28" s="195">
        <f>IF((AJ29+AK29)&gt;0,1,)</f>
        <v>0</v>
      </c>
      <c r="AL28" s="196"/>
      <c r="AM28" s="195">
        <f>IF((AL29+AM29)&gt;0,1,)</f>
        <v>0</v>
      </c>
      <c r="AN28" s="196"/>
      <c r="AO28" s="195">
        <f>IF((AN29+AO29)&gt;0,1,)</f>
        <v>0</v>
      </c>
      <c r="AP28" s="196"/>
      <c r="AQ28" s="195">
        <f>IF((AP29+AQ29)&gt;0,1,)</f>
        <v>0</v>
      </c>
      <c r="AR28" s="196"/>
      <c r="AS28" s="195">
        <f>IF((AR29+AS29)&gt;0,1,)</f>
        <v>0</v>
      </c>
      <c r="BD28" s="815">
        <f>H31*5</f>
        <v>0</v>
      </c>
      <c r="BE28" s="815" t="s">
        <v>657</v>
      </c>
    </row>
    <row r="29" spans="1:66" ht="18.75" x14ac:dyDescent="0.3">
      <c r="A29" s="917">
        <f>IF(SUM(I25,O25,U25,AA25,AG25)&gt;A28,SUM(I25,O25,U25,AA25,AG25),)</f>
        <v>0</v>
      </c>
      <c r="B29" s="917"/>
      <c r="C29" s="802"/>
      <c r="D29" s="223">
        <f>IF(A29&lt;A28,,IF(AND(AK26&gt;0,AM25&gt;0),"  (umgerechnete) Wochenstunden werden aufgrund der Gruppenbildung vergeben.",IF(AK26&gt;0,"  Wochenstunden werden aufgrund der Gruppenbildung vergeben.",)))</f>
        <v>0</v>
      </c>
      <c r="E29" s="802"/>
      <c r="F29" s="802"/>
      <c r="G29" s="802"/>
      <c r="H29" s="802"/>
      <c r="I29" s="802"/>
      <c r="J29" s="802"/>
      <c r="K29" s="802"/>
      <c r="R29" s="802"/>
      <c r="X29" s="820"/>
      <c r="Y29" s="918"/>
      <c r="Z29" s="919"/>
      <c r="AA29" s="223"/>
      <c r="AB29" s="223"/>
      <c r="AC29" s="223"/>
      <c r="AD29" s="821"/>
      <c r="AE29" s="211" t="s">
        <v>396</v>
      </c>
      <c r="AF29" s="821"/>
      <c r="AG29" s="802"/>
      <c r="AH29" s="223"/>
      <c r="AI29" s="802"/>
      <c r="AJ29" s="197">
        <f>SUM(AJ31:AJ40)</f>
        <v>0</v>
      </c>
      <c r="AK29" s="197">
        <f>SUM(AK31:AK40)</f>
        <v>0</v>
      </c>
      <c r="AL29" s="197">
        <f t="shared" ref="AL29:AS29" si="31">SUM(AL31:AL40)</f>
        <v>0</v>
      </c>
      <c r="AM29" s="197">
        <f t="shared" si="31"/>
        <v>0</v>
      </c>
      <c r="AN29" s="197">
        <f t="shared" si="31"/>
        <v>0</v>
      </c>
      <c r="AO29" s="197">
        <f t="shared" si="31"/>
        <v>0</v>
      </c>
      <c r="AP29" s="197">
        <f t="shared" si="31"/>
        <v>0</v>
      </c>
      <c r="AQ29" s="197">
        <f t="shared" si="31"/>
        <v>0</v>
      </c>
      <c r="AR29" s="197">
        <f t="shared" si="31"/>
        <v>0</v>
      </c>
      <c r="AS29" s="197">
        <f t="shared" si="31"/>
        <v>0</v>
      </c>
      <c r="BD29" s="814">
        <f>SUM(BD26:BD28)/5</f>
        <v>0</v>
      </c>
      <c r="BE29" s="802" t="s">
        <v>652</v>
      </c>
    </row>
    <row r="30" spans="1:66" ht="18.75" customHeight="1" x14ac:dyDescent="0.3">
      <c r="A30" s="916">
        <f>IF(A29-A28&gt;0,A29-A28,)</f>
        <v>0</v>
      </c>
      <c r="B30" s="916"/>
      <c r="C30" s="802"/>
      <c r="D30" s="223">
        <f>IF(A29&lt;A28,,IF(AND(AK27&gt;0,AM26&gt;0),"  (umgerechnete) Wochenstunden werden somit vom Grundkonti abgezogen.",IF(AK27&gt;0,"  Wochenstunden werden somit vom Grundkonti abegezogen.",)))</f>
        <v>0</v>
      </c>
      <c r="E30" s="802"/>
      <c r="F30" s="802"/>
      <c r="G30" s="802"/>
      <c r="H30" s="802"/>
      <c r="I30" s="802"/>
      <c r="J30" s="802"/>
      <c r="K30" s="802"/>
      <c r="R30" s="802"/>
      <c r="S30" s="222"/>
      <c r="T30" s="222"/>
      <c r="AA30" s="223"/>
      <c r="AB30" s="223"/>
      <c r="AC30" s="223"/>
      <c r="AD30" s="802"/>
      <c r="AE30" s="822"/>
      <c r="AF30" s="802"/>
      <c r="AG30" s="802"/>
      <c r="AH30" s="223"/>
      <c r="AI30" s="802"/>
      <c r="AJ30" s="197"/>
      <c r="AK30" s="197"/>
      <c r="AL30" s="197"/>
      <c r="AM30" s="197"/>
      <c r="AN30" s="197"/>
      <c r="AO30" s="197"/>
      <c r="AP30" s="197"/>
      <c r="AQ30" s="197"/>
      <c r="AR30" s="197"/>
      <c r="AS30" s="197"/>
      <c r="BD30" s="814">
        <f>ROUNDUP(BD29,0)</f>
        <v>0</v>
      </c>
      <c r="BE30" s="802" t="s">
        <v>653</v>
      </c>
    </row>
    <row r="31" spans="1:66" ht="23.25" x14ac:dyDescent="0.35">
      <c r="A31" s="198" t="s">
        <v>397</v>
      </c>
      <c r="B31" s="224"/>
      <c r="G31" s="225" t="str">
        <f>IF(H31&gt;0,"und zwar in","")</f>
        <v/>
      </c>
      <c r="H31" s="226">
        <f>Konti_MS!J16</f>
        <v>0</v>
      </c>
      <c r="I31" s="227" t="str">
        <f>IF(H31&gt;0,"KL mit","")</f>
        <v/>
      </c>
      <c r="J31" s="225"/>
      <c r="K31" s="226">
        <f>Konti_MS!E50</f>
        <v>0</v>
      </c>
      <c r="L31" s="142" t="str">
        <f>IF(K31&gt;0," anrechenbaren Wochenstunden für Lernzeiten","")</f>
        <v/>
      </c>
      <c r="O31" s="823"/>
      <c r="AJ31" s="197">
        <f>IF(E14&gt;0,ROUND(G14*50/$C14,1),)</f>
        <v>0</v>
      </c>
      <c r="AK31" s="197">
        <f>IF(F14&gt;0,ROUND(H14*50/$C14,1),)</f>
        <v>0</v>
      </c>
      <c r="AL31" s="197">
        <f t="shared" ref="AL31:AM40" si="32">IF(K14&gt;0,ROUND(M14*50/$C14,1),)</f>
        <v>0</v>
      </c>
      <c r="AM31" s="197">
        <f t="shared" si="32"/>
        <v>0</v>
      </c>
      <c r="AN31" s="197">
        <f t="shared" ref="AN31:AO40" si="33">IF(Q14&gt;0,ROUND(S14*50/$C14,1),)</f>
        <v>0</v>
      </c>
      <c r="AO31" s="197">
        <f t="shared" si="33"/>
        <v>0</v>
      </c>
      <c r="AP31" s="197">
        <f t="shared" ref="AP31:AQ40" si="34">IF(W14&gt;0,ROUND(Y14*50/$C14,1),)</f>
        <v>0</v>
      </c>
      <c r="AQ31" s="197">
        <f t="shared" si="34"/>
        <v>0</v>
      </c>
      <c r="AR31" s="197">
        <f>IF(AC14&gt;0,ROUND(AE14*50/$C14,1),)</f>
        <v>0</v>
      </c>
      <c r="AS31" s="197">
        <f>IF(AD14&gt;0,ROUND(AF14*50/$C14,1),)</f>
        <v>0</v>
      </c>
      <c r="BD31" s="814">
        <f>ROUNDUP(BD29/2,0)</f>
        <v>0</v>
      </c>
      <c r="BE31" s="802" t="s">
        <v>654</v>
      </c>
    </row>
    <row r="32" spans="1:66" hidden="1" x14ac:dyDescent="0.25">
      <c r="AJ32" s="197">
        <f t="shared" ref="AJ32:AK40" si="35">IF(E15&gt;0,ROUND(G15*50/$C15,1),)</f>
        <v>0</v>
      </c>
      <c r="AK32" s="197">
        <f t="shared" si="35"/>
        <v>0</v>
      </c>
      <c r="AL32" s="197">
        <f t="shared" si="32"/>
        <v>0</v>
      </c>
      <c r="AM32" s="197">
        <f t="shared" si="32"/>
        <v>0</v>
      </c>
      <c r="AN32" s="197">
        <f t="shared" si="33"/>
        <v>0</v>
      </c>
      <c r="AO32" s="197">
        <f t="shared" si="33"/>
        <v>0</v>
      </c>
      <c r="AP32" s="197">
        <f t="shared" si="34"/>
        <v>0</v>
      </c>
      <c r="AQ32" s="197">
        <f t="shared" si="34"/>
        <v>0</v>
      </c>
      <c r="AR32" s="197">
        <f>IF(AC15&gt;0,ROUND(AE15*50/$C15,1),)</f>
        <v>0</v>
      </c>
      <c r="AS32" s="197">
        <f>IF(AD15&gt;0,ROUND(AF15*50/$C15,1),)</f>
        <v>0</v>
      </c>
    </row>
    <row r="33" spans="1:57" hidden="1" x14ac:dyDescent="0.25">
      <c r="AJ33" s="197">
        <f t="shared" si="35"/>
        <v>0</v>
      </c>
      <c r="AK33" s="197">
        <f t="shared" si="35"/>
        <v>0</v>
      </c>
      <c r="AL33" s="197">
        <f t="shared" si="32"/>
        <v>0</v>
      </c>
      <c r="AM33" s="197">
        <f t="shared" si="32"/>
        <v>0</v>
      </c>
      <c r="AN33" s="197">
        <f t="shared" si="33"/>
        <v>0</v>
      </c>
      <c r="AO33" s="197">
        <f t="shared" si="33"/>
        <v>0</v>
      </c>
      <c r="AP33" s="197">
        <f t="shared" si="34"/>
        <v>0</v>
      </c>
      <c r="AQ33" s="197">
        <f t="shared" si="34"/>
        <v>0</v>
      </c>
      <c r="AR33" s="197">
        <f t="shared" ref="AR33:AS40" si="36">IF(AC16&gt;0,ROUND(AE16*50/$C16,1),)</f>
        <v>0</v>
      </c>
      <c r="AS33" s="197">
        <f t="shared" si="36"/>
        <v>0</v>
      </c>
    </row>
    <row r="34" spans="1:57" hidden="1" x14ac:dyDescent="0.25">
      <c r="AJ34" s="197">
        <f t="shared" si="35"/>
        <v>0</v>
      </c>
      <c r="AK34" s="197">
        <f>IF(F17&gt;0,ROUND(H17*50/$C17,1),)</f>
        <v>0</v>
      </c>
      <c r="AL34" s="197">
        <f t="shared" si="32"/>
        <v>0</v>
      </c>
      <c r="AM34" s="197">
        <f t="shared" si="32"/>
        <v>0</v>
      </c>
      <c r="AN34" s="197">
        <f t="shared" si="33"/>
        <v>0</v>
      </c>
      <c r="AO34" s="197">
        <f t="shared" si="33"/>
        <v>0</v>
      </c>
      <c r="AP34" s="197">
        <f t="shared" si="34"/>
        <v>0</v>
      </c>
      <c r="AQ34" s="197">
        <f t="shared" si="34"/>
        <v>0</v>
      </c>
      <c r="AR34" s="197">
        <f t="shared" si="36"/>
        <v>0</v>
      </c>
      <c r="AS34" s="197">
        <f t="shared" si="36"/>
        <v>0</v>
      </c>
    </row>
    <row r="35" spans="1:57" hidden="1" x14ac:dyDescent="0.25">
      <c r="AJ35" s="197">
        <f t="shared" si="35"/>
        <v>0</v>
      </c>
      <c r="AK35" s="197">
        <f>IF(F18&gt;0,ROUND(H18*50/$C18,1),)</f>
        <v>0</v>
      </c>
      <c r="AL35" s="197">
        <f t="shared" si="32"/>
        <v>0</v>
      </c>
      <c r="AM35" s="197">
        <f t="shared" si="32"/>
        <v>0</v>
      </c>
      <c r="AN35" s="197">
        <f t="shared" si="33"/>
        <v>0</v>
      </c>
      <c r="AO35" s="197">
        <f t="shared" si="33"/>
        <v>0</v>
      </c>
      <c r="AP35" s="197">
        <f t="shared" si="34"/>
        <v>0</v>
      </c>
      <c r="AQ35" s="197">
        <f t="shared" si="34"/>
        <v>0</v>
      </c>
      <c r="AR35" s="197">
        <f t="shared" si="36"/>
        <v>0</v>
      </c>
      <c r="AS35" s="197">
        <f t="shared" si="36"/>
        <v>0</v>
      </c>
    </row>
    <row r="36" spans="1:57" hidden="1" x14ac:dyDescent="0.25">
      <c r="AJ36" s="197">
        <f t="shared" si="35"/>
        <v>0</v>
      </c>
      <c r="AK36" s="197">
        <f>IF(F19&gt;0,ROUND(H19*50/$C19,1),)</f>
        <v>0</v>
      </c>
      <c r="AL36" s="197">
        <f t="shared" si="32"/>
        <v>0</v>
      </c>
      <c r="AM36" s="197">
        <f t="shared" si="32"/>
        <v>0</v>
      </c>
      <c r="AN36" s="197">
        <f t="shared" si="33"/>
        <v>0</v>
      </c>
      <c r="AO36" s="197">
        <f t="shared" si="33"/>
        <v>0</v>
      </c>
      <c r="AP36" s="197">
        <f t="shared" si="34"/>
        <v>0</v>
      </c>
      <c r="AQ36" s="197">
        <f t="shared" si="34"/>
        <v>0</v>
      </c>
      <c r="AR36" s="197">
        <f t="shared" si="36"/>
        <v>0</v>
      </c>
      <c r="AS36" s="197">
        <f t="shared" si="36"/>
        <v>0</v>
      </c>
    </row>
    <row r="37" spans="1:57" hidden="1" x14ac:dyDescent="0.25">
      <c r="AJ37" s="197">
        <f t="shared" si="35"/>
        <v>0</v>
      </c>
      <c r="AK37" s="197">
        <f t="shared" si="35"/>
        <v>0</v>
      </c>
      <c r="AL37" s="197">
        <f t="shared" si="32"/>
        <v>0</v>
      </c>
      <c r="AM37" s="197">
        <f t="shared" si="32"/>
        <v>0</v>
      </c>
      <c r="AN37" s="197">
        <f t="shared" si="33"/>
        <v>0</v>
      </c>
      <c r="AO37" s="197">
        <f t="shared" si="33"/>
        <v>0</v>
      </c>
      <c r="AP37" s="197">
        <f t="shared" si="34"/>
        <v>0</v>
      </c>
      <c r="AQ37" s="197">
        <f t="shared" si="34"/>
        <v>0</v>
      </c>
      <c r="AR37" s="197">
        <f t="shared" si="36"/>
        <v>0</v>
      </c>
      <c r="AS37" s="197">
        <f t="shared" si="36"/>
        <v>0</v>
      </c>
    </row>
    <row r="38" spans="1:57" hidden="1" x14ac:dyDescent="0.25">
      <c r="AJ38" s="197">
        <f t="shared" si="35"/>
        <v>0</v>
      </c>
      <c r="AK38" s="197">
        <f t="shared" si="35"/>
        <v>0</v>
      </c>
      <c r="AL38" s="197">
        <f t="shared" si="32"/>
        <v>0</v>
      </c>
      <c r="AM38" s="197">
        <f t="shared" si="32"/>
        <v>0</v>
      </c>
      <c r="AN38" s="197">
        <f t="shared" si="33"/>
        <v>0</v>
      </c>
      <c r="AO38" s="197">
        <f t="shared" si="33"/>
        <v>0</v>
      </c>
      <c r="AP38" s="197">
        <f t="shared" si="34"/>
        <v>0</v>
      </c>
      <c r="AQ38" s="197">
        <f t="shared" si="34"/>
        <v>0</v>
      </c>
      <c r="AR38" s="197">
        <f t="shared" si="36"/>
        <v>0</v>
      </c>
      <c r="AS38" s="197">
        <f t="shared" si="36"/>
        <v>0</v>
      </c>
    </row>
    <row r="39" spans="1:57" ht="9" customHeight="1" x14ac:dyDescent="0.25">
      <c r="AJ39" s="197">
        <f t="shared" si="35"/>
        <v>0</v>
      </c>
      <c r="AK39" s="197">
        <f>IF(F22&gt;0,ROUND(H22*50/$C22,1),)</f>
        <v>0</v>
      </c>
      <c r="AL39" s="197">
        <f t="shared" si="32"/>
        <v>0</v>
      </c>
      <c r="AM39" s="197">
        <f t="shared" si="32"/>
        <v>0</v>
      </c>
      <c r="AN39" s="197">
        <f t="shared" si="33"/>
        <v>0</v>
      </c>
      <c r="AO39" s="197">
        <f t="shared" si="33"/>
        <v>0</v>
      </c>
      <c r="AP39" s="197">
        <f t="shared" si="34"/>
        <v>0</v>
      </c>
      <c r="AQ39" s="197">
        <f t="shared" si="34"/>
        <v>0</v>
      </c>
      <c r="AR39" s="197">
        <f t="shared" si="36"/>
        <v>0</v>
      </c>
      <c r="AS39" s="197">
        <f t="shared" si="36"/>
        <v>0</v>
      </c>
      <c r="BD39" s="802">
        <f>Konti_MS!D27</f>
        <v>0</v>
      </c>
      <c r="BE39" s="802" t="s">
        <v>863</v>
      </c>
    </row>
    <row r="40" spans="1:57" ht="21" x14ac:dyDescent="0.35">
      <c r="A40" s="920">
        <f>K31</f>
        <v>0</v>
      </c>
      <c r="B40" s="920"/>
      <c r="C40" s="802"/>
      <c r="D40" s="199">
        <f>IF(H31&gt;0,"  für verschränkte Form",)</f>
        <v>0</v>
      </c>
      <c r="E40" s="173"/>
      <c r="H40" s="228">
        <f>IF(A40&gt;0,"   .. sofern von der BilDi genehmigt.",)</f>
        <v>0</v>
      </c>
      <c r="I40" s="228"/>
      <c r="K40" s="802"/>
      <c r="L40" s="802"/>
      <c r="M40" s="802"/>
      <c r="N40" s="802"/>
      <c r="O40" s="802"/>
      <c r="P40" s="802"/>
      <c r="Q40" s="802"/>
      <c r="R40" s="802"/>
      <c r="S40" s="229">
        <f>IF(D41&gt;0,"Beim Leiter (im Altrecht)",)</f>
        <v>0</v>
      </c>
      <c r="V40" s="802"/>
      <c r="W40" s="802"/>
      <c r="X40" s="802"/>
      <c r="AB40" s="230">
        <f>IF(BD30&gt;0,"..mit/falls "&amp;BD30&amp;" Gruppen:",)</f>
        <v>0</v>
      </c>
      <c r="AC40" s="824">
        <f>IF(BD31&gt;0,"+ "&amp;BD31&amp;" Kl. bei LeiterZulage",)</f>
        <v>0</v>
      </c>
      <c r="AD40" s="802"/>
      <c r="AE40" s="802"/>
      <c r="AF40" s="802"/>
      <c r="AG40" s="802"/>
      <c r="AH40" s="230"/>
      <c r="AI40" s="825"/>
      <c r="AJ40" s="197">
        <f t="shared" si="35"/>
        <v>0</v>
      </c>
      <c r="AK40" s="197">
        <f t="shared" si="35"/>
        <v>0</v>
      </c>
      <c r="AL40" s="197">
        <f t="shared" si="32"/>
        <v>0</v>
      </c>
      <c r="AM40" s="197">
        <f t="shared" si="32"/>
        <v>0</v>
      </c>
      <c r="AN40" s="197">
        <f t="shared" si="33"/>
        <v>0</v>
      </c>
      <c r="AO40" s="197">
        <f t="shared" si="33"/>
        <v>0</v>
      </c>
      <c r="AP40" s="197">
        <f t="shared" si="34"/>
        <v>0</v>
      </c>
      <c r="AQ40" s="197">
        <f t="shared" si="34"/>
        <v>0</v>
      </c>
      <c r="AR40" s="197">
        <f t="shared" si="36"/>
        <v>0</v>
      </c>
      <c r="AS40" s="197">
        <f t="shared" si="36"/>
        <v>0</v>
      </c>
      <c r="BE40" s="802" t="s">
        <v>864</v>
      </c>
    </row>
    <row r="41" spans="1:57" x14ac:dyDescent="0.25">
      <c r="A41" s="200" t="s">
        <v>398</v>
      </c>
      <c r="B41" s="826"/>
      <c r="C41" s="802">
        <f>IF(A40&lt;999,A40,)</f>
        <v>0</v>
      </c>
      <c r="D41" s="201">
        <f>(A28+A30)+C41</f>
        <v>0</v>
      </c>
      <c r="E41" s="202">
        <f>IF(A40&gt;0," = zusammen",)</f>
        <v>0</v>
      </c>
      <c r="F41" s="802"/>
      <c r="G41" s="802"/>
      <c r="J41" s="802"/>
      <c r="M41" s="802"/>
      <c r="N41" s="802"/>
      <c r="O41" s="802"/>
      <c r="P41" s="802"/>
      <c r="Q41" s="802"/>
      <c r="R41" s="802"/>
      <c r="S41" s="802"/>
      <c r="T41" s="802"/>
      <c r="U41" s="802"/>
      <c r="V41" s="802"/>
      <c r="W41" s="802"/>
      <c r="X41" s="802"/>
      <c r="Y41" s="802"/>
      <c r="Z41" s="802"/>
      <c r="AA41" s="802"/>
      <c r="AB41" s="802"/>
      <c r="AC41" s="802"/>
      <c r="AD41" s="802"/>
      <c r="AE41" s="802"/>
      <c r="AF41" s="203">
        <f>IF(BD30&gt;0,"[ "&amp;BD30&amp;" Gruppen /2 auf Ganze aufgerundet]",)</f>
        <v>0</v>
      </c>
      <c r="AG41" s="203"/>
      <c r="AH41" s="802"/>
      <c r="AI41" s="802"/>
      <c r="AJ41" s="802"/>
      <c r="AK41" s="802"/>
      <c r="AL41" s="802"/>
      <c r="AM41" s="802"/>
      <c r="AN41" s="802"/>
      <c r="AO41" s="802"/>
      <c r="AP41" s="802"/>
      <c r="AQ41" s="802"/>
      <c r="AR41" s="802"/>
      <c r="AS41" s="802"/>
    </row>
    <row r="42" spans="1:57" x14ac:dyDescent="0.25">
      <c r="A42" s="912"/>
      <c r="B42" s="912"/>
      <c r="C42" s="912"/>
      <c r="D42" s="912"/>
      <c r="E42" s="912"/>
      <c r="F42" s="912"/>
      <c r="G42" s="912"/>
      <c r="H42" s="912"/>
      <c r="I42" s="912"/>
      <c r="J42" s="912"/>
      <c r="K42" s="912"/>
      <c r="L42" s="912"/>
      <c r="M42" s="912"/>
      <c r="N42" s="912"/>
      <c r="O42" s="912"/>
      <c r="P42" s="912"/>
      <c r="Q42" s="912"/>
      <c r="R42" s="912"/>
      <c r="S42" s="912"/>
      <c r="T42" s="912"/>
      <c r="U42" s="912"/>
      <c r="V42" s="912"/>
      <c r="W42" s="912"/>
      <c r="X42" s="912"/>
      <c r="Y42" s="912"/>
      <c r="Z42" s="204">
        <f>IF(AND(BD30&gt;0,SUM(BD30/2,BD39)&gt;=8,SUM(BD30/2,BD39)&lt;19)," SupplierV reduziert um "&amp;BD30*0.75&amp;" WoStd",IF(AND(SUM(BD30/2,BD39,)&lt;=8,BD30&gt;0)," Einrechnung von "&amp;BD30*0.75&amp;" WoStd",))</f>
        <v>0</v>
      </c>
      <c r="AA42" s="204"/>
      <c r="AB42" s="802"/>
      <c r="AC42" s="802"/>
      <c r="AD42" s="802"/>
      <c r="AE42" s="802"/>
      <c r="AF42" s="802"/>
      <c r="AG42" s="802"/>
      <c r="AH42" s="802"/>
      <c r="AI42" s="205">
        <f>ROUNDUP(AJ42/5,0)</f>
        <v>0</v>
      </c>
      <c r="AJ42" s="206">
        <f>SUM(AK42:AS42)</f>
        <v>0</v>
      </c>
      <c r="AK42" s="205">
        <f>SUM((AJ31+AK31*2),(AJ32+AK32*2),(AJ33+AK33*2),(AJ34+AK34*2),(AJ35+AK35*2),(AJ36+AK36*2),(AJ37+AK37*2),(AJ38+AK38*2),(AJ39+AK39*2),(AJ40+AK40*2))</f>
        <v>0</v>
      </c>
      <c r="AL42" s="207"/>
      <c r="AM42" s="205">
        <f>SUM((AL31+AM31*2),(AL32+AM32*2),(AL33+AM33*2),(AL34+AM34*2),(AL35+AM35*2),(AL36+AM36*2),(AL37+AM37*2),(AL38+AM38*2),(AL39+AM39*2),(AL40+AM40*2))</f>
        <v>0</v>
      </c>
      <c r="AN42" s="207"/>
      <c r="AO42" s="205">
        <f>SUM((AN31+AO31*2),(AN32+AO32*2),(AN33+AO33*2),(AN34+AO34*2),(AN35+AO35*2),(AN36+AO36*2),(AN37+AO37*2),(AN38+AO38*2),(AN39+AO39*2),(AN40+AO40*2))</f>
        <v>0</v>
      </c>
      <c r="AP42" s="207"/>
      <c r="AQ42" s="205">
        <f>SUM((AP31+AQ31*2),(AP32+AQ32*2),(AP33+AQ33*2),(AP34+AQ34*2),(AP35+AQ35*2),(AP36+AQ36*2),(AP37+AQ37*2),(AP38+AQ38*2),(AP39+AQ39*2),(AP40+AQ40*2))</f>
        <v>0</v>
      </c>
      <c r="AR42" s="207"/>
      <c r="AS42" s="205">
        <f>SUM((AR31+AS31*2),(AR32+AS32*2),(AR33+AS33*2),(AR34+AS34*2),(AR35+AS35*2),(AR36+AS36*2),(AR37+AS37*2),(AR38+AS38*2),(AR39+AS39*2),(AR40+AS40*2))</f>
        <v>0</v>
      </c>
    </row>
    <row r="43" spans="1:57" x14ac:dyDescent="0.25">
      <c r="A43" s="912"/>
      <c r="B43" s="912"/>
      <c r="C43" s="912"/>
      <c r="D43" s="912"/>
      <c r="E43" s="912"/>
      <c r="F43" s="912"/>
      <c r="G43" s="912"/>
      <c r="H43" s="912"/>
      <c r="I43" s="912"/>
      <c r="J43" s="912"/>
      <c r="K43" s="912"/>
      <c r="L43" s="912"/>
      <c r="M43" s="912"/>
      <c r="N43" s="912"/>
      <c r="O43" s="912"/>
      <c r="P43" s="912"/>
      <c r="Q43" s="912"/>
      <c r="R43" s="912"/>
      <c r="S43" s="912"/>
      <c r="T43" s="912"/>
      <c r="U43" s="912"/>
      <c r="V43" s="912"/>
      <c r="W43" s="912"/>
      <c r="X43" s="912"/>
      <c r="Y43" s="912"/>
      <c r="AB43" s="802"/>
      <c r="AC43" s="802"/>
      <c r="AD43" s="802"/>
      <c r="AE43" s="802"/>
      <c r="AF43" s="203">
        <f>IF(BD30&gt;0,"[ bei mind. "&amp;BD30&amp;" Gruppen * 0,75 ]",)</f>
        <v>0</v>
      </c>
      <c r="AG43" s="203"/>
      <c r="AH43" s="802"/>
      <c r="AI43" s="802"/>
      <c r="AJ43" s="827">
        <f>ROUND(IF(AND(G14&gt;0,G14&lt;33),1*C14/50,)+IF(AND(G15&gt;0,G15&lt;33),1*C15/50,)+IF(AND(G16&gt;0,G16&lt;33),1*C16/50,)+IF(AND(G17&gt;0,G17&lt;33),1*C17/50,)+IF(AND(G18&gt;0,G18&lt;33),1*C18/50,)+IF(AND(G19&gt;0,G19&lt;33),1*C19/50,)+IF(AND(G20&gt;0,G20&lt;33),1*C20/50,)+IF(AND(G21&gt;0,G21&lt;33),1*C21/50,)+IF(AND(G22&gt;0,G22&lt;33),1*C22/50,)+IF(AND(G23&gt;0,G23&lt;33),1*C23/50,),3)</f>
        <v>0</v>
      </c>
      <c r="AK43" s="828"/>
      <c r="AL43" s="827">
        <f>ROUND(IF(AND(M14&gt;0,M14&lt;33),1*C14/50,)+IF(AND(M15&gt;0,M15&lt;33),1*C15/50,)+IF(AND(M16&gt;0,M16&lt;33),1*C16/50,)+IF(AND(M17&gt;0,M17&lt;33),1*C17/50,)+IF(AND(M18&gt;0,M18&lt;33),1*C18/50,)+IF(AND(M19&gt;0,M19&lt;33),1*C19/50,)+IF(AND(M20&gt;0,M20&lt;33),1*C20/50,)+IF(AND(M21&gt;0,M21&lt;33),1*C21/50,)+IF(AND(M22&gt;0,M22&lt;33),1*C22/50,)+IF(AND(M23&gt;0,M23&lt;33),1*C23/50,),3)</f>
        <v>0</v>
      </c>
      <c r="AM43" s="828"/>
      <c r="AN43" s="827">
        <f>ROUND(IF(AND(S14&gt;0,S14&lt;33),1*C14/50,)+IF(AND(S15&gt;0,S15&lt;33),1*C15/50,)+IF(AND(S16&gt;0,S16&lt;33),1*C16/50,)+IF(AND(S17&gt;0,S17&lt;33),1*C17/50,)+IF(AND(S18&gt;0,S18&lt;33),1*C18/50,)+IF(AND(S19&gt;0,S19&lt;33),1*C19/50,)+IF(AND(S20&gt;0,S20&lt;33),1*C20/50,)+IF(AND(S21&gt;0,S21&lt;33),1*C21/50,)+IF(AND(S22&gt;0,S22&lt;33),1*C22/50,)+IF(AND(S23&gt;0,S23&lt;33),1*C23/50,),3)</f>
        <v>0</v>
      </c>
      <c r="AO43" s="828"/>
      <c r="AP43" s="827">
        <f>ROUND(IF(AND(Y14&gt;0,Y14&lt;33),1*C14/50,)+IF(AND(Y15&gt;0,Y15&lt;33),1*C15/50,)+IF(AND(Y16&gt;0,Y16&lt;33),1*C16/50,)+IF(AND(Y17&gt;0,Y17&lt;33),1*C17/50,)+IF(AND(Y18&gt;0,Y18&lt;33),1*C18/50,)+IF(AND(Y19&gt;0,Y19&lt;33),1*C19/50,)+IF(AND(Y20&gt;0,Y20&lt;33),1*C20/50,)+IF(AND(Y21&gt;0,Y21&lt;33),1*C21/50,)+IF(AND(Y22&gt;0,Y22&lt;33),1*C22/50,)+IF(AND(Y23&gt;0,Y23&lt;33),1*C23/50,),3)</f>
        <v>0</v>
      </c>
      <c r="AQ43" s="828"/>
      <c r="AR43" s="827">
        <f>ROUND(IF(AND(AE14&gt;0,AE14&lt;33),1*C14/50,)+IF(AND(AE15&gt;0,AE15&lt;33),1*C15/50,)+IF(AND(AE16&gt;0,AE16&lt;33),1*C16/50,)+IF(AND(AE17&gt;0,AE17&lt;33),1*C17/50,)+IF(AND(AE18&gt;0,AE18&lt;33),1*C18/50,)+IF(AND(AE19&gt;0,AE19&lt;33),1*C19/50,)+IF(AND(AE20&gt;0,AE20&lt;33),1*C20/50,)+IF(AND(AE21&gt;0,AE21&lt;33),1*C21/50,)+IF(AND(AE22&gt;0,AE22&lt;33),1*C22/50,)+IF(AND(AE23&gt;0,AE23&lt;33),1*C23/50,),3)</f>
        <v>0</v>
      </c>
      <c r="AS43" s="828"/>
    </row>
    <row r="44" spans="1:57" x14ac:dyDescent="0.25">
      <c r="A44" s="912"/>
      <c r="B44" s="912"/>
      <c r="C44" s="912"/>
      <c r="D44" s="912"/>
      <c r="E44" s="912"/>
      <c r="F44" s="912"/>
      <c r="G44" s="912"/>
      <c r="H44" s="912"/>
      <c r="I44" s="912"/>
      <c r="J44" s="912"/>
      <c r="K44" s="912"/>
      <c r="L44" s="912"/>
      <c r="M44" s="912"/>
      <c r="N44" s="912"/>
      <c r="O44" s="912"/>
      <c r="P44" s="912"/>
      <c r="Q44" s="912"/>
      <c r="R44" s="912"/>
      <c r="S44" s="912"/>
      <c r="T44" s="912"/>
      <c r="U44" s="912"/>
      <c r="V44" s="912"/>
      <c r="W44" s="912"/>
      <c r="X44" s="912"/>
      <c r="Y44" s="912"/>
      <c r="Z44" s="204"/>
      <c r="AA44" s="204"/>
      <c r="AI44" s="208"/>
      <c r="AJ44" s="828"/>
      <c r="AK44" s="827">
        <f>ROUND(IF(AND(H14&gt;0,H14&lt;33),1*C14/50,)+IF(AND(H15&gt;0,H15&lt;33),1*C15/50,)+IF(AND(H16&gt;0,H16&lt;33),1*C16/50,)+IF(AND(H17&gt;0,H17&lt;33),1*C17/50,)+IF(AND(H18&gt;0,H18&lt;33),1*C18/50,)+IF(AND(H19&gt;0,H19&lt;33),1*C19/50,)+IF(AND(H20&gt;0,H20&lt;33),1*C20/50,)+IF(AND(H21&gt;0,H21&lt;33),1*C21/50,)+IF(AND(H22&gt;0,H22&lt;33),1*C22/50,)+IF(AND(H23&gt;0,H23&lt;33),1*C23/50,),3)</f>
        <v>0</v>
      </c>
      <c r="AL44" s="828"/>
      <c r="AM44" s="827">
        <f>ROUND(IF(AND(N14&gt;0,N14&lt;33),1*C14/50,)+IF(AND(N15&gt;0,N15&lt;33),1*C15/50,)+IF(AND(N16&gt;0,N16&lt;33),1*C16/50,)+IF(AND(N17&gt;0,N17&lt;33),1*C17/50,)+IF(AND(N18&gt;0,N18&lt;33),1*C18/50,)+IF(AND(N19&gt;0,N19&lt;33),1*C19/50,)+IF(AND(N20&gt;0,N20&lt;33),1*C20/50,)+IF(AND(N21&gt;0,N21&lt;33),1*C21/50,)+IF(AND(N22&gt;0,N22&lt;33),1*C22/50,)+IF(AND(N23&gt;0,N23&lt;33),1*C23/50,),3)</f>
        <v>0</v>
      </c>
      <c r="AN44" s="828"/>
      <c r="AO44" s="827">
        <f>ROUND(IF(AND(T14&gt;0,T14&lt;33),1*C14/50,)+IF(AND(T15&gt;0,T15&lt;33),1*C15/50,)+IF(AND(T16&gt;0,T16&lt;33),1*C16/50,)+IF(AND(T17&gt;0,T17&lt;33),1*C17/50,)+IF(AND(T18&gt;0,T18&lt;33),1*C18/50,)+IF(AND(T19&gt;0,T19&lt;33),1*C19/50,)+IF(AND(T20&gt;0,T20&lt;33),1*C20/50,)+IF(AND(T21&gt;0,T21&lt;33),1*C21/50,)+IF(AND(T22&gt;0,T22&lt;33),1*C22/50,)+IF(AND(T23&gt;0,T23&lt;33),1*C23/50,),3)</f>
        <v>0</v>
      </c>
      <c r="AP44" s="828"/>
      <c r="AQ44" s="827">
        <f>ROUND(IF(AND(Z14&gt;0,Z14&lt;33),1*C14/50,)+IF(AND(Z15&gt;0,Z15&lt;33),1*C15/50,)+IF(AND(Z16&gt;0,Z16&lt;33),1*C16/50,)+IF(AND(Z17&gt;0,Z17&lt;33),1*C17/50,)+IF(AND(Z18&gt;0,Z18&lt;33),1*C18/50,)+IF(AND(Z19&gt;0,Z19&lt;33),1*C19/50,)+IF(AND(Z20&gt;0,Z20&lt;33),1*C20/50,)+IF(AND(Z21&gt;0,Z21&lt;33),1*C21/50,)+IF(AND(Z22&gt;0,Z22&lt;33),1*C22/50,)+IF(AND(Z23&gt;0,Z23&lt;33),1*C23/50,),3)</f>
        <v>0</v>
      </c>
      <c r="AR44" s="828"/>
      <c r="AS44" s="827">
        <f>ROUND(IF(AND(AF14&gt;0,G14&lt;33),1*C14/50,)+IF(AND(AF15&gt;0,G15&lt;33),1*C15/50,)+IF(AND(AF16&gt;0,G16&lt;33),1*C16/50,)+IF(AND(AF17&gt;0,G17&lt;33),1*C17/50,)+IF(AND(AF18&gt;0,G18&lt;33),1*C18/50,)+IF(AND(AF19&gt;0,G19&lt;33),1*C19/50,)+IF(AND(AF20&gt;0,G20&lt;33),1*C20/50,)+IF(AND(AF21&gt;0,G21&lt;33),1*C21/50,)+IF(AND(AF22&gt;0,G22&lt;33),1*C22/50,)+IF(AND(AF23&gt;0,G23&lt;33),1*C23/50,),3)</f>
        <v>0</v>
      </c>
    </row>
    <row r="45" spans="1:57" x14ac:dyDescent="0.25">
      <c r="A45" s="912"/>
      <c r="B45" s="912"/>
      <c r="C45" s="912"/>
      <c r="D45" s="912"/>
      <c r="E45" s="912"/>
      <c r="F45" s="912"/>
      <c r="G45" s="912"/>
      <c r="H45" s="912"/>
      <c r="I45" s="912"/>
      <c r="J45" s="912"/>
      <c r="K45" s="912"/>
      <c r="L45" s="912"/>
      <c r="M45" s="912"/>
      <c r="N45" s="912"/>
      <c r="O45" s="912"/>
      <c r="P45" s="912"/>
      <c r="Q45" s="912"/>
      <c r="R45" s="912"/>
      <c r="S45" s="912"/>
      <c r="T45" s="912"/>
      <c r="U45" s="912"/>
      <c r="V45" s="912"/>
      <c r="W45" s="912"/>
      <c r="X45" s="912"/>
      <c r="Y45" s="912"/>
      <c r="AJ45" s="209" t="s">
        <v>399</v>
      </c>
      <c r="AK45" s="827">
        <f>ROUND(SUM(AJ43:AS43),2)</f>
        <v>0</v>
      </c>
      <c r="AL45" s="209" t="s">
        <v>400</v>
      </c>
      <c r="AM45" s="827">
        <f>ROUND(SUM(AJ44:AS44,AS45),2)</f>
        <v>0</v>
      </c>
      <c r="AN45" s="209" t="s">
        <v>401</v>
      </c>
      <c r="AO45" s="827">
        <f>ROUND(SUM(AK45:AM45),2)</f>
        <v>0</v>
      </c>
      <c r="AP45" s="210" t="s">
        <v>402</v>
      </c>
      <c r="AQ45" s="827">
        <f>ROUND(AO45/3,1)</f>
        <v>0</v>
      </c>
      <c r="AR45" s="827">
        <f>IF(AM45&lt;AQ45,"!?",)</f>
        <v>0</v>
      </c>
      <c r="AS45" s="829">
        <f>IF(A42=0,,IF(AND(AK45&gt;0,AT45&lt;11),AT45))+1-1</f>
        <v>0</v>
      </c>
    </row>
    <row r="46" spans="1:57" x14ac:dyDescent="0.25">
      <c r="A46" s="912"/>
      <c r="B46" s="912"/>
      <c r="C46" s="912"/>
      <c r="D46" s="912"/>
      <c r="E46" s="912"/>
      <c r="F46" s="912"/>
      <c r="G46" s="912"/>
      <c r="H46" s="912"/>
      <c r="I46" s="912"/>
      <c r="J46" s="912"/>
      <c r="K46" s="912"/>
      <c r="L46" s="912"/>
      <c r="M46" s="912"/>
      <c r="N46" s="912"/>
      <c r="O46" s="912"/>
      <c r="P46" s="912"/>
      <c r="Q46" s="912"/>
      <c r="R46" s="912"/>
      <c r="S46" s="912"/>
      <c r="T46" s="912"/>
      <c r="U46" s="912"/>
      <c r="V46" s="912"/>
      <c r="W46" s="912"/>
      <c r="X46" s="912"/>
      <c r="Y46" s="912"/>
      <c r="Z46" s="821"/>
      <c r="AA46" s="821"/>
      <c r="AB46" s="821"/>
      <c r="AC46" s="212" t="s">
        <v>655</v>
      </c>
      <c r="AD46" s="211" t="s">
        <v>656</v>
      </c>
      <c r="AE46" s="821"/>
      <c r="AF46" s="821"/>
      <c r="AG46" s="802"/>
      <c r="AH46" s="802"/>
    </row>
  </sheetData>
  <sheetProtection algorithmName="SHA-512" hashValue="CQbyvmINEL64jiMdjrsNj5GgPzqVdahA1ZKwN+CQmDisVVHeQzjf4oHcN7akECVCd9o0gyoW7ng7WHfWBfSXzg==" saltValue="IxSdv4wNMdoUIVuaxcdk5A==" spinCount="100000" sheet="1" formatRows="0"/>
  <mergeCells count="40">
    <mergeCell ref="A42:Y46"/>
    <mergeCell ref="Y24:Z24"/>
    <mergeCell ref="AC24:AD24"/>
    <mergeCell ref="AE24:AF24"/>
    <mergeCell ref="A25:D26"/>
    <mergeCell ref="N27:R27"/>
    <mergeCell ref="S27:X27"/>
    <mergeCell ref="A24:B24"/>
    <mergeCell ref="C24:D24"/>
    <mergeCell ref="E24:F24"/>
    <mergeCell ref="A28:B28"/>
    <mergeCell ref="A29:B29"/>
    <mergeCell ref="Y29:Z29"/>
    <mergeCell ref="A30:B30"/>
    <mergeCell ref="A40:B40"/>
    <mergeCell ref="AE11:AF12"/>
    <mergeCell ref="AT12:BC12"/>
    <mergeCell ref="BD12:BM12"/>
    <mergeCell ref="G24:H24"/>
    <mergeCell ref="K24:L24"/>
    <mergeCell ref="M24:N24"/>
    <mergeCell ref="Q24:R24"/>
    <mergeCell ref="S24:T24"/>
    <mergeCell ref="W24:X24"/>
    <mergeCell ref="U10:U13"/>
    <mergeCell ref="X10:Y10"/>
    <mergeCell ref="AA10:AA13"/>
    <mergeCell ref="AD10:AE10"/>
    <mergeCell ref="AG10:AG13"/>
    <mergeCell ref="R10:S10"/>
    <mergeCell ref="A11:B12"/>
    <mergeCell ref="G11:H12"/>
    <mergeCell ref="M11:N12"/>
    <mergeCell ref="S11:T12"/>
    <mergeCell ref="Y11:Z12"/>
    <mergeCell ref="J5:K5"/>
    <mergeCell ref="F10:G10"/>
    <mergeCell ref="I10:I13"/>
    <mergeCell ref="L10:M10"/>
    <mergeCell ref="O10:O13"/>
  </mergeCells>
  <conditionalFormatting sqref="A14">
    <cfRule type="cellIs" dxfId="90" priority="52" stopIfTrue="1" operator="greaterThan">
      <formula>0</formula>
    </cfRule>
  </conditionalFormatting>
  <conditionalFormatting sqref="A15:A23">
    <cfRule type="expression" dxfId="89" priority="21" stopIfTrue="1">
      <formula>AND($A15&lt;$B14,$A15&gt;0)</formula>
    </cfRule>
  </conditionalFormatting>
  <conditionalFormatting sqref="A25">
    <cfRule type="cellIs" dxfId="88" priority="4" operator="notEqual">
      <formula>0</formula>
    </cfRule>
  </conditionalFormatting>
  <conditionalFormatting sqref="A28:B28">
    <cfRule type="cellIs" dxfId="87" priority="56" stopIfTrue="1" operator="greaterThan">
      <formula>0</formula>
    </cfRule>
  </conditionalFormatting>
  <conditionalFormatting sqref="A29:B30">
    <cfRule type="expression" dxfId="86" priority="29">
      <formula>$A$29&gt;$A$28</formula>
    </cfRule>
  </conditionalFormatting>
  <conditionalFormatting sqref="A40:B40">
    <cfRule type="cellIs" dxfId="85" priority="55" stopIfTrue="1" operator="greaterThan">
      <formula>0</formula>
    </cfRule>
  </conditionalFormatting>
  <conditionalFormatting sqref="D14:D23">
    <cfRule type="expression" dxfId="84" priority="23">
      <formula>IF(AND($C14&gt;0,$C14&lt;$BN$12),TRUE,FALSE)</formula>
    </cfRule>
  </conditionalFormatting>
  <conditionalFormatting sqref="E14:F23">
    <cfRule type="cellIs" dxfId="83" priority="50" stopIfTrue="1" operator="between">
      <formula>1</formula>
      <formula>#REF!-1</formula>
    </cfRule>
    <cfRule type="cellIs" dxfId="82" priority="51" stopIfTrue="1" operator="greaterThan">
      <formula>$C$6</formula>
    </cfRule>
  </conditionalFormatting>
  <conditionalFormatting sqref="E18:F23">
    <cfRule type="expression" dxfId="81" priority="49" stopIfTrue="1">
      <formula>$B18&gt;0</formula>
    </cfRule>
  </conditionalFormatting>
  <conditionalFormatting sqref="G23:H23">
    <cfRule type="expression" dxfId="80" priority="27" stopIfTrue="1">
      <formula>NOT(_xlfn.ISFORMULA(G23))</formula>
    </cfRule>
  </conditionalFormatting>
  <conditionalFormatting sqref="G24:H24">
    <cfRule type="cellIs" dxfId="79" priority="14" operator="notEqual">
      <formula>0</formula>
    </cfRule>
  </conditionalFormatting>
  <conditionalFormatting sqref="G14:I23 M14:O23 S14:U23 Y14:AA23 AE14:AG23">
    <cfRule type="expression" dxfId="78" priority="42" stopIfTrue="1">
      <formula>NOT(_xlfn.ISFORMULA(G14))</formula>
    </cfRule>
  </conditionalFormatting>
  <conditionalFormatting sqref="K14:L17">
    <cfRule type="cellIs" dxfId="77" priority="47" stopIfTrue="1" operator="between">
      <formula>1</formula>
      <formula>#REF!-1</formula>
    </cfRule>
    <cfRule type="cellIs" dxfId="76" priority="48" stopIfTrue="1" operator="greaterThan">
      <formula>$C$6</formula>
    </cfRule>
  </conditionalFormatting>
  <conditionalFormatting sqref="K18:L23">
    <cfRule type="expression" dxfId="75" priority="39" stopIfTrue="1">
      <formula>$B18&gt;0</formula>
    </cfRule>
    <cfRule type="cellIs" dxfId="74" priority="40" stopIfTrue="1" operator="between">
      <formula>1</formula>
      <formula>#REF!-1</formula>
    </cfRule>
    <cfRule type="cellIs" dxfId="73" priority="41" stopIfTrue="1" operator="greaterThan">
      <formula>$D$6</formula>
    </cfRule>
  </conditionalFormatting>
  <conditionalFormatting sqref="K24:L24">
    <cfRule type="expression" dxfId="72" priority="8">
      <formula>M24&gt;0</formula>
    </cfRule>
  </conditionalFormatting>
  <conditionalFormatting sqref="M23:N23">
    <cfRule type="expression" dxfId="71" priority="26" stopIfTrue="1">
      <formula>NOT(_xlfn.ISFORMULA(M23))</formula>
    </cfRule>
  </conditionalFormatting>
  <conditionalFormatting sqref="M24:N24">
    <cfRule type="cellIs" dxfId="70" priority="13" operator="notEqual">
      <formula>0</formula>
    </cfRule>
  </conditionalFormatting>
  <conditionalFormatting sqref="N27:R27">
    <cfRule type="expression" dxfId="69" priority="22">
      <formula>$BN$25&gt;0</formula>
    </cfRule>
  </conditionalFormatting>
  <conditionalFormatting sqref="Q17">
    <cfRule type="cellIs" dxfId="68" priority="19" stopIfTrue="1" operator="between">
      <formula>1</formula>
      <formula>#REF!-1</formula>
    </cfRule>
    <cfRule type="cellIs" dxfId="67" priority="20" stopIfTrue="1" operator="greaterThan">
      <formula>$C$6</formula>
    </cfRule>
  </conditionalFormatting>
  <conditionalFormatting sqref="Q18:R23">
    <cfRule type="expression" dxfId="66" priority="36" stopIfTrue="1">
      <formula>$B18&gt;0</formula>
    </cfRule>
    <cfRule type="cellIs" dxfId="65" priority="37" stopIfTrue="1" operator="between">
      <formula>1</formula>
      <formula>#REF!-1</formula>
    </cfRule>
    <cfRule type="cellIs" dxfId="64" priority="38" stopIfTrue="1" operator="greaterThan">
      <formula>$D$6</formula>
    </cfRule>
  </conditionalFormatting>
  <conditionalFormatting sqref="Q24:R24">
    <cfRule type="expression" dxfId="63" priority="7">
      <formula>S24&gt;0</formula>
    </cfRule>
  </conditionalFormatting>
  <conditionalFormatting sqref="R14:R17">
    <cfRule type="cellIs" dxfId="62" priority="45" stopIfTrue="1" operator="between">
      <formula>1</formula>
      <formula>#REF!-1</formula>
    </cfRule>
    <cfRule type="cellIs" dxfId="61" priority="46" stopIfTrue="1" operator="greaterThan">
      <formula>$C$6</formula>
    </cfRule>
  </conditionalFormatting>
  <conditionalFormatting sqref="S5">
    <cfRule type="cellIs" dxfId="60" priority="57" stopIfTrue="1" operator="greaterThan">
      <formula>0</formula>
    </cfRule>
  </conditionalFormatting>
  <conditionalFormatting sqref="S23:T23">
    <cfRule type="expression" dxfId="59" priority="25" stopIfTrue="1">
      <formula>NOT(_xlfn.ISFORMULA(S23))</formula>
    </cfRule>
  </conditionalFormatting>
  <conditionalFormatting sqref="S24:T24">
    <cfRule type="cellIs" dxfId="58" priority="12" operator="notEqual">
      <formula>0</formula>
    </cfRule>
  </conditionalFormatting>
  <conditionalFormatting sqref="S27:X27">
    <cfRule type="expression" dxfId="57" priority="53" stopIfTrue="1">
      <formula>OR(AK26&gt;0,H31&gt;0)</formula>
    </cfRule>
  </conditionalFormatting>
  <conditionalFormatting sqref="W14:X17">
    <cfRule type="cellIs" dxfId="56" priority="17" stopIfTrue="1" operator="between">
      <formula>1</formula>
      <formula>#REF!-1</formula>
    </cfRule>
    <cfRule type="cellIs" dxfId="55" priority="18" stopIfTrue="1" operator="greaterThan">
      <formula>$C$6</formula>
    </cfRule>
  </conditionalFormatting>
  <conditionalFormatting sqref="W18:X23">
    <cfRule type="expression" dxfId="54" priority="33" stopIfTrue="1">
      <formula>$B18&gt;0</formula>
    </cfRule>
    <cfRule type="cellIs" dxfId="53" priority="34" stopIfTrue="1" operator="between">
      <formula>1</formula>
      <formula>#REF!-1</formula>
    </cfRule>
    <cfRule type="cellIs" dxfId="52" priority="35" stopIfTrue="1" operator="greaterThan">
      <formula>$D$6</formula>
    </cfRule>
  </conditionalFormatting>
  <conditionalFormatting sqref="W24:X24">
    <cfRule type="expression" dxfId="51" priority="6">
      <formula>Y24&gt;0</formula>
    </cfRule>
  </conditionalFormatting>
  <conditionalFormatting sqref="Y23:Z23">
    <cfRule type="expression" dxfId="50" priority="24" stopIfTrue="1">
      <formula>NOT(_xlfn.ISFORMULA(Y23))</formula>
    </cfRule>
  </conditionalFormatting>
  <conditionalFormatting sqref="Y24:Z24">
    <cfRule type="cellIs" dxfId="49" priority="11" operator="notEqual">
      <formula>0</formula>
    </cfRule>
  </conditionalFormatting>
  <conditionalFormatting sqref="Y29:Z29">
    <cfRule type="expression" dxfId="48" priority="15" stopIfTrue="1">
      <formula>AND($X$29&gt;0,$Y$29=0)</formula>
    </cfRule>
    <cfRule type="cellIs" dxfId="47" priority="16" stopIfTrue="1" operator="greaterThan">
      <formula>0</formula>
    </cfRule>
  </conditionalFormatting>
  <conditionalFormatting sqref="AC14:AD17">
    <cfRule type="cellIs" dxfId="46" priority="43" stopIfTrue="1" operator="between">
      <formula>1</formula>
      <formula>#REF!-1</formula>
    </cfRule>
    <cfRule type="cellIs" dxfId="45" priority="44" stopIfTrue="1" operator="greaterThan">
      <formula>$C$6</formula>
    </cfRule>
  </conditionalFormatting>
  <conditionalFormatting sqref="AC18:AD23">
    <cfRule type="expression" dxfId="44" priority="30" stopIfTrue="1">
      <formula>$B18&gt;0</formula>
    </cfRule>
    <cfRule type="cellIs" dxfId="43" priority="31" stopIfTrue="1" operator="between">
      <formula>1</formula>
      <formula>#REF!-1</formula>
    </cfRule>
    <cfRule type="cellIs" dxfId="42" priority="32" stopIfTrue="1" operator="greaterThan">
      <formula>$D$6</formula>
    </cfRule>
  </conditionalFormatting>
  <conditionalFormatting sqref="AC24:AD24">
    <cfRule type="expression" dxfId="41" priority="5">
      <formula>AE24&gt;0</formula>
    </cfRule>
  </conditionalFormatting>
  <conditionalFormatting sqref="AE23:AF23">
    <cfRule type="expression" dxfId="40" priority="28" stopIfTrue="1">
      <formula>NOT(_xlfn.ISFORMULA(AE23))</formula>
    </cfRule>
  </conditionalFormatting>
  <conditionalFormatting sqref="AE24:AF24">
    <cfRule type="cellIs" dxfId="39" priority="10" operator="notEqual">
      <formula>0</formula>
    </cfRule>
  </conditionalFormatting>
  <conditionalFormatting sqref="AK26">
    <cfRule type="expression" dxfId="38" priority="54" stopIfTrue="1">
      <formula>AND($C$6=0,$AK$26&gt;0)</formula>
    </cfRule>
  </conditionalFormatting>
  <conditionalFormatting sqref="A24:F24">
    <cfRule type="expression" dxfId="37" priority="3">
      <formula>C24&gt;0</formula>
    </cfRule>
  </conditionalFormatting>
  <conditionalFormatting sqref="Q14:Q16">
    <cfRule type="cellIs" dxfId="36" priority="1" stopIfTrue="1" operator="between">
      <formula>1</formula>
      <formula>#REF!-1</formula>
    </cfRule>
    <cfRule type="cellIs" dxfId="35" priority="2" stopIfTrue="1" operator="greaterThan">
      <formula>$C$6</formula>
    </cfRule>
  </conditionalFormatting>
  <dataValidations count="11">
    <dataValidation type="whole" operator="lessThanOrEqual" allowBlank="1" showInputMessage="1" showErrorMessage="1" error="diese Zahl passt nicht zusammen mit der Schülerzahl in Zeile 5!" prompt="Der berechnete Wert dient als Richtwert und kann überschrieben werden._x000a__x000a_Eingabe der tatsächlich eingerichteten Gruppen der GLZ" sqref="Y14:Z23 M14:N23 S14:T23 G14:H23 AE14:AF23">
      <formula1>$Q$6</formula1>
    </dataValidation>
    <dataValidation type="decimal" operator="lessThanOrEqual" allowBlank="1" showInputMessage="1" showErrorMessage="1" error="diese Zahl passt nicht zusammen mit der Schülerzahl in Zeile 5!" prompt="Berechnet wird:_x000a_Pro GLZ Gruppe eine Stunde._x000a_Pro ILZ Gruppe eine halbe Stunden._x000a_Weicht die Unterrichtseinheit von 50 min ab, wird entsprechend aliquotiert." sqref="O14:O23 U14:U23 AG14:AH24 I14:I23 AA14:AA23">
      <formula1>$Q$6</formula1>
    </dataValidation>
    <dataValidation type="whole" allowBlank="1" showInputMessage="1" error="bitte Schüler als Ganzzahl eingeben!_x000a_(mindestens = 8 pro Gruppe)" sqref="AC720912:AD720921 E65552:F65561 E131088:F131097 E196624:F196633 E262160:F262169 E327696:F327705 E393232:F393241 E458768:F458777 E524304:F524313 E589840:F589849 E655376:F655385 E720912:F720921 E786448:F786457 E851984:F851993 E917520:F917529 E983056:F983065 AC786448:AD786457 K65552:L65561 K131088:L131097 K196624:L196633 K262160:L262169 K327696:L327705 K393232:L393241 K458768:L458777 K524304:L524313 K589840:L589849 K655376:L655385 K720912:L720921 K786448:L786457 K851984:L851993 K917520:L917529 K983056:L983065 AC851984:AD851993 Q65552:R65561 Q131088:R131097 Q196624:R196633 Q262160:R262169 Q327696:R327705 Q393232:R393241 Q458768:R458777 Q524304:R524313 Q589840:R589849 Q655376:R655385 Q720912:R720921 Q786448:R786457 Q851984:R851993 Q917520:R917529 Q983056:R983065 AC917520:AD917529 W65552:X65561 W131088:X131097 W196624:X196633 W262160:X262169 W327696:X327705 W393232:X393241 W458768:X458777 W524304:X524313 W589840:X589849 W655376:X655385 W720912:X720921 W786448:X786457 W851984:X851993 W917520:X917529 W983056:X983065 AC983056:AD983065 AC65552:AD65561 AC131088:AD131097 AC196624:AD196633 AC262160:AD262169 AC327696:AD327705 AC393232:AD393241 AC458768:AD458777 AC524304:AD524313 AC589840:AD589849 AC655376:AD655385 A24">
      <formula1>$AL$2</formula1>
      <formula2>333</formula2>
    </dataValidation>
    <dataValidation type="whole" operator="lessThanOrEqual" allowBlank="1" showInputMessage="1" showErrorMessage="1" error="diese Zahl passt nicht zusammen mit der Schülerzahl in Zeile 5!" prompt="Lehrerstunden wöchentlich  ... nach Umrechnung  2 : 1_x000a__x000a_(gehalten 2  =  1 zu verrechnen)" sqref="AF720912:AH720921 H65552:I65561 H131088:I131097 H196624:I196633 H262160:I262169 H327696:I327705 H393232:I393241 H458768:I458777 H524304:I524313 H589840:I589849 H655376:I655385 H720912:I720921 H786448:I786457 H851984:I851993 H917520:I917529 H983056:I983065 AF786448:AH786457 N65552:O65561 N131088:O131097 N196624:O196633 N262160:O262169 N327696:O327705 N393232:O393241 N458768:O458777 N524304:O524313 N589840:O589849 N655376:O655385 N720912:O720921 N786448:O786457 N851984:O851993 N917520:O917529 N983056:O983065 AF851984:AH851993 T65552:U65561 T131088:U131097 T196624:U196633 T262160:U262169 T327696:U327705 T393232:U393241 T458768:U458777 T524304:U524313 T589840:U589849 T655376:U655385 T720912:U720921 T786448:U786457 T851984:U851993 T917520:U917529 T983056:U983065 AF917520:AH917529 Z65552:AA65561 Z131088:AA131097 Z196624:AA196633 Z262160:AA262169 Z327696:AA327705 Z393232:AA393241 Z458768:AA458777 Z524304:AA524313 Z589840:AA589849 Z655376:AA655385 Z720912:AA720921 Z786448:AA786457 Z851984:AA851993 Z917520:AA917529 Z983056:AA983065 AF983056:AH983065 AF65552:AH65561 AF131088:AH131097 AF196624:AH196633 AF262160:AH262169 AF327696:AH327705 AF393232:AH393241 AF458768:AH458777 AF524304:AH524313 AF589840:AH589849 AF655376:AH655385">
      <formula1>$Q$6</formula1>
    </dataValidation>
    <dataValidation type="whole" operator="lessThanOrEqual" allowBlank="1" showErrorMessage="1" error="diese Zahl passt nicht zusammen mit der Schülerzahl in Zeile 5!" sqref="AE720912:AE720921 G65552:G65561 G131088:G131097 G196624:G196633 G262160:G262169 G327696:G327705 G393232:G393241 G458768:G458777 G524304:G524313 G589840:G589849 G655376:G655385 G720912:G720921 G786448:G786457 G851984:G851993 G917520:G917529 G983056:G983065 AE786448:AE786457 M65552:M65561 M131088:M131097 M196624:M196633 M262160:M262169 M327696:M327705 M393232:M393241 M458768:M458777 M524304:M524313 M589840:M589849 M655376:M655385 M720912:M720921 M786448:M786457 M851984:M851993 M917520:M917529 M983056:M983065 AE851984:AE851993 S65552:S65561 S131088:S131097 S196624:S196633 S262160:S262169 S327696:S327705 S393232:S393241 S458768:S458777 S524304:S524313 S589840:S589849 S655376:S655385 S720912:S720921 S786448:S786457 S851984:S851993 S917520:S917529 S983056:S983065 AE917520:AE917529 Y65552:Y65561 Y131088:Y131097 Y196624:Y196633 Y262160:Y262169 Y327696:Y327705 Y393232:Y393241 Y458768:Y458777 Y524304:Y524313 Y589840:Y589849 Y655376:Y655385 Y720912:Y720921 Y786448:Y786457 Y851984:Y851993 Y917520:Y917529 Y983056:Y983065 AE983056:AE983065 AE65552:AE65561 AE131088:AE131097 AE196624:AE196633 AE262160:AE262169 AE327696:AE327705 AE393232:AE393241 AE458768:AE458777 AE524304:AE524313 AE589840:AE589849 AE655376:AE655385">
      <formula1>$Q$6</formula1>
    </dataValidation>
    <dataValidation type="time" allowBlank="1" showInputMessage="1" showErrorMessage="1" error="Uhrzeit bitte mit Doppelpunkt eingeben" prompt="Uhrzeit bitte mit Doppelpunkt eingeben" sqref="A983056 A65552 A131088 A196624 A262160 A327696 A393232 A458768 A524304 A589840 A655376 A720912 A786448 A851984 A917520 A14">
      <formula1>0.291666666666667</formula1>
      <formula2>0.75</formula2>
    </dataValidation>
    <dataValidation type="time" allowBlank="1" showInputMessage="1" showErrorMessage="1" error="Uhrzeit bitte mit Doppelpunkt eingeben" sqref="A917521:A917529 B65552:B65561 B131088:B131097 B196624:B196633 B262160:B262169 B327696:B327705 B393232:B393241 B458768:B458777 B524304:B524313 B589840:B589849 B655376:B655385 B720912:B720921 B786448:B786457 B851984:B851993 B917520:B917529 B983056:B983065 A983057:A983065 A65553:A65561 A131089:A131097 A196625:A196633 A262161:A262169 A327697:A327705 A393233:A393241 A458769:A458777 A524305:A524313 A589841:A589849 A655377:A655385 A720913:A720921 A786449:A786457 A851985:A851993 A15:A23 B14:B23">
      <formula1>0.291666666666667</formula1>
      <formula2>0.75</formula2>
    </dataValidation>
    <dataValidation type="whole" allowBlank="1" showInputMessage="1" showErrorMessage="1" error="soviel geht nicht!" prompt="jeder (verschiedene) Schülerkopf = 1_x000a_... unabhängig an wieviel Tagen pro Woche_x000a__x000a_Minuseintrag = selber keine Gruppe_x000a_" sqref="M5 M65543 M131079 M196615 M262151 M327687 M393223 M458759 M524295 M589831 M655367 M720903 M786439 M851975 M917511 M983047">
      <formula1>-J5</formula1>
      <formula2>222</formula2>
    </dataValidation>
    <dataValidation allowBlank="1" showInputMessage="1" showErrorMessage="1" prompt="Die Wochensstunden der Individ.LZ sind _x000a_mit 2 : 1 umgerechnet einzutragen _x000a_(gehalten 2  =  1 zu verrechnen)" sqref="T852002:U852002 H65570:I65570 H131106:I131106 H196642:I196642 H262178:I262178 H327714:I327714 H393250:I393250 H458786:I458786 H524322:I524322 H589858:I589858 H655394:I655394 H720930:I720930 H786466:I786466 H852002:I852002 H917538:I917538 H983074:I983074 T917538:U917538 N65570:O65570 N131106:O131106 N196642:O196642 N262178:O262178 N327714:O327714 N393250:O393250 N458786:O458786 N524322:O524322 N589858:O589858 N655394:O655394 N720930:O720930 N786466:O786466 N852002:O852002 N917538:O917538 N983074:O983074 T983074:U983074 T65570:U65570 T131106:U131106 T196642:U196642 T262178:U262178 T327714:U327714 T393250:U393250 T458786:U458786 T524322:U524322 T589858:U589858 T655394:U655394 T720930:U720930 T786466:U786466"/>
    <dataValidation allowBlank="1" showInputMessage="1" showErrorMessage="1" prompt="Lehrerstunden wöchentlich in GL _x000a_1 : 1 einzutragen (wie gehalten)" sqref="S852002 G65570 G131106 G196642 G262178 G327714 G393250 G458786 G524322 G589858 G655394 G720930 G786466 G852002 G917538 G983074 S917538 M65570 M131106 M196642 M262178 M327714 M393250 M458786 M524322 M589858 M655394 M720930 M786466 M852002 M917538 M983074 S983074 S65570 S131106 S196642 S262178 S327714 S393250 S458786 S524322 S589858 S655394 S720930 S786466"/>
    <dataValidation type="whole" operator="greaterThanOrEqual" allowBlank="1" showInputMessage="1" showErrorMessage="1" error="bitte Schüler als Ganzzahl eingeben!_x000a_(mindestens = 7 pro Gruppe)" sqref="E14:F23 AC14:AD23 K14:L23 W14:X23 Q14:R23">
      <formula1>$AM$2</formula1>
    </dataValidation>
  </dataValidations>
  <hyperlinks>
    <hyperlink ref="V4" r:id="rId1"/>
  </hyperlinks>
  <printOptions horizontalCentered="1"/>
  <pageMargins left="0.48" right="0.32" top="0.35433070866141736" bottom="0.31496062992125984" header="0.39370078740157483" footer="0.43307086614173229"/>
  <pageSetup paperSize="9" scale="77" fitToHeight="2" orientation="landscape" horizontalDpi="4294967293" r:id="rId2"/>
  <headerFooter alignWithMargins="0">
    <oddFooter>&amp;C&amp;8&amp;F</oddFooter>
  </headerFooter>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99FF"/>
    <pageSetUpPr fitToPage="1"/>
  </sheetPr>
  <dimension ref="A1:S92"/>
  <sheetViews>
    <sheetView showGridLines="0" showZeros="0" zoomScaleNormal="100" workbookViewId="0">
      <selection activeCell="A5" sqref="A5"/>
    </sheetView>
  </sheetViews>
  <sheetFormatPr baseColWidth="10" defaultColWidth="11.42578125" defaultRowHeight="15" customHeight="1" zeroHeight="1" x14ac:dyDescent="0.25"/>
  <cols>
    <col min="1" max="1" width="7.140625" style="248" customWidth="1"/>
    <col min="2" max="2" width="9.140625" style="248" customWidth="1"/>
    <col min="3" max="3" width="12.85546875" style="248" customWidth="1"/>
    <col min="4" max="4" width="8.85546875" style="248" customWidth="1"/>
    <col min="5" max="5" width="7.7109375" style="248" customWidth="1"/>
    <col min="6" max="6" width="6.85546875" style="248" customWidth="1"/>
    <col min="7" max="7" width="1" style="138" customWidth="1"/>
    <col min="8" max="9" width="9.85546875" style="248" customWidth="1"/>
    <col min="10" max="10" width="1" style="138" customWidth="1"/>
    <col min="11" max="12" width="8.5703125" style="248" customWidth="1"/>
    <col min="13" max="13" width="3.42578125" style="248" customWidth="1"/>
    <col min="14" max="14" width="7.5703125" style="138" customWidth="1"/>
    <col min="15" max="16384" width="11.42578125" style="138"/>
  </cols>
  <sheetData>
    <row r="1" spans="1:19" ht="26.25" x14ac:dyDescent="0.4">
      <c r="A1" s="495" t="s">
        <v>631</v>
      </c>
      <c r="B1" s="496"/>
      <c r="C1" s="497"/>
      <c r="D1" s="497"/>
      <c r="E1" s="497"/>
      <c r="F1" s="498"/>
      <c r="G1" s="499"/>
      <c r="H1" s="497"/>
      <c r="I1" s="497"/>
      <c r="J1" s="500"/>
      <c r="K1" s="497"/>
      <c r="L1" s="501" t="str">
        <f>Konti_MS!C7</f>
        <v>MS  . . .</v>
      </c>
      <c r="M1" s="503">
        <f>Konti_MS!B7</f>
        <v>0</v>
      </c>
      <c r="N1" s="353"/>
      <c r="S1" s="118" t="s">
        <v>628</v>
      </c>
    </row>
    <row r="2" spans="1:19" s="509" customFormat="1" ht="19.5" customHeight="1" x14ac:dyDescent="0.4">
      <c r="A2" s="502" t="s">
        <v>630</v>
      </c>
      <c r="B2" s="504"/>
      <c r="C2" s="505"/>
      <c r="D2" s="505"/>
      <c r="E2" s="505"/>
      <c r="F2" s="299"/>
      <c r="G2" s="506"/>
      <c r="H2" s="505"/>
      <c r="I2" s="505"/>
      <c r="J2" s="507"/>
      <c r="K2" s="505"/>
      <c r="L2" s="301"/>
      <c r="M2" s="508"/>
      <c r="N2" s="353"/>
      <c r="S2" s="118"/>
    </row>
    <row r="3" spans="1:19" ht="4.5" customHeight="1" x14ac:dyDescent="0.25">
      <c r="G3" s="300"/>
      <c r="N3" s="353"/>
    </row>
    <row r="4" spans="1:19" ht="33.75" x14ac:dyDescent="0.5">
      <c r="B4" s="302"/>
      <c r="D4" s="303" t="str">
        <f>"Bedarfsplanung für 20"&amp;RIGHT(Konti_MS!H1,5)</f>
        <v>Bedarfsplanung für 2024/25</v>
      </c>
      <c r="G4" s="300"/>
      <c r="H4" s="922" t="s">
        <v>661</v>
      </c>
      <c r="I4" s="922" t="s">
        <v>454</v>
      </c>
      <c r="K4" s="925" t="s">
        <v>455</v>
      </c>
      <c r="L4" s="925" t="s">
        <v>456</v>
      </c>
      <c r="N4" s="353"/>
    </row>
    <row r="5" spans="1:19" ht="21" x14ac:dyDescent="0.3">
      <c r="A5" s="304"/>
      <c r="B5" s="305"/>
      <c r="C5" s="306"/>
      <c r="D5" s="307">
        <f>Konti_MS!C16</f>
        <v>0</v>
      </c>
      <c r="F5" s="928">
        <f>COUNTIF(F9:F57,O9)</f>
        <v>0</v>
      </c>
      <c r="G5" s="300"/>
      <c r="H5" s="923"/>
      <c r="I5" s="923"/>
      <c r="K5" s="926"/>
      <c r="L5" s="926"/>
      <c r="N5" s="353"/>
    </row>
    <row r="6" spans="1:19" ht="21" x14ac:dyDescent="0.35">
      <c r="A6" s="308"/>
      <c r="B6" s="309" t="s">
        <v>457</v>
      </c>
      <c r="C6" s="310">
        <f>SUBTOTAL(103,C9:C57)</f>
        <v>0</v>
      </c>
      <c r="D6" s="311">
        <f>IF(AND(C6&gt;0,D5&gt;0),ROUND(C6/D5,3),)</f>
        <v>0</v>
      </c>
      <c r="F6" s="929"/>
      <c r="G6" s="300"/>
      <c r="H6" s="923"/>
      <c r="I6" s="923"/>
      <c r="K6" s="926"/>
      <c r="L6" s="926"/>
      <c r="N6" s="353"/>
    </row>
    <row r="7" spans="1:19" ht="31.5" x14ac:dyDescent="0.5">
      <c r="A7" s="312" t="s">
        <v>458</v>
      </c>
      <c r="B7" s="313" t="s">
        <v>459</v>
      </c>
      <c r="C7" s="314" t="s">
        <v>460</v>
      </c>
      <c r="D7" s="315"/>
      <c r="E7" s="316" t="s">
        <v>461</v>
      </c>
      <c r="F7" s="312" t="s">
        <v>11</v>
      </c>
      <c r="G7" s="317"/>
      <c r="H7" s="924"/>
      <c r="I7" s="924"/>
      <c r="K7" s="927"/>
      <c r="L7" s="927"/>
      <c r="M7" s="318" t="s">
        <v>462</v>
      </c>
      <c r="N7" s="353"/>
    </row>
    <row r="8" spans="1:19" ht="4.5" customHeight="1" x14ac:dyDescent="0.25">
      <c r="M8" s="319"/>
      <c r="N8" s="353"/>
    </row>
    <row r="9" spans="1:19" x14ac:dyDescent="0.25">
      <c r="A9" s="320"/>
      <c r="B9" s="320"/>
      <c r="C9" s="321"/>
      <c r="D9" s="322"/>
      <c r="E9" s="320"/>
      <c r="F9" s="323"/>
      <c r="H9" s="324"/>
      <c r="I9" s="324"/>
      <c r="K9" s="320"/>
      <c r="L9" s="320"/>
      <c r="M9" s="325" t="str">
        <f>IF(C9&gt;0,MAX(M$8:M8)+1,"")</f>
        <v/>
      </c>
      <c r="N9" s="353"/>
      <c r="O9" s="326" t="s">
        <v>659</v>
      </c>
    </row>
    <row r="10" spans="1:19" x14ac:dyDescent="0.25">
      <c r="A10" s="320"/>
      <c r="B10" s="320"/>
      <c r="C10" s="321"/>
      <c r="D10" s="322"/>
      <c r="E10" s="320"/>
      <c r="F10" s="323"/>
      <c r="G10" s="327"/>
      <c r="H10" s="324"/>
      <c r="I10" s="324"/>
      <c r="J10" s="327"/>
      <c r="K10" s="320"/>
      <c r="L10" s="320"/>
      <c r="M10" s="325" t="str">
        <f>IF(C10&gt;0,MAX(M$8:M9)+1,"")</f>
        <v/>
      </c>
      <c r="N10" s="353"/>
      <c r="O10" s="326" t="s">
        <v>660</v>
      </c>
    </row>
    <row r="11" spans="1:19" x14ac:dyDescent="0.25">
      <c r="A11" s="320"/>
      <c r="B11" s="320"/>
      <c r="C11" s="321"/>
      <c r="D11" s="322"/>
      <c r="E11" s="320"/>
      <c r="F11" s="323"/>
      <c r="H11" s="324"/>
      <c r="I11" s="324"/>
      <c r="K11" s="320"/>
      <c r="L11" s="320"/>
      <c r="M11" s="325" t="str">
        <f>IF(C11&gt;0,MAX(M$8:M10)+1,"")</f>
        <v/>
      </c>
      <c r="N11" s="353"/>
      <c r="O11" s="326" t="s">
        <v>470</v>
      </c>
    </row>
    <row r="12" spans="1:19" x14ac:dyDescent="0.25">
      <c r="A12" s="328"/>
      <c r="B12" s="328"/>
      <c r="C12" s="329"/>
      <c r="D12" s="330"/>
      <c r="E12" s="328"/>
      <c r="F12" s="331"/>
      <c r="H12" s="328"/>
      <c r="I12" s="328"/>
      <c r="K12" s="328"/>
      <c r="L12" s="328"/>
      <c r="M12" s="325" t="str">
        <f>IF(C12&gt;0,MAX(M$8:M11)+1,"")</f>
        <v/>
      </c>
      <c r="N12" s="353"/>
      <c r="O12" s="326"/>
    </row>
    <row r="13" spans="1:19" x14ac:dyDescent="0.25">
      <c r="A13" s="328"/>
      <c r="B13" s="328"/>
      <c r="C13" s="329"/>
      <c r="D13" s="330"/>
      <c r="E13" s="328"/>
      <c r="F13" s="331"/>
      <c r="G13" s="327"/>
      <c r="H13" s="328"/>
      <c r="I13" s="328"/>
      <c r="J13" s="327"/>
      <c r="K13" s="328"/>
      <c r="L13" s="328"/>
      <c r="M13" s="325" t="str">
        <f>IF(C13&gt;0,MAX(M$8:M12)+1,"")</f>
        <v/>
      </c>
      <c r="N13" s="353"/>
      <c r="O13" s="326" t="s">
        <v>471</v>
      </c>
    </row>
    <row r="14" spans="1:19" x14ac:dyDescent="0.25">
      <c r="A14" s="328"/>
      <c r="B14" s="328"/>
      <c r="C14" s="329"/>
      <c r="D14" s="330"/>
      <c r="E14" s="332"/>
      <c r="F14" s="333"/>
      <c r="H14" s="334"/>
      <c r="I14" s="334"/>
      <c r="K14" s="334"/>
      <c r="L14" s="335"/>
      <c r="M14" s="325" t="str">
        <f>IF(C14&gt;0,MAX(M$8:M13)+1,"")</f>
        <v/>
      </c>
      <c r="N14" s="353"/>
      <c r="O14" s="326" t="s">
        <v>472</v>
      </c>
    </row>
    <row r="15" spans="1:19" x14ac:dyDescent="0.25">
      <c r="A15" s="328"/>
      <c r="B15" s="328"/>
      <c r="C15" s="329"/>
      <c r="D15" s="330"/>
      <c r="E15" s="332"/>
      <c r="F15" s="333"/>
      <c r="G15" s="327"/>
      <c r="H15" s="334"/>
      <c r="I15" s="334"/>
      <c r="J15" s="327"/>
      <c r="K15" s="334"/>
      <c r="L15" s="335"/>
      <c r="M15" s="325" t="str">
        <f>IF(C15&gt;0,MAX(M$8:M14)+1,"")</f>
        <v/>
      </c>
      <c r="N15" s="353"/>
      <c r="O15" s="326" t="s">
        <v>473</v>
      </c>
    </row>
    <row r="16" spans="1:19" x14ac:dyDescent="0.25">
      <c r="A16" s="328"/>
      <c r="B16" s="328"/>
      <c r="C16" s="329"/>
      <c r="D16" s="330"/>
      <c r="E16" s="332"/>
      <c r="F16" s="333"/>
      <c r="H16" s="334"/>
      <c r="I16" s="334"/>
      <c r="K16" s="334"/>
      <c r="L16" s="335"/>
      <c r="M16" s="325" t="str">
        <f>IF(C16&gt;0,MAX(M$8:M15)+1,"")</f>
        <v/>
      </c>
      <c r="N16" s="353"/>
      <c r="O16" s="326" t="s">
        <v>474</v>
      </c>
    </row>
    <row r="17" spans="1:15" x14ac:dyDescent="0.25">
      <c r="A17" s="328"/>
      <c r="B17" s="328"/>
      <c r="C17" s="329"/>
      <c r="D17" s="330"/>
      <c r="E17" s="332"/>
      <c r="F17" s="333"/>
      <c r="H17" s="334"/>
      <c r="I17" s="334"/>
      <c r="K17" s="334"/>
      <c r="L17" s="335"/>
      <c r="M17" s="325" t="str">
        <f>IF(C17&gt;0,MAX(M$8:M16)+1,"")</f>
        <v/>
      </c>
      <c r="N17" s="353"/>
      <c r="O17" s="326"/>
    </row>
    <row r="18" spans="1:15" x14ac:dyDescent="0.25">
      <c r="A18" s="328"/>
      <c r="B18" s="328"/>
      <c r="C18" s="329"/>
      <c r="D18" s="330"/>
      <c r="E18" s="332"/>
      <c r="F18" s="333"/>
      <c r="G18" s="327"/>
      <c r="H18" s="334"/>
      <c r="I18" s="334"/>
      <c r="J18" s="327"/>
      <c r="K18" s="334"/>
      <c r="L18" s="335"/>
      <c r="M18" s="325" t="str">
        <f>IF(C18&gt;0,MAX(M$8:M17)+1,"")</f>
        <v/>
      </c>
      <c r="N18" s="353"/>
      <c r="O18" s="326"/>
    </row>
    <row r="19" spans="1:15" x14ac:dyDescent="0.25">
      <c r="A19" s="328"/>
      <c r="B19" s="328"/>
      <c r="C19" s="329"/>
      <c r="D19" s="330"/>
      <c r="E19" s="332"/>
      <c r="F19" s="333"/>
      <c r="H19" s="334"/>
      <c r="I19" s="334"/>
      <c r="K19" s="334"/>
      <c r="L19" s="335"/>
      <c r="M19" s="325" t="str">
        <f>IF(C19&gt;0,MAX(M$8:M18)+1,"")</f>
        <v/>
      </c>
      <c r="N19" s="353"/>
    </row>
    <row r="20" spans="1:15" x14ac:dyDescent="0.25">
      <c r="A20" s="328"/>
      <c r="B20" s="328"/>
      <c r="C20" s="329"/>
      <c r="D20" s="330"/>
      <c r="E20" s="332"/>
      <c r="F20" s="333"/>
      <c r="G20" s="327"/>
      <c r="H20" s="334"/>
      <c r="I20" s="334"/>
      <c r="J20" s="327"/>
      <c r="K20" s="334"/>
      <c r="L20" s="335"/>
      <c r="M20" s="325" t="str">
        <f>IF(C20&gt;0,MAX(M$8:M19)+1,"")</f>
        <v/>
      </c>
      <c r="N20" s="353"/>
    </row>
    <row r="21" spans="1:15" x14ac:dyDescent="0.25">
      <c r="A21" s="328"/>
      <c r="B21" s="328"/>
      <c r="C21" s="329"/>
      <c r="D21" s="330"/>
      <c r="E21" s="332"/>
      <c r="F21" s="333"/>
      <c r="H21" s="334"/>
      <c r="I21" s="334"/>
      <c r="K21" s="334"/>
      <c r="L21" s="335"/>
      <c r="M21" s="325" t="str">
        <f>IF(C21&gt;0,MAX(M$8:M20)+1,"")</f>
        <v/>
      </c>
      <c r="N21" s="353"/>
    </row>
    <row r="22" spans="1:15" x14ac:dyDescent="0.25">
      <c r="A22" s="328"/>
      <c r="B22" s="328"/>
      <c r="C22" s="329"/>
      <c r="D22" s="330"/>
      <c r="E22" s="332"/>
      <c r="F22" s="333"/>
      <c r="H22" s="334"/>
      <c r="I22" s="334"/>
      <c r="K22" s="334"/>
      <c r="L22" s="335"/>
      <c r="M22" s="325" t="str">
        <f>IF(C22&gt;0,MAX(M$8:M21)+1,"")</f>
        <v/>
      </c>
      <c r="N22" s="353"/>
    </row>
    <row r="23" spans="1:15" x14ac:dyDescent="0.25">
      <c r="A23" s="328"/>
      <c r="B23" s="328"/>
      <c r="C23" s="329"/>
      <c r="D23" s="330"/>
      <c r="E23" s="332"/>
      <c r="F23" s="333"/>
      <c r="G23" s="327"/>
      <c r="H23" s="334"/>
      <c r="I23" s="334"/>
      <c r="J23" s="327"/>
      <c r="K23" s="334"/>
      <c r="L23" s="335"/>
      <c r="M23" s="325" t="str">
        <f>IF(C23&gt;0,MAX(M$8:M22)+1,"")</f>
        <v/>
      </c>
      <c r="N23" s="353"/>
    </row>
    <row r="24" spans="1:15" hidden="1" x14ac:dyDescent="0.25">
      <c r="A24" s="328"/>
      <c r="B24" s="328"/>
      <c r="C24" s="329"/>
      <c r="D24" s="330"/>
      <c r="E24" s="332"/>
      <c r="F24" s="333"/>
      <c r="H24" s="334"/>
      <c r="I24" s="334"/>
      <c r="K24" s="334"/>
      <c r="L24" s="335"/>
      <c r="M24" s="325" t="str">
        <f>IF(C24&gt;0,MAX(M$8:M23)+1,"")</f>
        <v/>
      </c>
      <c r="N24" s="353"/>
    </row>
    <row r="25" spans="1:15" hidden="1" x14ac:dyDescent="0.25">
      <c r="A25" s="328"/>
      <c r="B25" s="328"/>
      <c r="C25" s="329"/>
      <c r="D25" s="330"/>
      <c r="E25" s="332"/>
      <c r="F25" s="333"/>
      <c r="G25" s="327"/>
      <c r="H25" s="334"/>
      <c r="I25" s="334"/>
      <c r="J25" s="327"/>
      <c r="K25" s="334"/>
      <c r="L25" s="335"/>
      <c r="M25" s="325" t="str">
        <f>IF(C25&gt;0,MAX(M$8:M24)+1,"")</f>
        <v/>
      </c>
      <c r="N25" s="353"/>
    </row>
    <row r="26" spans="1:15" hidden="1" x14ac:dyDescent="0.25">
      <c r="A26" s="328"/>
      <c r="B26" s="328"/>
      <c r="C26" s="329"/>
      <c r="D26" s="330"/>
      <c r="E26" s="332"/>
      <c r="F26" s="333"/>
      <c r="H26" s="334"/>
      <c r="I26" s="334"/>
      <c r="K26" s="334"/>
      <c r="L26" s="335"/>
      <c r="M26" s="325" t="str">
        <f>IF(C26&gt;0,MAX(M$8:M25)+1,"")</f>
        <v/>
      </c>
      <c r="N26" s="353"/>
    </row>
    <row r="27" spans="1:15" hidden="1" x14ac:dyDescent="0.25">
      <c r="A27" s="328"/>
      <c r="B27" s="328"/>
      <c r="C27" s="329"/>
      <c r="D27" s="330"/>
      <c r="E27" s="332"/>
      <c r="F27" s="333"/>
      <c r="H27" s="334"/>
      <c r="I27" s="334"/>
      <c r="K27" s="334"/>
      <c r="L27" s="335"/>
      <c r="M27" s="325" t="str">
        <f>IF(C27&gt;0,MAX(M$8:M26)+1,"")</f>
        <v/>
      </c>
      <c r="N27" s="353"/>
    </row>
    <row r="28" spans="1:15" hidden="1" x14ac:dyDescent="0.25">
      <c r="A28" s="328"/>
      <c r="B28" s="328"/>
      <c r="C28" s="329"/>
      <c r="D28" s="330"/>
      <c r="E28" s="332"/>
      <c r="F28" s="333"/>
      <c r="G28" s="327"/>
      <c r="H28" s="334"/>
      <c r="I28" s="334"/>
      <c r="J28" s="327"/>
      <c r="K28" s="334"/>
      <c r="L28" s="335"/>
      <c r="M28" s="325" t="str">
        <f>IF(C28&gt;0,MAX(M$8:M26)+1,"")</f>
        <v/>
      </c>
      <c r="N28" s="353"/>
    </row>
    <row r="29" spans="1:15" hidden="1" x14ac:dyDescent="0.25">
      <c r="A29" s="328"/>
      <c r="B29" s="328"/>
      <c r="C29" s="329"/>
      <c r="D29" s="330"/>
      <c r="E29" s="332"/>
      <c r="F29" s="333"/>
      <c r="H29" s="334"/>
      <c r="I29" s="334"/>
      <c r="K29" s="334"/>
      <c r="L29" s="335"/>
      <c r="M29" s="325" t="str">
        <f>IF(C29&gt;0,MAX(M$8:M28)+1,"")</f>
        <v/>
      </c>
      <c r="N29" s="353"/>
    </row>
    <row r="30" spans="1:15" hidden="1" x14ac:dyDescent="0.25">
      <c r="A30" s="328"/>
      <c r="B30" s="328"/>
      <c r="C30" s="329"/>
      <c r="D30" s="330"/>
      <c r="E30" s="332"/>
      <c r="F30" s="333"/>
      <c r="G30" s="327"/>
      <c r="H30" s="334"/>
      <c r="I30" s="334"/>
      <c r="J30" s="327"/>
      <c r="K30" s="334"/>
      <c r="L30" s="335"/>
      <c r="M30" s="325" t="str">
        <f>IF(C30&gt;0,MAX(M$8:M29)+1,"")</f>
        <v/>
      </c>
      <c r="N30" s="353"/>
    </row>
    <row r="31" spans="1:15" hidden="1" x14ac:dyDescent="0.25">
      <c r="A31" s="328"/>
      <c r="B31" s="328"/>
      <c r="C31" s="329"/>
      <c r="D31" s="330"/>
      <c r="E31" s="332"/>
      <c r="F31" s="333"/>
      <c r="H31" s="334"/>
      <c r="I31" s="334"/>
      <c r="K31" s="334"/>
      <c r="L31" s="335"/>
      <c r="M31" s="325" t="str">
        <f>IF(C31&gt;0,MAX(M$8:M30)+1,"")</f>
        <v/>
      </c>
      <c r="N31" s="353"/>
    </row>
    <row r="32" spans="1:15" hidden="1" x14ac:dyDescent="0.25">
      <c r="A32" s="328"/>
      <c r="B32" s="328"/>
      <c r="C32" s="329"/>
      <c r="D32" s="330"/>
      <c r="E32" s="332"/>
      <c r="F32" s="333"/>
      <c r="H32" s="334"/>
      <c r="I32" s="334"/>
      <c r="K32" s="334"/>
      <c r="L32" s="335"/>
      <c r="M32" s="325" t="str">
        <f>IF(C32&gt;0,MAX(M$8:M31)+1,"")</f>
        <v/>
      </c>
      <c r="N32" s="353"/>
    </row>
    <row r="33" spans="1:14" hidden="1" x14ac:dyDescent="0.25">
      <c r="A33" s="328"/>
      <c r="B33" s="328"/>
      <c r="C33" s="329"/>
      <c r="D33" s="330"/>
      <c r="E33" s="332"/>
      <c r="F33" s="333"/>
      <c r="G33" s="327"/>
      <c r="H33" s="334"/>
      <c r="I33" s="334"/>
      <c r="J33" s="327"/>
      <c r="K33" s="334"/>
      <c r="L33" s="335"/>
      <c r="M33" s="325" t="str">
        <f>IF(C33&gt;0,MAX(M$8:M9)+1,"")</f>
        <v/>
      </c>
      <c r="N33" s="353"/>
    </row>
    <row r="34" spans="1:14" hidden="1" x14ac:dyDescent="0.25">
      <c r="A34" s="328"/>
      <c r="B34" s="328"/>
      <c r="C34" s="329"/>
      <c r="D34" s="330"/>
      <c r="E34" s="332"/>
      <c r="F34" s="333"/>
      <c r="H34" s="334"/>
      <c r="I34" s="334"/>
      <c r="K34" s="334"/>
      <c r="L34" s="335"/>
      <c r="M34" s="325" t="str">
        <f>IF(C34&gt;0,MAX(M$8:M10)+1,"")</f>
        <v/>
      </c>
      <c r="N34" s="353"/>
    </row>
    <row r="35" spans="1:14" hidden="1" x14ac:dyDescent="0.25">
      <c r="A35" s="328"/>
      <c r="B35" s="328"/>
      <c r="C35" s="329"/>
      <c r="D35" s="330"/>
      <c r="E35" s="332"/>
      <c r="F35" s="333"/>
      <c r="G35" s="327"/>
      <c r="H35" s="334"/>
      <c r="I35" s="334"/>
      <c r="J35" s="327"/>
      <c r="K35" s="334"/>
      <c r="L35" s="335"/>
      <c r="M35" s="325" t="str">
        <f>IF(C35&gt;0,MAX(M$8:M11)+1,"")</f>
        <v/>
      </c>
      <c r="N35" s="353"/>
    </row>
    <row r="36" spans="1:14" hidden="1" x14ac:dyDescent="0.25">
      <c r="A36" s="328"/>
      <c r="B36" s="328"/>
      <c r="C36" s="329"/>
      <c r="D36" s="330"/>
      <c r="E36" s="332"/>
      <c r="F36" s="333"/>
      <c r="H36" s="334"/>
      <c r="I36" s="334"/>
      <c r="K36" s="334"/>
      <c r="L36" s="335"/>
      <c r="M36" s="325" t="str">
        <f>IF(C36&gt;0,MAX(M$8:M12)+1,"")</f>
        <v/>
      </c>
      <c r="N36" s="353"/>
    </row>
    <row r="37" spans="1:14" hidden="1" x14ac:dyDescent="0.25">
      <c r="A37" s="328"/>
      <c r="B37" s="328"/>
      <c r="C37" s="329"/>
      <c r="D37" s="330"/>
      <c r="E37" s="332"/>
      <c r="F37" s="333"/>
      <c r="H37" s="334"/>
      <c r="I37" s="334"/>
      <c r="K37" s="334"/>
      <c r="L37" s="335"/>
      <c r="M37" s="325" t="str">
        <f>IF(C37&gt;0,MAX(M$8:M13)+1,"")</f>
        <v/>
      </c>
      <c r="N37" s="353"/>
    </row>
    <row r="38" spans="1:14" hidden="1" x14ac:dyDescent="0.25">
      <c r="A38" s="328"/>
      <c r="B38" s="328"/>
      <c r="C38" s="329"/>
      <c r="D38" s="330"/>
      <c r="E38" s="332"/>
      <c r="F38" s="333"/>
      <c r="G38" s="327"/>
      <c r="H38" s="334"/>
      <c r="I38" s="334"/>
      <c r="J38" s="327"/>
      <c r="K38" s="334"/>
      <c r="L38" s="335"/>
      <c r="M38" s="325" t="str">
        <f>IF(C38&gt;0,MAX(M$8:M14)+1,"")</f>
        <v/>
      </c>
      <c r="N38" s="353"/>
    </row>
    <row r="39" spans="1:14" hidden="1" x14ac:dyDescent="0.25">
      <c r="A39" s="328"/>
      <c r="B39" s="328"/>
      <c r="C39" s="329"/>
      <c r="D39" s="330"/>
      <c r="E39" s="332"/>
      <c r="F39" s="333"/>
      <c r="H39" s="334"/>
      <c r="I39" s="334"/>
      <c r="K39" s="334"/>
      <c r="L39" s="335"/>
      <c r="M39" s="325" t="str">
        <f>IF(C39&gt;0,MAX(M$8:M15)+1,"")</f>
        <v/>
      </c>
      <c r="N39" s="353"/>
    </row>
    <row r="40" spans="1:14" hidden="1" x14ac:dyDescent="0.25">
      <c r="A40" s="328"/>
      <c r="B40" s="328"/>
      <c r="C40" s="329"/>
      <c r="D40" s="330"/>
      <c r="E40" s="332"/>
      <c r="F40" s="333"/>
      <c r="G40" s="327"/>
      <c r="H40" s="334"/>
      <c r="I40" s="334"/>
      <c r="J40" s="327"/>
      <c r="K40" s="334"/>
      <c r="L40" s="335"/>
      <c r="M40" s="325" t="str">
        <f>IF(C40&gt;0,MAX(M6:M$8)+1,"")</f>
        <v/>
      </c>
      <c r="N40" s="353"/>
    </row>
    <row r="41" spans="1:14" hidden="1" x14ac:dyDescent="0.25">
      <c r="A41" s="328"/>
      <c r="B41" s="328"/>
      <c r="C41" s="329"/>
      <c r="D41" s="330"/>
      <c r="E41" s="332"/>
      <c r="F41" s="333"/>
      <c r="H41" s="334"/>
      <c r="I41" s="334"/>
      <c r="K41" s="334"/>
      <c r="L41" s="335"/>
      <c r="M41" s="325" t="str">
        <f>IF(C41&gt;0,MAX(M7:M$8)+1,"")</f>
        <v/>
      </c>
      <c r="N41" s="353"/>
    </row>
    <row r="42" spans="1:14" hidden="1" x14ac:dyDescent="0.25">
      <c r="A42" s="328"/>
      <c r="B42" s="328"/>
      <c r="C42" s="329"/>
      <c r="D42" s="330"/>
      <c r="E42" s="332"/>
      <c r="F42" s="333"/>
      <c r="H42" s="334"/>
      <c r="I42" s="334"/>
      <c r="K42" s="334"/>
      <c r="L42" s="335"/>
      <c r="M42" s="325" t="str">
        <f>IF(C42&gt;0,MAX(M$8:M8)+1,"")</f>
        <v/>
      </c>
      <c r="N42" s="353"/>
    </row>
    <row r="43" spans="1:14" hidden="1" x14ac:dyDescent="0.25">
      <c r="A43" s="328"/>
      <c r="B43" s="328"/>
      <c r="C43" s="329"/>
      <c r="D43" s="330"/>
      <c r="E43" s="332"/>
      <c r="F43" s="333"/>
      <c r="G43" s="327"/>
      <c r="H43" s="334"/>
      <c r="I43" s="334"/>
      <c r="J43" s="327"/>
      <c r="K43" s="334"/>
      <c r="L43" s="335"/>
      <c r="M43" s="325" t="str">
        <f>IF(C43&gt;0,MAX(M$8:M9)+1,"")</f>
        <v/>
      </c>
      <c r="N43" s="353"/>
    </row>
    <row r="44" spans="1:14" hidden="1" x14ac:dyDescent="0.25">
      <c r="A44" s="328"/>
      <c r="B44" s="328"/>
      <c r="C44" s="329"/>
      <c r="D44" s="330"/>
      <c r="E44" s="332"/>
      <c r="F44" s="333"/>
      <c r="H44" s="334"/>
      <c r="I44" s="334"/>
      <c r="K44" s="334"/>
      <c r="L44" s="335"/>
      <c r="M44" s="325" t="str">
        <f>IF(C44&gt;0,MAX(M$8:M10)+1,"")</f>
        <v/>
      </c>
      <c r="N44" s="353"/>
    </row>
    <row r="45" spans="1:14" hidden="1" x14ac:dyDescent="0.25">
      <c r="A45" s="328"/>
      <c r="B45" s="328"/>
      <c r="C45" s="329"/>
      <c r="D45" s="330"/>
      <c r="E45" s="332"/>
      <c r="F45" s="333"/>
      <c r="G45" s="327"/>
      <c r="H45" s="334"/>
      <c r="I45" s="334"/>
      <c r="J45" s="327"/>
      <c r="K45" s="334"/>
      <c r="L45" s="335"/>
      <c r="M45" s="325" t="str">
        <f>IF(C45&gt;0,MAX(M$8:M11)+1,"")</f>
        <v/>
      </c>
      <c r="N45" s="353"/>
    </row>
    <row r="46" spans="1:14" hidden="1" x14ac:dyDescent="0.25">
      <c r="A46" s="328"/>
      <c r="B46" s="328"/>
      <c r="C46" s="329"/>
      <c r="D46" s="330"/>
      <c r="E46" s="332"/>
      <c r="F46" s="333"/>
      <c r="H46" s="334"/>
      <c r="I46" s="334"/>
      <c r="K46" s="334"/>
      <c r="L46" s="335"/>
      <c r="M46" s="325" t="str">
        <f>IF(C46&gt;0,MAX(M$8:M12)+1,"")</f>
        <v/>
      </c>
      <c r="N46" s="353"/>
    </row>
    <row r="47" spans="1:14" hidden="1" x14ac:dyDescent="0.25">
      <c r="A47" s="328"/>
      <c r="B47" s="328"/>
      <c r="C47" s="329"/>
      <c r="D47" s="330"/>
      <c r="E47" s="332"/>
      <c r="F47" s="333"/>
      <c r="H47" s="334"/>
      <c r="I47" s="334"/>
      <c r="K47" s="334"/>
      <c r="L47" s="335"/>
      <c r="M47" s="325" t="str">
        <f>IF(C47&gt;0,MAX(M$8:M13)+1,"")</f>
        <v/>
      </c>
      <c r="N47" s="353"/>
    </row>
    <row r="48" spans="1:14" hidden="1" x14ac:dyDescent="0.25">
      <c r="A48" s="328"/>
      <c r="B48" s="328"/>
      <c r="C48" s="329"/>
      <c r="D48" s="330"/>
      <c r="E48" s="332"/>
      <c r="F48" s="333"/>
      <c r="G48" s="327"/>
      <c r="H48" s="334"/>
      <c r="I48" s="334"/>
      <c r="J48" s="327"/>
      <c r="K48" s="334"/>
      <c r="L48" s="335"/>
      <c r="M48" s="325" t="str">
        <f>IF(C48&gt;0,MAX(M$8:M14)+1,"")</f>
        <v/>
      </c>
      <c r="N48" s="353"/>
    </row>
    <row r="49" spans="1:15" hidden="1" x14ac:dyDescent="0.25">
      <c r="A49" s="328"/>
      <c r="B49" s="328"/>
      <c r="C49" s="329"/>
      <c r="D49" s="330"/>
      <c r="E49" s="332"/>
      <c r="F49" s="333"/>
      <c r="H49" s="334"/>
      <c r="I49" s="334"/>
      <c r="K49" s="334"/>
      <c r="L49" s="335"/>
      <c r="M49" s="325" t="str">
        <f>IF(C49&gt;0,MAX(M$8:M15)+1,"")</f>
        <v/>
      </c>
      <c r="N49" s="353"/>
    </row>
    <row r="50" spans="1:15" hidden="1" x14ac:dyDescent="0.25">
      <c r="A50" s="328"/>
      <c r="B50" s="328"/>
      <c r="C50" s="329"/>
      <c r="D50" s="330"/>
      <c r="E50" s="332"/>
      <c r="F50" s="333"/>
      <c r="G50" s="327"/>
      <c r="H50" s="334"/>
      <c r="I50" s="334"/>
      <c r="J50" s="327"/>
      <c r="K50" s="334"/>
      <c r="L50" s="335"/>
      <c r="M50" s="325" t="str">
        <f>IF(C50&gt;0,MAX(M$8:M16)+1,"")</f>
        <v/>
      </c>
      <c r="N50" s="353"/>
    </row>
    <row r="51" spans="1:15" hidden="1" x14ac:dyDescent="0.25">
      <c r="A51" s="328"/>
      <c r="B51" s="328"/>
      <c r="C51" s="329"/>
      <c r="D51" s="330"/>
      <c r="E51" s="332"/>
      <c r="F51" s="333"/>
      <c r="H51" s="334"/>
      <c r="I51" s="334"/>
      <c r="K51" s="334"/>
      <c r="L51" s="335"/>
      <c r="M51" s="325" t="str">
        <f>IF(C51&gt;0,MAX(M$8:M17)+1,"")</f>
        <v/>
      </c>
      <c r="N51" s="353"/>
    </row>
    <row r="52" spans="1:15" hidden="1" x14ac:dyDescent="0.25">
      <c r="A52" s="328"/>
      <c r="B52" s="328"/>
      <c r="C52" s="329"/>
      <c r="D52" s="330"/>
      <c r="E52" s="332"/>
      <c r="F52" s="333"/>
      <c r="H52" s="334"/>
      <c r="I52" s="334"/>
      <c r="K52" s="334"/>
      <c r="L52" s="335"/>
      <c r="M52" s="325" t="str">
        <f>IF(C52&gt;0,MAX(M$8:M18)+1,"")</f>
        <v/>
      </c>
      <c r="N52" s="353"/>
    </row>
    <row r="53" spans="1:15" hidden="1" x14ac:dyDescent="0.25">
      <c r="A53" s="328"/>
      <c r="B53" s="328"/>
      <c r="C53" s="329"/>
      <c r="D53" s="330"/>
      <c r="E53" s="332"/>
      <c r="F53" s="333"/>
      <c r="G53" s="327"/>
      <c r="H53" s="334"/>
      <c r="I53" s="334"/>
      <c r="J53" s="327"/>
      <c r="K53" s="334"/>
      <c r="L53" s="335"/>
      <c r="M53" s="325" t="str">
        <f>IF(C53&gt;0,MAX(M$8:M19)+1,"")</f>
        <v/>
      </c>
      <c r="N53" s="353"/>
    </row>
    <row r="54" spans="1:15" hidden="1" x14ac:dyDescent="0.25">
      <c r="A54" s="328"/>
      <c r="B54" s="328"/>
      <c r="C54" s="329"/>
      <c r="D54" s="330"/>
      <c r="E54" s="332"/>
      <c r="F54" s="333"/>
      <c r="H54" s="334"/>
      <c r="I54" s="334"/>
      <c r="K54" s="334"/>
      <c r="L54" s="335"/>
      <c r="M54" s="325" t="str">
        <f>IF(C54&gt;0,MAX(M$8:M20)+1,"")</f>
        <v/>
      </c>
      <c r="N54" s="353"/>
    </row>
    <row r="55" spans="1:15" hidden="1" x14ac:dyDescent="0.25">
      <c r="A55" s="328"/>
      <c r="B55" s="328"/>
      <c r="C55" s="329"/>
      <c r="D55" s="330"/>
      <c r="E55" s="332"/>
      <c r="F55" s="333"/>
      <c r="G55" s="327"/>
      <c r="H55" s="334"/>
      <c r="I55" s="334"/>
      <c r="J55" s="327"/>
      <c r="K55" s="334"/>
      <c r="L55" s="335"/>
      <c r="M55" s="325" t="str">
        <f>IF(C55&gt;0,MAX(M$8:M21)+1,"")</f>
        <v/>
      </c>
      <c r="N55" s="353"/>
    </row>
    <row r="56" spans="1:15" x14ac:dyDescent="0.25">
      <c r="A56" s="328"/>
      <c r="B56" s="328"/>
      <c r="C56" s="329"/>
      <c r="D56" s="330"/>
      <c r="E56" s="328"/>
      <c r="F56" s="331"/>
      <c r="H56" s="328"/>
      <c r="I56" s="328"/>
      <c r="K56" s="328"/>
      <c r="L56" s="328"/>
      <c r="M56" s="325" t="str">
        <f>IF(C56&gt;0,MAX(M$8:M55)+1,"")</f>
        <v/>
      </c>
      <c r="N56" s="353"/>
    </row>
    <row r="57" spans="1:15" x14ac:dyDescent="0.25">
      <c r="A57" s="328"/>
      <c r="B57" s="328"/>
      <c r="C57" s="329"/>
      <c r="D57" s="330"/>
      <c r="E57" s="328"/>
      <c r="F57" s="331"/>
      <c r="G57" s="327"/>
      <c r="H57" s="328"/>
      <c r="I57" s="328"/>
      <c r="J57" s="327"/>
      <c r="K57" s="328"/>
      <c r="L57" s="328"/>
      <c r="M57" s="325" t="str">
        <f>IF(C57&gt;0,MAX(M$8:M56)+1,"")</f>
        <v/>
      </c>
      <c r="N57" s="353"/>
    </row>
    <row r="58" spans="1:15" ht="17.25" x14ac:dyDescent="0.3">
      <c r="A58" s="336" t="s">
        <v>475</v>
      </c>
      <c r="B58" s="337"/>
      <c r="C58" s="338"/>
      <c r="D58" s="339"/>
      <c r="E58" s="339"/>
      <c r="F58" s="339"/>
      <c r="M58" s="340">
        <f>MAX(M$8:M57)</f>
        <v>0</v>
      </c>
      <c r="N58" s="353"/>
    </row>
    <row r="59" spans="1:15" ht="17.25" x14ac:dyDescent="0.3">
      <c r="A59" s="341"/>
      <c r="B59" s="341"/>
      <c r="C59" s="342" t="s">
        <v>476</v>
      </c>
      <c r="H59" s="343">
        <f>SUM(H9:H57)</f>
        <v>0</v>
      </c>
      <c r="J59" s="344" t="s">
        <v>477</v>
      </c>
      <c r="N59" s="353"/>
    </row>
    <row r="60" spans="1:15" ht="18" thickBot="1" x14ac:dyDescent="0.35">
      <c r="A60" s="341"/>
      <c r="B60" s="341"/>
      <c r="C60" s="342" t="s">
        <v>478</v>
      </c>
      <c r="I60" s="343">
        <f>SUM(I9:I57)</f>
        <v>0</v>
      </c>
      <c r="K60" s="345">
        <f>IF(I60&gt;0,"Wochenstunden",)</f>
        <v>0</v>
      </c>
      <c r="N60" s="353"/>
    </row>
    <row r="61" spans="1:15" ht="20.25" customHeight="1" thickTop="1" thickBot="1" x14ac:dyDescent="0.35">
      <c r="A61" s="138"/>
      <c r="B61" s="341"/>
      <c r="D61" s="347"/>
      <c r="F61" s="348">
        <f>IF(L61&gt;0,"Wochenstunden für ",)</f>
        <v>0</v>
      </c>
      <c r="G61" s="349">
        <f>IF(L61&gt;0,"Assistenzleistungen in Summe: ",)</f>
        <v>0</v>
      </c>
      <c r="H61" s="350"/>
      <c r="J61" s="248"/>
      <c r="K61" s="351"/>
      <c r="L61" s="352">
        <f>SUM(H59,I60)</f>
        <v>0</v>
      </c>
      <c r="N61" s="353"/>
      <c r="O61" s="248"/>
    </row>
    <row r="62" spans="1:15" ht="20.25" customHeight="1" thickTop="1" x14ac:dyDescent="0.3">
      <c r="A62" s="346"/>
      <c r="B62" s="341"/>
      <c r="D62" s="347"/>
      <c r="F62" s="348"/>
      <c r="G62" s="349"/>
      <c r="H62" s="493"/>
      <c r="J62" s="248"/>
      <c r="K62" s="494">
        <f>IF(L61&gt;0,"SAF-Personal:",)</f>
        <v>0</v>
      </c>
      <c r="L62" s="546"/>
      <c r="N62" s="353"/>
      <c r="O62" s="248"/>
    </row>
    <row r="63" spans="1:15" ht="20.25" customHeight="1" x14ac:dyDescent="0.3">
      <c r="A63" s="346" t="s">
        <v>479</v>
      </c>
      <c r="B63" s="341"/>
      <c r="D63" s="347"/>
      <c r="F63" s="348"/>
      <c r="G63" s="349"/>
      <c r="H63" s="350"/>
      <c r="J63" s="248"/>
      <c r="K63" s="494">
        <f>IF(L61&gt;0,"Lehrpersonal mit der Verwendung 'Stütz- und BegleitlehrerIn' im Unterricht:",)</f>
        <v>0</v>
      </c>
      <c r="L63" s="546"/>
      <c r="N63" s="353"/>
      <c r="O63" s="248"/>
    </row>
    <row r="64" spans="1:15" ht="23.25" x14ac:dyDescent="0.35">
      <c r="A64" s="921" t="s">
        <v>480</v>
      </c>
      <c r="B64" s="921"/>
      <c r="C64" s="921"/>
      <c r="D64" s="921"/>
      <c r="E64" s="921"/>
      <c r="F64" s="921"/>
      <c r="G64" s="921"/>
      <c r="H64" s="921"/>
      <c r="I64" s="921"/>
      <c r="J64" s="921"/>
      <c r="K64" s="921"/>
      <c r="L64" s="921"/>
      <c r="M64" s="921"/>
      <c r="N64" s="355"/>
    </row>
    <row r="65" spans="1:14" ht="23.25" x14ac:dyDescent="0.35">
      <c r="A65" s="921"/>
      <c r="B65" s="921"/>
      <c r="C65" s="921"/>
      <c r="D65" s="921"/>
      <c r="E65" s="921"/>
      <c r="F65" s="921"/>
      <c r="G65" s="921"/>
      <c r="H65" s="921"/>
      <c r="I65" s="921"/>
      <c r="J65" s="921"/>
      <c r="K65" s="921"/>
      <c r="L65" s="921"/>
      <c r="M65" s="921"/>
      <c r="N65" s="355"/>
    </row>
    <row r="66" spans="1:14" ht="23.25" x14ac:dyDescent="0.35">
      <c r="A66" s="921"/>
      <c r="B66" s="921"/>
      <c r="C66" s="921"/>
      <c r="D66" s="921"/>
      <c r="E66" s="921"/>
      <c r="F66" s="921"/>
      <c r="G66" s="921"/>
      <c r="H66" s="921"/>
      <c r="I66" s="921"/>
      <c r="J66" s="921"/>
      <c r="K66" s="921"/>
      <c r="L66" s="921"/>
      <c r="M66" s="921"/>
      <c r="N66" s="355"/>
    </row>
    <row r="67" spans="1:14" ht="23.25" x14ac:dyDescent="0.35">
      <c r="A67" s="921"/>
      <c r="B67" s="921"/>
      <c r="C67" s="921"/>
      <c r="D67" s="921"/>
      <c r="E67" s="921"/>
      <c r="F67" s="921"/>
      <c r="G67" s="921"/>
      <c r="H67" s="921"/>
      <c r="I67" s="921"/>
      <c r="J67" s="921"/>
      <c r="K67" s="921"/>
      <c r="L67" s="921"/>
      <c r="M67" s="921"/>
      <c r="N67" s="355"/>
    </row>
    <row r="68" spans="1:14" ht="23.25" x14ac:dyDescent="0.35">
      <c r="A68" s="921"/>
      <c r="B68" s="921"/>
      <c r="C68" s="921"/>
      <c r="D68" s="921"/>
      <c r="E68" s="921"/>
      <c r="F68" s="921"/>
      <c r="G68" s="921"/>
      <c r="H68" s="921"/>
      <c r="I68" s="921"/>
      <c r="J68" s="921"/>
      <c r="K68" s="921"/>
      <c r="L68" s="921"/>
      <c r="M68" s="921"/>
      <c r="N68" s="355"/>
    </row>
    <row r="69" spans="1:14" ht="23.25" x14ac:dyDescent="0.35">
      <c r="A69" s="921"/>
      <c r="B69" s="921"/>
      <c r="C69" s="921"/>
      <c r="D69" s="921"/>
      <c r="E69" s="921"/>
      <c r="F69" s="921"/>
      <c r="G69" s="921"/>
      <c r="H69" s="921"/>
      <c r="I69" s="921"/>
      <c r="J69" s="921"/>
      <c r="K69" s="921"/>
      <c r="L69" s="921"/>
      <c r="M69" s="921"/>
      <c r="N69" s="355"/>
    </row>
    <row r="70" spans="1:14" x14ac:dyDescent="0.25">
      <c r="A70" s="353"/>
      <c r="B70" s="353"/>
      <c r="C70" s="353"/>
      <c r="D70" s="353"/>
      <c r="E70" s="353"/>
      <c r="F70" s="353"/>
      <c r="G70" s="354"/>
      <c r="H70" s="353"/>
      <c r="I70" s="353"/>
      <c r="J70" s="354"/>
      <c r="K70" s="353"/>
      <c r="L70" s="353"/>
      <c r="M70" s="353"/>
      <c r="N70" s="353"/>
    </row>
    <row r="71" spans="1:14" ht="23.25" x14ac:dyDescent="0.35">
      <c r="A71" s="353"/>
      <c r="B71" s="353"/>
      <c r="C71" s="355"/>
      <c r="D71" s="353"/>
      <c r="E71" s="353"/>
      <c r="F71" s="353"/>
      <c r="G71" s="354"/>
      <c r="H71" s="353"/>
      <c r="I71" s="353"/>
      <c r="J71" s="354"/>
      <c r="K71" s="353"/>
      <c r="L71" s="353"/>
      <c r="M71" s="353"/>
      <c r="N71" s="353"/>
    </row>
    <row r="72" spans="1:14" s="361" customFormat="1" ht="23.25" x14ac:dyDescent="0.35">
      <c r="A72" s="356" t="s">
        <v>481</v>
      </c>
      <c r="B72" s="357"/>
      <c r="C72" s="358"/>
      <c r="D72" s="357"/>
      <c r="E72" s="359"/>
      <c r="F72" s="359"/>
      <c r="G72" s="360"/>
      <c r="H72" s="359"/>
      <c r="I72" s="359"/>
      <c r="J72" s="360"/>
      <c r="K72" s="359"/>
      <c r="L72" s="359"/>
      <c r="M72" s="359"/>
      <c r="N72" s="353"/>
    </row>
    <row r="73" spans="1:14" s="361" customFormat="1" x14ac:dyDescent="0.25">
      <c r="A73" s="362" t="s">
        <v>463</v>
      </c>
      <c r="B73" s="362">
        <v>21</v>
      </c>
      <c r="C73" s="363" t="s">
        <v>464</v>
      </c>
      <c r="D73" s="364"/>
      <c r="E73" s="362" t="s">
        <v>472</v>
      </c>
      <c r="F73" s="365" t="s">
        <v>465</v>
      </c>
      <c r="H73" s="366">
        <v>5</v>
      </c>
      <c r="I73" s="366"/>
      <c r="K73" s="362" t="s">
        <v>466</v>
      </c>
      <c r="L73" s="367"/>
      <c r="M73" s="368"/>
      <c r="N73" s="353"/>
    </row>
    <row r="74" spans="1:14" s="361" customFormat="1" x14ac:dyDescent="0.25">
      <c r="A74" s="362" t="s">
        <v>467</v>
      </c>
      <c r="B74" s="362">
        <v>19</v>
      </c>
      <c r="C74" s="363" t="s">
        <v>468</v>
      </c>
      <c r="D74" s="364"/>
      <c r="E74" s="362" t="s">
        <v>474</v>
      </c>
      <c r="F74" s="365" t="s">
        <v>465</v>
      </c>
      <c r="G74" s="369"/>
      <c r="H74" s="366">
        <v>7.5</v>
      </c>
      <c r="I74" s="366">
        <v>1.5</v>
      </c>
      <c r="J74" s="369"/>
      <c r="K74" s="362" t="s">
        <v>466</v>
      </c>
      <c r="L74" s="367" t="s">
        <v>466</v>
      </c>
      <c r="M74" s="368"/>
      <c r="N74" s="353"/>
    </row>
    <row r="75" spans="1:14" s="361" customFormat="1" x14ac:dyDescent="0.25">
      <c r="A75" s="362" t="s">
        <v>467</v>
      </c>
      <c r="B75" s="362">
        <v>19</v>
      </c>
      <c r="C75" s="363" t="s">
        <v>482</v>
      </c>
      <c r="D75" s="364"/>
      <c r="E75" s="362" t="s">
        <v>474</v>
      </c>
      <c r="F75" s="365" t="s">
        <v>469</v>
      </c>
      <c r="H75" s="366">
        <v>2</v>
      </c>
      <c r="I75" s="366"/>
      <c r="K75" s="362"/>
      <c r="L75" s="367" t="s">
        <v>448</v>
      </c>
      <c r="M75" s="368"/>
      <c r="N75" s="353"/>
    </row>
    <row r="76" spans="1:14" ht="23.25" x14ac:dyDescent="0.35">
      <c r="A76" s="353"/>
      <c r="B76" s="353"/>
      <c r="C76" s="355"/>
      <c r="D76" s="353"/>
      <c r="E76" s="353"/>
      <c r="F76" s="353"/>
      <c r="G76" s="354"/>
      <c r="H76" s="353"/>
      <c r="I76" s="353"/>
      <c r="J76" s="354"/>
      <c r="K76" s="353"/>
      <c r="L76" s="353"/>
      <c r="M76" s="353"/>
      <c r="N76" s="353"/>
    </row>
    <row r="77" spans="1:14" s="361" customFormat="1" hidden="1" x14ac:dyDescent="0.25">
      <c r="A77" s="370"/>
      <c r="B77" s="370"/>
      <c r="C77" s="370"/>
      <c r="D77" s="370"/>
      <c r="E77" s="370"/>
      <c r="F77" s="370"/>
      <c r="H77" s="370"/>
      <c r="I77" s="370"/>
      <c r="K77" s="370"/>
      <c r="L77" s="370"/>
      <c r="M77" s="370"/>
    </row>
    <row r="78" spans="1:14" s="361" customFormat="1" hidden="1" x14ac:dyDescent="0.25">
      <c r="A78" s="370"/>
      <c r="B78" s="370"/>
      <c r="C78" s="370"/>
      <c r="D78" s="370"/>
      <c r="E78" s="370"/>
      <c r="F78" s="370"/>
      <c r="H78" s="370"/>
      <c r="I78" s="370"/>
      <c r="K78" s="370"/>
      <c r="L78" s="370"/>
      <c r="M78" s="370"/>
    </row>
    <row r="79" spans="1:14" hidden="1" x14ac:dyDescent="0.25"/>
    <row r="80" spans="1:14"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sheetData>
  <sheetProtection algorithmName="SHA-512" hashValue="rf19TeESeSn3E2WMe+DfkD1rRVGf+DJRQo7IgfMYeJ6TqnlnhBy1Ik8hWXJZLlZstTQN4gn/PxV+SuTedVQ5gA==" saltValue="+glf1IR1Vn5nhEMSwT5WsQ==" spinCount="100000" sheet="1" formatRows="0"/>
  <mergeCells count="6">
    <mergeCell ref="A64:M69"/>
    <mergeCell ref="H4:H7"/>
    <mergeCell ref="I4:I7"/>
    <mergeCell ref="K4:K7"/>
    <mergeCell ref="L4:L7"/>
    <mergeCell ref="F5:F6"/>
  </mergeCells>
  <conditionalFormatting sqref="F14:F55 H14:I55 K14:K55">
    <cfRule type="expression" dxfId="34" priority="42">
      <formula>$C14&gt;0</formula>
    </cfRule>
  </conditionalFormatting>
  <conditionalFormatting sqref="F27">
    <cfRule type="expression" dxfId="33" priority="41">
      <formula>$C27&gt;0</formula>
    </cfRule>
  </conditionalFormatting>
  <conditionalFormatting sqref="F55">
    <cfRule type="expression" dxfId="32" priority="30">
      <formula>$C55&gt;0</formula>
    </cfRule>
  </conditionalFormatting>
  <conditionalFormatting sqref="F54">
    <cfRule type="expression" dxfId="31" priority="29">
      <formula>$C54&gt;0</formula>
    </cfRule>
  </conditionalFormatting>
  <conditionalFormatting sqref="F53">
    <cfRule type="expression" dxfId="30" priority="28">
      <formula>$C53&gt;0</formula>
    </cfRule>
  </conditionalFormatting>
  <conditionalFormatting sqref="F52">
    <cfRule type="expression" dxfId="29" priority="27">
      <formula>$C52&gt;0</formula>
    </cfRule>
  </conditionalFormatting>
  <conditionalFormatting sqref="F51">
    <cfRule type="expression" dxfId="28" priority="26">
      <formula>$C51&gt;0</formula>
    </cfRule>
  </conditionalFormatting>
  <conditionalFormatting sqref="F50">
    <cfRule type="expression" dxfId="27" priority="25">
      <formula>$C50&gt;0</formula>
    </cfRule>
  </conditionalFormatting>
  <conditionalFormatting sqref="F39">
    <cfRule type="expression" dxfId="26" priority="24">
      <formula>$C39&gt;0</formula>
    </cfRule>
  </conditionalFormatting>
  <conditionalFormatting sqref="F38">
    <cfRule type="expression" dxfId="25" priority="23">
      <formula>$C38&gt;0</formula>
    </cfRule>
  </conditionalFormatting>
  <conditionalFormatting sqref="F37">
    <cfRule type="expression" dxfId="24" priority="22">
      <formula>$C37&gt;0</formula>
    </cfRule>
  </conditionalFormatting>
  <conditionalFormatting sqref="F36">
    <cfRule type="expression" dxfId="23" priority="21">
      <formula>$C36&gt;0</formula>
    </cfRule>
  </conditionalFormatting>
  <conditionalFormatting sqref="F35">
    <cfRule type="expression" dxfId="22" priority="20">
      <formula>$C35&gt;0</formula>
    </cfRule>
  </conditionalFormatting>
  <conditionalFormatting sqref="F34">
    <cfRule type="expression" dxfId="21" priority="19">
      <formula>$C34&gt;0</formula>
    </cfRule>
  </conditionalFormatting>
  <conditionalFormatting sqref="F33">
    <cfRule type="expression" dxfId="20" priority="18">
      <formula>$C33&gt;0</formula>
    </cfRule>
  </conditionalFormatting>
  <conditionalFormatting sqref="F49">
    <cfRule type="expression" dxfId="19" priority="17">
      <formula>$C49&gt;0</formula>
    </cfRule>
  </conditionalFormatting>
  <conditionalFormatting sqref="F48">
    <cfRule type="expression" dxfId="18" priority="16">
      <formula>$C48&gt;0</formula>
    </cfRule>
  </conditionalFormatting>
  <conditionalFormatting sqref="F47">
    <cfRule type="expression" dxfId="17" priority="15">
      <formula>$C47&gt;0</formula>
    </cfRule>
  </conditionalFormatting>
  <conditionalFormatting sqref="F46">
    <cfRule type="expression" dxfId="16" priority="14">
      <formula>$C46&gt;0</formula>
    </cfRule>
  </conditionalFormatting>
  <conditionalFormatting sqref="F45">
    <cfRule type="expression" dxfId="15" priority="13">
      <formula>$C45&gt;0</formula>
    </cfRule>
  </conditionalFormatting>
  <conditionalFormatting sqref="F44">
    <cfRule type="expression" dxfId="14" priority="12">
      <formula>$C44&gt;0</formula>
    </cfRule>
  </conditionalFormatting>
  <conditionalFormatting sqref="F43">
    <cfRule type="expression" dxfId="13" priority="11">
      <formula>$C43&gt;0</formula>
    </cfRule>
  </conditionalFormatting>
  <conditionalFormatting sqref="F42">
    <cfRule type="expression" dxfId="12" priority="10">
      <formula>$C42&gt;0</formula>
    </cfRule>
  </conditionalFormatting>
  <conditionalFormatting sqref="F41">
    <cfRule type="expression" dxfId="11" priority="9">
      <formula>$C41&gt;0</formula>
    </cfRule>
  </conditionalFormatting>
  <conditionalFormatting sqref="F40">
    <cfRule type="expression" dxfId="10" priority="8">
      <formula>$C40&gt;0</formula>
    </cfRule>
  </conditionalFormatting>
  <conditionalFormatting sqref="K62:K63">
    <cfRule type="expression" dxfId="9" priority="4">
      <formula>$L$28=0</formula>
    </cfRule>
  </conditionalFormatting>
  <conditionalFormatting sqref="L62:L63">
    <cfRule type="expression" dxfId="8" priority="2">
      <formula>SUM($L$62:$L$63)=$L$61</formula>
    </cfRule>
    <cfRule type="expression" dxfId="7" priority="3">
      <formula>SUM($L$62:$L$63)&lt;&gt;$L$61</formula>
    </cfRule>
  </conditionalFormatting>
  <conditionalFormatting sqref="L62:L63">
    <cfRule type="expression" dxfId="6" priority="1">
      <formula>$L$61=0</formula>
    </cfRule>
  </conditionalFormatting>
  <dataValidations count="12">
    <dataValidation allowBlank="1" showInputMessage="1" showErrorMessage="1" prompt="Beispiele zum Ausfüllen_x000a_siehe unten in den Zeilen 70 bis 72" sqref="A9"/>
    <dataValidation type="whole" allowBlank="1" showInputMessage="1" showErrorMessage="1" error="Bitte eine gültige Zahl eingeben" prompt="Beispiele zum Ausfüllen_x000a_siehe unten in den Zeilen 70 bis 72" sqref="B9">
      <formula1>0</formula1>
      <formula2>33</formula2>
    </dataValidation>
    <dataValidation type="list" allowBlank="1" showDropDown="1" showInputMessage="1" showErrorMessage="1" prompt="Bitte &quot;X&quot; eingeben bei Zutreffen" sqref="K9:L11">
      <formula1>"X,x"</formula1>
    </dataValidation>
    <dataValidation type="list" allowBlank="1" showInputMessage="1" showErrorMessage="1" sqref="F983020:F983079 F65516:F65575 F917484:F917543 F851948:F852007 F786412:F786471 F720876:F720935 F655340:F655399 F589804:F589863 F524268:F524327 F458732:F458791 F393196:F393255 F327660:F327719 F262124:F262183 F196588:F196647 F131052:F131111">
      <formula1>$O$9:$O$12</formula1>
    </dataValidation>
    <dataValidation type="list" allowBlank="1" showInputMessage="1" showErrorMessage="1" sqref="E983020:E983079 E10:E57 E917484:E917543 E851948:E852007 E786412:E786471 E720876:E720935 E655340:E655399 E589804:E589863 E524268:E524327 E458732:E458791 E393196:E393255 E327660:E327719 E262124:E262183 E196588:E196647 E131052:E131111 E65516:E65575">
      <formula1>$O$13:$O$18</formula1>
    </dataValidation>
    <dataValidation type="list" allowBlank="1" showInputMessage="1" showErrorMessage="1" sqref="E9">
      <formula1>$O$13:$O$16</formula1>
    </dataValidation>
    <dataValidation type="whole" allowBlank="1" showInputMessage="1" showErrorMessage="1" error="Bitte eine gültige Zahl eingeben" sqref="B10:B57">
      <formula1>0</formula1>
      <formula2>33</formula2>
    </dataValidation>
    <dataValidation type="list" allowBlank="1" showDropDown="1" showInputMessage="1" showErrorMessage="1" error="Bitte &quot;X&quot; eingeben bei Zutreffen" sqref="K12:L57">
      <formula1>"X,x"</formula1>
    </dataValidation>
    <dataValidation type="decimal" allowBlank="1" showInputMessage="1" showErrorMessage="1" error="Bitte eine gültige Zahl eingeben" sqref="H9:I57">
      <formula1>-8</formula1>
      <formula2>33</formula2>
    </dataValidation>
    <dataValidation type="decimal" allowBlank="1" showInputMessage="1" showErrorMessage="1" errorTitle="Zu viele Stunden" error="Es können nicht mehr Stunden vergeben werden, als beantragt wurden." sqref="L62">
      <formula1>0</formula1>
      <formula2>L61</formula2>
    </dataValidation>
    <dataValidation type="decimal" allowBlank="1" showInputMessage="1" showErrorMessage="1" errorTitle="Zu viele Stunden" error="Durch Lehrpersonen dürfen nur Assistenzleistungen im Unterricht geleistet werden._x000a_Es wurden Mehr Stunden eingegeben, als für diesen Bereich beantragt wurden." promptTitle="Nur Unterricht!" prompt="Ausschließlich Lehrpersonen welche eine Verwendung als &quot;Stütz- und BegleitlehrerInnen&quot; haben dürfen Assistenzleistungen im Unterricht geleistet erbringen._x000a__x000a_Nicht jedoch im Freizeitbereich!" sqref="L63">
      <formula1>0</formula1>
      <formula2>H59</formula2>
    </dataValidation>
    <dataValidation type="list" allowBlank="1" showInputMessage="1" showErrorMessage="1" sqref="F9 F10:F57">
      <formula1>$O$9:$O$11</formula1>
    </dataValidation>
  </dataValidations>
  <printOptions horizontalCentered="1" verticalCentered="1"/>
  <pageMargins left="0.59055118110236227" right="0.35433070866141736" top="0.62992125984251968" bottom="0.62992125984251968" header="0.31496062992125984" footer="0.31496062992125984"/>
  <pageSetup paperSize="9" scale="98" fitToHeight="0" orientation="portrait" horizontalDpi="4294967293" r:id="rId1"/>
  <headerFooter>
    <oddFooter>&amp;C&amp;5&amp;Z&amp;11&amp;F&amp;R&amp;D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tabColor theme="9" tint="0.59999389629810485"/>
    <pageSetUpPr fitToPage="1"/>
  </sheetPr>
  <dimension ref="A1:M44"/>
  <sheetViews>
    <sheetView showGridLines="0" showZeros="0" workbookViewId="0">
      <selection activeCell="A10" sqref="A10"/>
    </sheetView>
  </sheetViews>
  <sheetFormatPr baseColWidth="10" defaultColWidth="12.85546875" defaultRowHeight="15" zeroHeight="1" x14ac:dyDescent="0.25"/>
  <cols>
    <col min="1" max="2" width="7.5703125" style="392" customWidth="1"/>
    <col min="3" max="3" width="9.85546875" style="392" customWidth="1"/>
    <col min="4" max="4" width="9.42578125" style="392" customWidth="1"/>
    <col min="5" max="5" width="10.42578125" style="392" customWidth="1"/>
    <col min="6" max="6" width="5.85546875" style="392" customWidth="1"/>
    <col min="7" max="7" width="4.7109375" style="392" customWidth="1"/>
    <col min="8" max="8" width="9.85546875" style="392" customWidth="1"/>
    <col min="9" max="9" width="21.28515625" style="392" customWidth="1"/>
    <col min="10" max="10" width="9.140625" style="392" customWidth="1"/>
    <col min="11" max="11" width="51" style="392" customWidth="1"/>
    <col min="12" max="13" width="3.7109375" style="392" customWidth="1"/>
    <col min="14" max="16384" width="12.85546875" style="391"/>
  </cols>
  <sheetData>
    <row r="1" spans="1:13" s="421" customFormat="1" ht="26.25" x14ac:dyDescent="0.4">
      <c r="A1" s="932" t="s">
        <v>515</v>
      </c>
      <c r="B1" s="932"/>
      <c r="C1" s="932"/>
      <c r="D1" s="932"/>
      <c r="E1" s="932"/>
      <c r="J1" s="422" t="s">
        <v>514</v>
      </c>
      <c r="K1" s="423"/>
      <c r="L1" s="423"/>
      <c r="M1" s="424"/>
    </row>
    <row r="2" spans="1:13" s="421" customFormat="1" ht="26.25" x14ac:dyDescent="0.4">
      <c r="A2" s="932"/>
      <c r="B2" s="932"/>
      <c r="C2" s="932"/>
      <c r="D2" s="932"/>
      <c r="E2" s="932"/>
      <c r="I2" s="425"/>
      <c r="J2" s="426" t="str">
        <f>"im Schuljahr 20"&amp;RIGHT(Konti_MS!H1,5)</f>
        <v>im Schuljahr 2024/25</v>
      </c>
      <c r="K2" s="423"/>
      <c r="L2" s="423"/>
      <c r="M2" s="423"/>
    </row>
    <row r="3" spans="1:13" s="392" customFormat="1" ht="18.75" x14ac:dyDescent="0.3">
      <c r="A3" s="427" t="str">
        <f>Konti_MS!C7</f>
        <v>MS  . . .</v>
      </c>
      <c r="G3" s="420">
        <f ca="1">IF(RIGHT(A3,4)&lt;&gt;".  .",TODAY(),"")</f>
        <v>45364</v>
      </c>
      <c r="H3" s="419"/>
      <c r="K3" s="393"/>
      <c r="L3" s="393"/>
      <c r="M3" s="393"/>
    </row>
    <row r="4" spans="1:13" s="392" customFormat="1" ht="18.75" x14ac:dyDescent="0.2">
      <c r="A4" s="418"/>
      <c r="B4" s="415"/>
      <c r="C4" s="415"/>
      <c r="D4" s="415"/>
      <c r="E4" s="415"/>
      <c r="G4" s="417" t="s">
        <v>396</v>
      </c>
      <c r="H4" s="416"/>
      <c r="J4" s="415"/>
      <c r="K4" s="393"/>
      <c r="L4" s="393"/>
      <c r="M4" s="393"/>
    </row>
    <row r="5" spans="1:13" s="392" customFormat="1" ht="18.75" x14ac:dyDescent="0.3">
      <c r="A5" s="446" t="s">
        <v>517</v>
      </c>
      <c r="B5" s="414"/>
      <c r="H5" s="413" t="s">
        <v>513</v>
      </c>
      <c r="K5" s="393"/>
      <c r="L5" s="393"/>
      <c r="M5" s="393"/>
    </row>
    <row r="6" spans="1:13" s="392" customFormat="1" ht="4.5" customHeight="1" x14ac:dyDescent="0.2">
      <c r="K6" s="393"/>
      <c r="L6" s="393"/>
      <c r="M6" s="393"/>
    </row>
    <row r="7" spans="1:13" s="392" customFormat="1" ht="80.25" customHeight="1" x14ac:dyDescent="0.2">
      <c r="A7" s="409" t="s">
        <v>458</v>
      </c>
      <c r="B7" s="409" t="s">
        <v>512</v>
      </c>
      <c r="C7" s="409" t="s">
        <v>511</v>
      </c>
      <c r="D7" s="409" t="s">
        <v>510</v>
      </c>
      <c r="E7" s="412" t="s">
        <v>509</v>
      </c>
      <c r="F7" s="411" t="s">
        <v>508</v>
      </c>
      <c r="G7" s="410" t="s">
        <v>507</v>
      </c>
      <c r="H7" s="409" t="s">
        <v>506</v>
      </c>
      <c r="I7" s="408" t="s">
        <v>505</v>
      </c>
      <c r="J7" s="407" t="s">
        <v>504</v>
      </c>
      <c r="K7" s="406"/>
      <c r="L7" s="393"/>
      <c r="M7" s="393"/>
    </row>
    <row r="8" spans="1:13" s="392" customFormat="1" ht="4.5" customHeight="1" x14ac:dyDescent="0.2">
      <c r="A8" s="401"/>
      <c r="B8" s="405"/>
      <c r="C8" s="402"/>
      <c r="D8" s="401"/>
      <c r="E8" s="404"/>
      <c r="F8" s="403"/>
      <c r="G8" s="402"/>
      <c r="H8" s="401"/>
      <c r="K8" s="393"/>
      <c r="L8" s="393"/>
      <c r="M8" s="393"/>
    </row>
    <row r="9" spans="1:13" s="392" customFormat="1" ht="4.5" customHeight="1" x14ac:dyDescent="0.2">
      <c r="K9" s="393"/>
      <c r="L9" s="393"/>
      <c r="M9" s="393"/>
    </row>
    <row r="10" spans="1:13" s="392" customFormat="1" ht="19.5" customHeight="1" x14ac:dyDescent="0.2">
      <c r="A10" s="456" t="s">
        <v>518</v>
      </c>
      <c r="B10" s="457"/>
      <c r="C10" s="428"/>
      <c r="D10" s="462"/>
      <c r="E10" s="463"/>
      <c r="F10" s="933" t="str">
        <f t="shared" ref="F10:F37" si="0">L10</f>
        <v xml:space="preserve"> </v>
      </c>
      <c r="G10" s="934"/>
      <c r="H10" s="429" t="str">
        <f t="shared" ref="H10:H37" si="1">M10</f>
        <v xml:space="preserve"> </v>
      </c>
      <c r="I10" s="430"/>
      <c r="J10" s="431"/>
      <c r="K10" s="393"/>
      <c r="L10" s="400" t="str">
        <f t="shared" ref="L10:L37" si="2">IF(B10&lt;&gt;"",C10-D10+E10," ")</f>
        <v xml:space="preserve"> </v>
      </c>
      <c r="M10" s="399" t="str">
        <f t="shared" ref="M10:M37" si="3">IF(OR(F10=" ",F10&lt;3)," ",IF(OR(F10&gt;=10,F10*2&gt;=B10),2,1))</f>
        <v xml:space="preserve"> </v>
      </c>
    </row>
    <row r="11" spans="1:13" s="392" customFormat="1" ht="19.5" customHeight="1" x14ac:dyDescent="0.2">
      <c r="A11" s="458"/>
      <c r="B11" s="459"/>
      <c r="C11" s="432"/>
      <c r="D11" s="464"/>
      <c r="E11" s="465"/>
      <c r="F11" s="930" t="str">
        <f t="shared" si="0"/>
        <v xml:space="preserve"> </v>
      </c>
      <c r="G11" s="931"/>
      <c r="H11" s="435" t="str">
        <f t="shared" si="1"/>
        <v xml:space="preserve"> </v>
      </c>
      <c r="I11" s="430"/>
      <c r="J11" s="431"/>
      <c r="K11" s="393"/>
      <c r="L11" s="400" t="str">
        <f t="shared" si="2"/>
        <v xml:space="preserve"> </v>
      </c>
      <c r="M11" s="399" t="str">
        <f t="shared" si="3"/>
        <v xml:space="preserve"> </v>
      </c>
    </row>
    <row r="12" spans="1:13" s="392" customFormat="1" ht="19.5" customHeight="1" x14ac:dyDescent="0.2">
      <c r="A12" s="458"/>
      <c r="B12" s="459"/>
      <c r="C12" s="432"/>
      <c r="D12" s="433"/>
      <c r="E12" s="434"/>
      <c r="F12" s="930" t="str">
        <f t="shared" si="0"/>
        <v xml:space="preserve"> </v>
      </c>
      <c r="G12" s="931"/>
      <c r="H12" s="435" t="str">
        <f t="shared" si="1"/>
        <v xml:space="preserve"> </v>
      </c>
      <c r="I12" s="430"/>
      <c r="J12" s="431"/>
      <c r="K12" s="393"/>
      <c r="L12" s="400" t="str">
        <f t="shared" si="2"/>
        <v xml:space="preserve"> </v>
      </c>
      <c r="M12" s="399" t="str">
        <f t="shared" si="3"/>
        <v xml:space="preserve"> </v>
      </c>
    </row>
    <row r="13" spans="1:13" s="392" customFormat="1" ht="19.5" customHeight="1" x14ac:dyDescent="0.2">
      <c r="A13" s="458"/>
      <c r="B13" s="459"/>
      <c r="C13" s="432"/>
      <c r="D13" s="433"/>
      <c r="E13" s="434"/>
      <c r="F13" s="930" t="str">
        <f t="shared" si="0"/>
        <v xml:space="preserve"> </v>
      </c>
      <c r="G13" s="931"/>
      <c r="H13" s="435" t="str">
        <f t="shared" si="1"/>
        <v xml:space="preserve"> </v>
      </c>
      <c r="I13" s="430"/>
      <c r="J13" s="431"/>
      <c r="K13" s="393"/>
      <c r="L13" s="400" t="str">
        <f t="shared" si="2"/>
        <v xml:space="preserve"> </v>
      </c>
      <c r="M13" s="399" t="str">
        <f t="shared" si="3"/>
        <v xml:space="preserve"> </v>
      </c>
    </row>
    <row r="14" spans="1:13" s="392" customFormat="1" ht="19.5" customHeight="1" x14ac:dyDescent="0.2">
      <c r="A14" s="458"/>
      <c r="B14" s="459"/>
      <c r="C14" s="432"/>
      <c r="D14" s="433"/>
      <c r="E14" s="434"/>
      <c r="F14" s="930" t="str">
        <f t="shared" si="0"/>
        <v xml:space="preserve"> </v>
      </c>
      <c r="G14" s="931"/>
      <c r="H14" s="435" t="str">
        <f t="shared" si="1"/>
        <v xml:space="preserve"> </v>
      </c>
      <c r="I14" s="430"/>
      <c r="J14" s="431"/>
      <c r="K14" s="393"/>
      <c r="L14" s="400" t="str">
        <f t="shared" si="2"/>
        <v xml:space="preserve"> </v>
      </c>
      <c r="M14" s="399" t="str">
        <f t="shared" si="3"/>
        <v xml:space="preserve"> </v>
      </c>
    </row>
    <row r="15" spans="1:13" s="392" customFormat="1" ht="19.5" customHeight="1" x14ac:dyDescent="0.2">
      <c r="A15" s="458"/>
      <c r="B15" s="459"/>
      <c r="C15" s="432"/>
      <c r="D15" s="433"/>
      <c r="E15" s="434"/>
      <c r="F15" s="930" t="str">
        <f t="shared" si="0"/>
        <v xml:space="preserve"> </v>
      </c>
      <c r="G15" s="931"/>
      <c r="H15" s="435" t="str">
        <f t="shared" si="1"/>
        <v xml:space="preserve"> </v>
      </c>
      <c r="I15" s="430"/>
      <c r="J15" s="431"/>
      <c r="K15" s="393"/>
      <c r="L15" s="400" t="str">
        <f t="shared" si="2"/>
        <v xml:space="preserve"> </v>
      </c>
      <c r="M15" s="399" t="str">
        <f t="shared" si="3"/>
        <v xml:space="preserve"> </v>
      </c>
    </row>
    <row r="16" spans="1:13" s="392" customFormat="1" ht="19.5" customHeight="1" x14ac:dyDescent="0.2">
      <c r="A16" s="458"/>
      <c r="B16" s="459"/>
      <c r="C16" s="432"/>
      <c r="D16" s="433"/>
      <c r="E16" s="434"/>
      <c r="F16" s="930" t="str">
        <f t="shared" si="0"/>
        <v xml:space="preserve"> </v>
      </c>
      <c r="G16" s="931"/>
      <c r="H16" s="435" t="str">
        <f t="shared" si="1"/>
        <v xml:space="preserve"> </v>
      </c>
      <c r="I16" s="430"/>
      <c r="J16" s="431"/>
      <c r="K16" s="393"/>
      <c r="L16" s="400" t="str">
        <f t="shared" si="2"/>
        <v xml:space="preserve"> </v>
      </c>
      <c r="M16" s="399" t="str">
        <f t="shared" si="3"/>
        <v xml:space="preserve"> </v>
      </c>
    </row>
    <row r="17" spans="1:13" s="392" customFormat="1" ht="19.5" customHeight="1" x14ac:dyDescent="0.2">
      <c r="A17" s="458"/>
      <c r="B17" s="459"/>
      <c r="C17" s="432"/>
      <c r="D17" s="433"/>
      <c r="E17" s="434"/>
      <c r="F17" s="930" t="str">
        <f t="shared" si="0"/>
        <v xml:space="preserve"> </v>
      </c>
      <c r="G17" s="931"/>
      <c r="H17" s="435" t="str">
        <f t="shared" si="1"/>
        <v xml:space="preserve"> </v>
      </c>
      <c r="I17" s="430"/>
      <c r="J17" s="431"/>
      <c r="K17" s="393"/>
      <c r="L17" s="400" t="str">
        <f t="shared" si="2"/>
        <v xml:space="preserve"> </v>
      </c>
      <c r="M17" s="399" t="str">
        <f t="shared" si="3"/>
        <v xml:space="preserve"> </v>
      </c>
    </row>
    <row r="18" spans="1:13" s="392" customFormat="1" ht="19.5" customHeight="1" x14ac:dyDescent="0.2">
      <c r="A18" s="458"/>
      <c r="B18" s="459"/>
      <c r="C18" s="432"/>
      <c r="D18" s="433"/>
      <c r="E18" s="434"/>
      <c r="F18" s="930" t="str">
        <f t="shared" si="0"/>
        <v xml:space="preserve"> </v>
      </c>
      <c r="G18" s="931"/>
      <c r="H18" s="435" t="str">
        <f t="shared" si="1"/>
        <v xml:space="preserve"> </v>
      </c>
      <c r="I18" s="430"/>
      <c r="J18" s="431"/>
      <c r="K18" s="393"/>
      <c r="L18" s="400" t="str">
        <f t="shared" si="2"/>
        <v xml:space="preserve"> </v>
      </c>
      <c r="M18" s="399" t="str">
        <f t="shared" si="3"/>
        <v xml:space="preserve"> </v>
      </c>
    </row>
    <row r="19" spans="1:13" s="392" customFormat="1" ht="19.5" customHeight="1" x14ac:dyDescent="0.2">
      <c r="A19" s="458"/>
      <c r="B19" s="459"/>
      <c r="C19" s="432"/>
      <c r="D19" s="433"/>
      <c r="E19" s="434"/>
      <c r="F19" s="930" t="str">
        <f t="shared" si="0"/>
        <v xml:space="preserve"> </v>
      </c>
      <c r="G19" s="931"/>
      <c r="H19" s="435" t="str">
        <f t="shared" si="1"/>
        <v xml:space="preserve"> </v>
      </c>
      <c r="I19" s="430"/>
      <c r="J19" s="431"/>
      <c r="K19" s="393"/>
      <c r="L19" s="400" t="str">
        <f t="shared" si="2"/>
        <v xml:space="preserve"> </v>
      </c>
      <c r="M19" s="399" t="str">
        <f t="shared" si="3"/>
        <v xml:space="preserve"> </v>
      </c>
    </row>
    <row r="20" spans="1:13" s="392" customFormat="1" ht="19.5" customHeight="1" x14ac:dyDescent="0.2">
      <c r="A20" s="458"/>
      <c r="B20" s="459"/>
      <c r="C20" s="432"/>
      <c r="D20" s="433"/>
      <c r="E20" s="434"/>
      <c r="F20" s="930" t="str">
        <f t="shared" si="0"/>
        <v xml:space="preserve"> </v>
      </c>
      <c r="G20" s="931"/>
      <c r="H20" s="435" t="str">
        <f t="shared" si="1"/>
        <v xml:space="preserve"> </v>
      </c>
      <c r="I20" s="430"/>
      <c r="J20" s="431"/>
      <c r="K20" s="393"/>
      <c r="L20" s="400" t="str">
        <f t="shared" si="2"/>
        <v xml:space="preserve"> </v>
      </c>
      <c r="M20" s="399" t="str">
        <f t="shared" si="3"/>
        <v xml:space="preserve"> </v>
      </c>
    </row>
    <row r="21" spans="1:13" s="392" customFormat="1" ht="19.5" hidden="1" customHeight="1" x14ac:dyDescent="0.2">
      <c r="A21" s="458"/>
      <c r="B21" s="459"/>
      <c r="C21" s="432"/>
      <c r="D21" s="433"/>
      <c r="E21" s="434"/>
      <c r="F21" s="930" t="str">
        <f t="shared" si="0"/>
        <v xml:space="preserve"> </v>
      </c>
      <c r="G21" s="931"/>
      <c r="H21" s="435" t="str">
        <f t="shared" si="1"/>
        <v xml:space="preserve"> </v>
      </c>
      <c r="I21" s="430"/>
      <c r="J21" s="431"/>
      <c r="K21" s="393"/>
      <c r="L21" s="400" t="str">
        <f t="shared" si="2"/>
        <v xml:space="preserve"> </v>
      </c>
      <c r="M21" s="399" t="str">
        <f t="shared" si="3"/>
        <v xml:space="preserve"> </v>
      </c>
    </row>
    <row r="22" spans="1:13" s="392" customFormat="1" ht="19.5" hidden="1" customHeight="1" x14ac:dyDescent="0.2">
      <c r="A22" s="458"/>
      <c r="B22" s="459"/>
      <c r="C22" s="432"/>
      <c r="D22" s="433"/>
      <c r="E22" s="434"/>
      <c r="F22" s="930" t="str">
        <f t="shared" si="0"/>
        <v xml:space="preserve"> </v>
      </c>
      <c r="G22" s="931"/>
      <c r="H22" s="435" t="str">
        <f t="shared" si="1"/>
        <v xml:space="preserve"> </v>
      </c>
      <c r="I22" s="430"/>
      <c r="J22" s="431"/>
      <c r="K22" s="393"/>
      <c r="L22" s="400" t="str">
        <f t="shared" si="2"/>
        <v xml:space="preserve"> </v>
      </c>
      <c r="M22" s="399" t="str">
        <f t="shared" si="3"/>
        <v xml:space="preserve"> </v>
      </c>
    </row>
    <row r="23" spans="1:13" s="392" customFormat="1" ht="19.5" hidden="1" customHeight="1" x14ac:dyDescent="0.2">
      <c r="A23" s="458"/>
      <c r="B23" s="459"/>
      <c r="C23" s="432"/>
      <c r="D23" s="433"/>
      <c r="E23" s="434"/>
      <c r="F23" s="930" t="str">
        <f t="shared" si="0"/>
        <v xml:space="preserve"> </v>
      </c>
      <c r="G23" s="931"/>
      <c r="H23" s="435" t="str">
        <f t="shared" si="1"/>
        <v xml:space="preserve"> </v>
      </c>
      <c r="I23" s="430"/>
      <c r="J23" s="431"/>
      <c r="K23" s="393"/>
      <c r="L23" s="400" t="str">
        <f t="shared" si="2"/>
        <v xml:space="preserve"> </v>
      </c>
      <c r="M23" s="399" t="str">
        <f t="shared" si="3"/>
        <v xml:space="preserve"> </v>
      </c>
    </row>
    <row r="24" spans="1:13" s="392" customFormat="1" ht="19.5" hidden="1" customHeight="1" x14ac:dyDescent="0.2">
      <c r="A24" s="458"/>
      <c r="B24" s="459"/>
      <c r="C24" s="432"/>
      <c r="D24" s="433"/>
      <c r="E24" s="434"/>
      <c r="F24" s="930" t="str">
        <f t="shared" si="0"/>
        <v xml:space="preserve"> </v>
      </c>
      <c r="G24" s="931"/>
      <c r="H24" s="435" t="str">
        <f t="shared" si="1"/>
        <v xml:space="preserve"> </v>
      </c>
      <c r="I24" s="430"/>
      <c r="J24" s="431"/>
      <c r="K24" s="393"/>
      <c r="L24" s="400" t="str">
        <f t="shared" si="2"/>
        <v xml:space="preserve"> </v>
      </c>
      <c r="M24" s="399" t="str">
        <f t="shared" si="3"/>
        <v xml:space="preserve"> </v>
      </c>
    </row>
    <row r="25" spans="1:13" s="392" customFormat="1" ht="19.5" hidden="1" customHeight="1" x14ac:dyDescent="0.2">
      <c r="A25" s="458"/>
      <c r="B25" s="459"/>
      <c r="C25" s="432"/>
      <c r="D25" s="433"/>
      <c r="E25" s="434"/>
      <c r="F25" s="930" t="str">
        <f t="shared" si="0"/>
        <v xml:space="preserve"> </v>
      </c>
      <c r="G25" s="931"/>
      <c r="H25" s="435" t="str">
        <f t="shared" si="1"/>
        <v xml:space="preserve"> </v>
      </c>
      <c r="I25" s="430"/>
      <c r="J25" s="431"/>
      <c r="K25" s="393"/>
      <c r="L25" s="400" t="str">
        <f t="shared" si="2"/>
        <v xml:space="preserve"> </v>
      </c>
      <c r="M25" s="399" t="str">
        <f t="shared" si="3"/>
        <v xml:space="preserve"> </v>
      </c>
    </row>
    <row r="26" spans="1:13" s="392" customFormat="1" ht="19.5" hidden="1" customHeight="1" x14ac:dyDescent="0.2">
      <c r="A26" s="458"/>
      <c r="B26" s="459"/>
      <c r="C26" s="432"/>
      <c r="D26" s="433"/>
      <c r="E26" s="434"/>
      <c r="F26" s="930" t="str">
        <f t="shared" si="0"/>
        <v xml:space="preserve"> </v>
      </c>
      <c r="G26" s="931"/>
      <c r="H26" s="435" t="str">
        <f t="shared" si="1"/>
        <v xml:space="preserve"> </v>
      </c>
      <c r="I26" s="430"/>
      <c r="J26" s="431"/>
      <c r="K26" s="393"/>
      <c r="L26" s="400" t="str">
        <f t="shared" si="2"/>
        <v xml:space="preserve"> </v>
      </c>
      <c r="M26" s="399" t="str">
        <f t="shared" si="3"/>
        <v xml:space="preserve"> </v>
      </c>
    </row>
    <row r="27" spans="1:13" s="392" customFormat="1" ht="19.5" hidden="1" customHeight="1" x14ac:dyDescent="0.2">
      <c r="A27" s="458"/>
      <c r="B27" s="459"/>
      <c r="C27" s="432"/>
      <c r="D27" s="433"/>
      <c r="E27" s="434"/>
      <c r="F27" s="930" t="str">
        <f t="shared" si="0"/>
        <v xml:space="preserve"> </v>
      </c>
      <c r="G27" s="931"/>
      <c r="H27" s="435" t="str">
        <f t="shared" si="1"/>
        <v xml:space="preserve"> </v>
      </c>
      <c r="I27" s="430"/>
      <c r="J27" s="431"/>
      <c r="K27" s="393"/>
      <c r="L27" s="400" t="str">
        <f t="shared" si="2"/>
        <v xml:space="preserve"> </v>
      </c>
      <c r="M27" s="399" t="str">
        <f t="shared" si="3"/>
        <v xml:space="preserve"> </v>
      </c>
    </row>
    <row r="28" spans="1:13" s="392" customFormat="1" ht="19.5" hidden="1" customHeight="1" x14ac:dyDescent="0.2">
      <c r="A28" s="458"/>
      <c r="B28" s="459"/>
      <c r="C28" s="432"/>
      <c r="D28" s="433"/>
      <c r="E28" s="434"/>
      <c r="F28" s="930" t="str">
        <f t="shared" si="0"/>
        <v xml:space="preserve"> </v>
      </c>
      <c r="G28" s="931"/>
      <c r="H28" s="435" t="str">
        <f t="shared" si="1"/>
        <v xml:space="preserve"> </v>
      </c>
      <c r="I28" s="430"/>
      <c r="J28" s="431"/>
      <c r="K28" s="393"/>
      <c r="L28" s="400" t="str">
        <f t="shared" si="2"/>
        <v xml:space="preserve"> </v>
      </c>
      <c r="M28" s="399" t="str">
        <f t="shared" si="3"/>
        <v xml:space="preserve"> </v>
      </c>
    </row>
    <row r="29" spans="1:13" s="392" customFormat="1" ht="19.5" hidden="1" customHeight="1" x14ac:dyDescent="0.2">
      <c r="A29" s="458"/>
      <c r="B29" s="459"/>
      <c r="C29" s="432"/>
      <c r="D29" s="433"/>
      <c r="E29" s="434"/>
      <c r="F29" s="930" t="str">
        <f t="shared" si="0"/>
        <v xml:space="preserve"> </v>
      </c>
      <c r="G29" s="931"/>
      <c r="H29" s="435" t="str">
        <f t="shared" si="1"/>
        <v xml:space="preserve"> </v>
      </c>
      <c r="I29" s="430"/>
      <c r="J29" s="431"/>
      <c r="K29" s="393"/>
      <c r="L29" s="400" t="str">
        <f t="shared" si="2"/>
        <v xml:space="preserve"> </v>
      </c>
      <c r="M29" s="399" t="str">
        <f t="shared" si="3"/>
        <v xml:space="preserve"> </v>
      </c>
    </row>
    <row r="30" spans="1:13" s="392" customFormat="1" ht="19.5" hidden="1" customHeight="1" x14ac:dyDescent="0.2">
      <c r="A30" s="458"/>
      <c r="B30" s="459"/>
      <c r="C30" s="432"/>
      <c r="D30" s="433"/>
      <c r="E30" s="434"/>
      <c r="F30" s="930" t="str">
        <f t="shared" si="0"/>
        <v xml:space="preserve"> </v>
      </c>
      <c r="G30" s="931"/>
      <c r="H30" s="435" t="str">
        <f t="shared" si="1"/>
        <v xml:space="preserve"> </v>
      </c>
      <c r="I30" s="430"/>
      <c r="J30" s="431"/>
      <c r="K30" s="393"/>
      <c r="L30" s="400" t="str">
        <f t="shared" si="2"/>
        <v xml:space="preserve"> </v>
      </c>
      <c r="M30" s="399" t="str">
        <f t="shared" si="3"/>
        <v xml:space="preserve"> </v>
      </c>
    </row>
    <row r="31" spans="1:13" s="392" customFormat="1" ht="19.5" hidden="1" customHeight="1" x14ac:dyDescent="0.2">
      <c r="A31" s="458"/>
      <c r="B31" s="459"/>
      <c r="C31" s="432"/>
      <c r="D31" s="433"/>
      <c r="E31" s="434"/>
      <c r="F31" s="930" t="str">
        <f t="shared" si="0"/>
        <v xml:space="preserve"> </v>
      </c>
      <c r="G31" s="931"/>
      <c r="H31" s="435" t="str">
        <f t="shared" si="1"/>
        <v xml:space="preserve"> </v>
      </c>
      <c r="I31" s="430"/>
      <c r="J31" s="431"/>
      <c r="K31" s="393"/>
      <c r="L31" s="400" t="str">
        <f t="shared" si="2"/>
        <v xml:space="preserve"> </v>
      </c>
      <c r="M31" s="399" t="str">
        <f t="shared" si="3"/>
        <v xml:space="preserve"> </v>
      </c>
    </row>
    <row r="32" spans="1:13" s="392" customFormat="1" ht="19.5" hidden="1" customHeight="1" x14ac:dyDescent="0.2">
      <c r="A32" s="458"/>
      <c r="B32" s="459"/>
      <c r="C32" s="432"/>
      <c r="D32" s="433"/>
      <c r="E32" s="434"/>
      <c r="F32" s="930" t="str">
        <f t="shared" si="0"/>
        <v xml:space="preserve"> </v>
      </c>
      <c r="G32" s="931"/>
      <c r="H32" s="435" t="str">
        <f t="shared" si="1"/>
        <v xml:space="preserve"> </v>
      </c>
      <c r="I32" s="430"/>
      <c r="J32" s="431"/>
      <c r="K32" s="393"/>
      <c r="L32" s="400" t="str">
        <f t="shared" si="2"/>
        <v xml:space="preserve"> </v>
      </c>
      <c r="M32" s="399" t="str">
        <f t="shared" si="3"/>
        <v xml:space="preserve"> </v>
      </c>
    </row>
    <row r="33" spans="1:13" s="392" customFormat="1" ht="19.5" hidden="1" customHeight="1" x14ac:dyDescent="0.2">
      <c r="A33" s="458"/>
      <c r="B33" s="459"/>
      <c r="C33" s="432"/>
      <c r="D33" s="433"/>
      <c r="E33" s="434"/>
      <c r="F33" s="930" t="str">
        <f t="shared" si="0"/>
        <v xml:space="preserve"> </v>
      </c>
      <c r="G33" s="931"/>
      <c r="H33" s="435" t="str">
        <f t="shared" si="1"/>
        <v xml:space="preserve"> </v>
      </c>
      <c r="I33" s="430"/>
      <c r="J33" s="431"/>
      <c r="K33" s="393"/>
      <c r="L33" s="400" t="str">
        <f t="shared" si="2"/>
        <v xml:space="preserve"> </v>
      </c>
      <c r="M33" s="399" t="str">
        <f t="shared" si="3"/>
        <v xml:space="preserve"> </v>
      </c>
    </row>
    <row r="34" spans="1:13" s="392" customFormat="1" ht="19.5" hidden="1" customHeight="1" x14ac:dyDescent="0.2">
      <c r="A34" s="458"/>
      <c r="B34" s="459"/>
      <c r="C34" s="432"/>
      <c r="D34" s="433"/>
      <c r="E34" s="434"/>
      <c r="F34" s="930" t="str">
        <f t="shared" si="0"/>
        <v xml:space="preserve"> </v>
      </c>
      <c r="G34" s="931"/>
      <c r="H34" s="435" t="str">
        <f t="shared" si="1"/>
        <v xml:space="preserve"> </v>
      </c>
      <c r="I34" s="430"/>
      <c r="J34" s="431"/>
      <c r="K34" s="393"/>
      <c r="L34" s="400" t="str">
        <f t="shared" si="2"/>
        <v xml:space="preserve"> </v>
      </c>
      <c r="M34" s="399" t="str">
        <f t="shared" si="3"/>
        <v xml:space="preserve"> </v>
      </c>
    </row>
    <row r="35" spans="1:13" s="392" customFormat="1" ht="19.5" customHeight="1" x14ac:dyDescent="0.2">
      <c r="A35" s="458"/>
      <c r="B35" s="459"/>
      <c r="C35" s="432"/>
      <c r="D35" s="433"/>
      <c r="E35" s="434"/>
      <c r="F35" s="930" t="str">
        <f t="shared" si="0"/>
        <v xml:space="preserve"> </v>
      </c>
      <c r="G35" s="931"/>
      <c r="H35" s="435" t="str">
        <f t="shared" si="1"/>
        <v xml:space="preserve"> </v>
      </c>
      <c r="I35" s="430"/>
      <c r="J35" s="431"/>
      <c r="K35" s="393"/>
      <c r="L35" s="400" t="str">
        <f t="shared" si="2"/>
        <v xml:space="preserve"> </v>
      </c>
      <c r="M35" s="399" t="str">
        <f t="shared" si="3"/>
        <v xml:space="preserve"> </v>
      </c>
    </row>
    <row r="36" spans="1:13" s="392" customFormat="1" ht="19.5" customHeight="1" x14ac:dyDescent="0.2">
      <c r="A36" s="458"/>
      <c r="B36" s="459"/>
      <c r="C36" s="432"/>
      <c r="D36" s="433"/>
      <c r="E36" s="434"/>
      <c r="F36" s="930" t="str">
        <f t="shared" si="0"/>
        <v xml:space="preserve"> </v>
      </c>
      <c r="G36" s="931"/>
      <c r="H36" s="435" t="str">
        <f t="shared" si="1"/>
        <v xml:space="preserve"> </v>
      </c>
      <c r="I36" s="430"/>
      <c r="J36" s="431"/>
      <c r="K36" s="393"/>
      <c r="L36" s="400" t="str">
        <f t="shared" si="2"/>
        <v xml:space="preserve"> </v>
      </c>
      <c r="M36" s="399" t="str">
        <f t="shared" si="3"/>
        <v xml:space="preserve"> </v>
      </c>
    </row>
    <row r="37" spans="1:13" s="392" customFormat="1" ht="19.5" customHeight="1" x14ac:dyDescent="0.2">
      <c r="A37" s="460"/>
      <c r="B37" s="461"/>
      <c r="C37" s="432"/>
      <c r="D37" s="436"/>
      <c r="E37" s="437"/>
      <c r="F37" s="935" t="str">
        <f t="shared" si="0"/>
        <v xml:space="preserve"> </v>
      </c>
      <c r="G37" s="936"/>
      <c r="H37" s="438" t="str">
        <f t="shared" si="1"/>
        <v xml:space="preserve"> </v>
      </c>
      <c r="I37" s="430"/>
      <c r="J37" s="431"/>
      <c r="K37" s="393"/>
      <c r="L37" s="400" t="str">
        <f t="shared" si="2"/>
        <v xml:space="preserve"> </v>
      </c>
      <c r="M37" s="399" t="str">
        <f t="shared" si="3"/>
        <v xml:space="preserve"> </v>
      </c>
    </row>
    <row r="38" spans="1:13" s="392" customFormat="1" ht="20.25" customHeight="1" x14ac:dyDescent="0.25">
      <c r="A38" s="441" t="s">
        <v>503</v>
      </c>
      <c r="B38" s="397">
        <f>SUM(B10:B37)</f>
        <v>0</v>
      </c>
      <c r="C38" s="398">
        <f>SUM(C10:C37)</f>
        <v>0</v>
      </c>
      <c r="D38" s="398">
        <f>SUM(D10:D37)</f>
        <v>0</v>
      </c>
      <c r="E38" s="397">
        <f>SUM(E10:E37)</f>
        <v>0</v>
      </c>
      <c r="F38" s="439">
        <f>SUM(F10:F37)</f>
        <v>0</v>
      </c>
      <c r="G38" s="396"/>
      <c r="H38" s="440">
        <f>SUM(H10:H37)</f>
        <v>0</v>
      </c>
      <c r="I38" s="395"/>
      <c r="K38" s="394"/>
      <c r="L38" s="393"/>
      <c r="M38" s="393"/>
    </row>
    <row r="39" spans="1:13" s="421" customFormat="1" ht="9" customHeight="1" x14ac:dyDescent="0.2">
      <c r="K39" s="423"/>
      <c r="L39" s="423"/>
      <c r="M39" s="423"/>
    </row>
    <row r="40" spans="1:13" s="421" customFormat="1" x14ac:dyDescent="0.25">
      <c r="A40" s="442">
        <f>SUBTOTAL(103,A10:A37)</f>
        <v>1</v>
      </c>
      <c r="D40" s="447" t="s">
        <v>516</v>
      </c>
      <c r="E40" s="443"/>
      <c r="F40" s="448"/>
      <c r="G40" s="448"/>
      <c r="H40" s="449"/>
      <c r="I40" s="443"/>
      <c r="J40" s="444"/>
      <c r="K40" s="423"/>
      <c r="L40" s="423"/>
      <c r="M40" s="423"/>
    </row>
    <row r="41" spans="1:13" s="421" customFormat="1" ht="12.75" x14ac:dyDescent="0.2">
      <c r="D41" s="450"/>
      <c r="E41" s="451" t="str">
        <f>IF(E40&lt;&gt;" ","Name  DirektorIn"," ")</f>
        <v>Name  DirektorIn</v>
      </c>
      <c r="F41" s="452"/>
      <c r="G41" s="452"/>
      <c r="H41" s="452"/>
      <c r="I41" s="453" t="s">
        <v>502</v>
      </c>
      <c r="J41" s="445"/>
      <c r="K41" s="423"/>
      <c r="L41" s="423"/>
      <c r="M41" s="423"/>
    </row>
    <row r="42" spans="1:13" x14ac:dyDescent="0.25"/>
    <row r="43" spans="1:13" x14ac:dyDescent="0.25"/>
    <row r="44" spans="1:13" x14ac:dyDescent="0.25"/>
  </sheetData>
  <sheetProtection algorithmName="SHA-512" hashValue="HvlwJfzpT/7Oe3XLI4LWW7XAeBPBk3fE0vCJznLk7QG9H3vNrps/DNT9lWEy1u+NGf8BRFJAlAJCRTBp04K8gw==" saltValue="k0K1sWsQxMElyrr90riLlA==" spinCount="100000" sheet="1" formatRows="0"/>
  <mergeCells count="29">
    <mergeCell ref="F33:G33"/>
    <mergeCell ref="F34:G34"/>
    <mergeCell ref="F37:G37"/>
    <mergeCell ref="F35:G35"/>
    <mergeCell ref="F36:G36"/>
    <mergeCell ref="F30:G30"/>
    <mergeCell ref="F31:G31"/>
    <mergeCell ref="F32:G32"/>
    <mergeCell ref="F19:G19"/>
    <mergeCell ref="F20:G20"/>
    <mergeCell ref="F21:G21"/>
    <mergeCell ref="F22:G22"/>
    <mergeCell ref="F23:G23"/>
    <mergeCell ref="F24:G24"/>
    <mergeCell ref="F25:G25"/>
    <mergeCell ref="F26:G26"/>
    <mergeCell ref="F27:G27"/>
    <mergeCell ref="F28:G28"/>
    <mergeCell ref="F29:G29"/>
    <mergeCell ref="F16:G16"/>
    <mergeCell ref="F17:G17"/>
    <mergeCell ref="F18:G18"/>
    <mergeCell ref="A1:E2"/>
    <mergeCell ref="F10:G10"/>
    <mergeCell ref="F11:G11"/>
    <mergeCell ref="F12:G12"/>
    <mergeCell ref="F13:G13"/>
    <mergeCell ref="F14:G14"/>
    <mergeCell ref="F15:G15"/>
  </mergeCells>
  <conditionalFormatting sqref="H10:H37">
    <cfRule type="cellIs" dxfId="5" priority="13" stopIfTrue="1" operator="notEqual">
      <formula>$M10</formula>
    </cfRule>
  </conditionalFormatting>
  <conditionalFormatting sqref="C10:C37">
    <cfRule type="cellIs" dxfId="4" priority="14" stopIfTrue="1" operator="greaterThan">
      <formula>$B10</formula>
    </cfRule>
  </conditionalFormatting>
  <conditionalFormatting sqref="M1">
    <cfRule type="cellIs" dxfId="3" priority="1" stopIfTrue="1" operator="notEqual">
      <formula>0</formula>
    </cfRule>
  </conditionalFormatting>
  <dataValidations count="7">
    <dataValidation type="whole" allowBlank="1" showInputMessage="1" showErrorMessage="1" prompt="Andere Bekenntnisse dürfen nicht teilnehmen und hier keinesfalls gezählt werden!" sqref="WVM98305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formula1>0</formula1>
      <formula2>36</formula2>
    </dataValidation>
    <dataValidation allowBlank="1" showInputMessage="1" showErrorMessage="1" prompt="Beispiele zum Ausfüllen:  siehe unten!" sqref="WVK98305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dataValidation type="decimal" allowBlank="1" showInputMessage="1" showErrorMessage="1" error="maximal 4,0" sqref="H10:H37 JD10:JD37 SZ10:SZ37 ACV10:ACV37 AMR10:AMR37 AWN10:AWN37 BGJ10:BGJ37 BQF10:BQF37 CAB10:CAB37 CJX10:CJX37 CTT10:CTT37 DDP10:DDP37 DNL10:DNL37 DXH10:DXH37 EHD10:EHD37 EQZ10:EQZ37 FAV10:FAV37 FKR10:FKR37 FUN10:FUN37 GEJ10:GEJ37 GOF10:GOF37 GYB10:GYB37 HHX10:HHX37 HRT10:HRT37 IBP10:IBP37 ILL10:ILL37 IVH10:IVH37 JFD10:JFD37 JOZ10:JOZ37 JYV10:JYV37 KIR10:KIR37 KSN10:KSN37 LCJ10:LCJ37 LMF10:LMF37 LWB10:LWB37 MFX10:MFX37 MPT10:MPT37 MZP10:MZP37 NJL10:NJL37 NTH10:NTH37 ODD10:ODD37 OMZ10:OMZ37 OWV10:OWV37 PGR10:PGR37 PQN10:PQN37 QAJ10:QAJ37 QKF10:QKF37 QUB10:QUB37 RDX10:RDX37 RNT10:RNT37 RXP10:RXP37 SHL10:SHL37 SRH10:SRH37 TBD10:TBD37 TKZ10:TKZ37 TUV10:TUV37 UER10:UER37 UON10:UON37 UYJ10:UYJ37 VIF10:VIF37 VSB10:VSB37 WBX10:WBX37 WLT10:WLT37 WVP10:WVP37 H65546:H65573 JD65546:JD65573 SZ65546:SZ65573 ACV65546:ACV65573 AMR65546:AMR65573 AWN65546:AWN65573 BGJ65546:BGJ65573 BQF65546:BQF65573 CAB65546:CAB65573 CJX65546:CJX65573 CTT65546:CTT65573 DDP65546:DDP65573 DNL65546:DNL65573 DXH65546:DXH65573 EHD65546:EHD65573 EQZ65546:EQZ65573 FAV65546:FAV65573 FKR65546:FKR65573 FUN65546:FUN65573 GEJ65546:GEJ65573 GOF65546:GOF65573 GYB65546:GYB65573 HHX65546:HHX65573 HRT65546:HRT65573 IBP65546:IBP65573 ILL65546:ILL65573 IVH65546:IVH65573 JFD65546:JFD65573 JOZ65546:JOZ65573 JYV65546:JYV65573 KIR65546:KIR65573 KSN65546:KSN65573 LCJ65546:LCJ65573 LMF65546:LMF65573 LWB65546:LWB65573 MFX65546:MFX65573 MPT65546:MPT65573 MZP65546:MZP65573 NJL65546:NJL65573 NTH65546:NTH65573 ODD65546:ODD65573 OMZ65546:OMZ65573 OWV65546:OWV65573 PGR65546:PGR65573 PQN65546:PQN65573 QAJ65546:QAJ65573 QKF65546:QKF65573 QUB65546:QUB65573 RDX65546:RDX65573 RNT65546:RNT65573 RXP65546:RXP65573 SHL65546:SHL65573 SRH65546:SRH65573 TBD65546:TBD65573 TKZ65546:TKZ65573 TUV65546:TUV65573 UER65546:UER65573 UON65546:UON65573 UYJ65546:UYJ65573 VIF65546:VIF65573 VSB65546:VSB65573 WBX65546:WBX65573 WLT65546:WLT65573 WVP65546:WVP65573 H131082:H131109 JD131082:JD131109 SZ131082:SZ131109 ACV131082:ACV131109 AMR131082:AMR131109 AWN131082:AWN131109 BGJ131082:BGJ131109 BQF131082:BQF131109 CAB131082:CAB131109 CJX131082:CJX131109 CTT131082:CTT131109 DDP131082:DDP131109 DNL131082:DNL131109 DXH131082:DXH131109 EHD131082:EHD131109 EQZ131082:EQZ131109 FAV131082:FAV131109 FKR131082:FKR131109 FUN131082:FUN131109 GEJ131082:GEJ131109 GOF131082:GOF131109 GYB131082:GYB131109 HHX131082:HHX131109 HRT131082:HRT131109 IBP131082:IBP131109 ILL131082:ILL131109 IVH131082:IVH131109 JFD131082:JFD131109 JOZ131082:JOZ131109 JYV131082:JYV131109 KIR131082:KIR131109 KSN131082:KSN131109 LCJ131082:LCJ131109 LMF131082:LMF131109 LWB131082:LWB131109 MFX131082:MFX131109 MPT131082:MPT131109 MZP131082:MZP131109 NJL131082:NJL131109 NTH131082:NTH131109 ODD131082:ODD131109 OMZ131082:OMZ131109 OWV131082:OWV131109 PGR131082:PGR131109 PQN131082:PQN131109 QAJ131082:QAJ131109 QKF131082:QKF131109 QUB131082:QUB131109 RDX131082:RDX131109 RNT131082:RNT131109 RXP131082:RXP131109 SHL131082:SHL131109 SRH131082:SRH131109 TBD131082:TBD131109 TKZ131082:TKZ131109 TUV131082:TUV131109 UER131082:UER131109 UON131082:UON131109 UYJ131082:UYJ131109 VIF131082:VIF131109 VSB131082:VSB131109 WBX131082:WBX131109 WLT131082:WLT131109 WVP131082:WVP131109 H196618:H196645 JD196618:JD196645 SZ196618:SZ196645 ACV196618:ACV196645 AMR196618:AMR196645 AWN196618:AWN196645 BGJ196618:BGJ196645 BQF196618:BQF196645 CAB196618:CAB196645 CJX196618:CJX196645 CTT196618:CTT196645 DDP196618:DDP196645 DNL196618:DNL196645 DXH196618:DXH196645 EHD196618:EHD196645 EQZ196618:EQZ196645 FAV196618:FAV196645 FKR196618:FKR196645 FUN196618:FUN196645 GEJ196618:GEJ196645 GOF196618:GOF196645 GYB196618:GYB196645 HHX196618:HHX196645 HRT196618:HRT196645 IBP196618:IBP196645 ILL196618:ILL196645 IVH196618:IVH196645 JFD196618:JFD196645 JOZ196618:JOZ196645 JYV196618:JYV196645 KIR196618:KIR196645 KSN196618:KSN196645 LCJ196618:LCJ196645 LMF196618:LMF196645 LWB196618:LWB196645 MFX196618:MFX196645 MPT196618:MPT196645 MZP196618:MZP196645 NJL196618:NJL196645 NTH196618:NTH196645 ODD196618:ODD196645 OMZ196618:OMZ196645 OWV196618:OWV196645 PGR196618:PGR196645 PQN196618:PQN196645 QAJ196618:QAJ196645 QKF196618:QKF196645 QUB196618:QUB196645 RDX196618:RDX196645 RNT196618:RNT196645 RXP196618:RXP196645 SHL196618:SHL196645 SRH196618:SRH196645 TBD196618:TBD196645 TKZ196618:TKZ196645 TUV196618:TUV196645 UER196618:UER196645 UON196618:UON196645 UYJ196618:UYJ196645 VIF196618:VIF196645 VSB196618:VSB196645 WBX196618:WBX196645 WLT196618:WLT196645 WVP196618:WVP196645 H262154:H262181 JD262154:JD262181 SZ262154:SZ262181 ACV262154:ACV262181 AMR262154:AMR262181 AWN262154:AWN262181 BGJ262154:BGJ262181 BQF262154:BQF262181 CAB262154:CAB262181 CJX262154:CJX262181 CTT262154:CTT262181 DDP262154:DDP262181 DNL262154:DNL262181 DXH262154:DXH262181 EHD262154:EHD262181 EQZ262154:EQZ262181 FAV262154:FAV262181 FKR262154:FKR262181 FUN262154:FUN262181 GEJ262154:GEJ262181 GOF262154:GOF262181 GYB262154:GYB262181 HHX262154:HHX262181 HRT262154:HRT262181 IBP262154:IBP262181 ILL262154:ILL262181 IVH262154:IVH262181 JFD262154:JFD262181 JOZ262154:JOZ262181 JYV262154:JYV262181 KIR262154:KIR262181 KSN262154:KSN262181 LCJ262154:LCJ262181 LMF262154:LMF262181 LWB262154:LWB262181 MFX262154:MFX262181 MPT262154:MPT262181 MZP262154:MZP262181 NJL262154:NJL262181 NTH262154:NTH262181 ODD262154:ODD262181 OMZ262154:OMZ262181 OWV262154:OWV262181 PGR262154:PGR262181 PQN262154:PQN262181 QAJ262154:QAJ262181 QKF262154:QKF262181 QUB262154:QUB262181 RDX262154:RDX262181 RNT262154:RNT262181 RXP262154:RXP262181 SHL262154:SHL262181 SRH262154:SRH262181 TBD262154:TBD262181 TKZ262154:TKZ262181 TUV262154:TUV262181 UER262154:UER262181 UON262154:UON262181 UYJ262154:UYJ262181 VIF262154:VIF262181 VSB262154:VSB262181 WBX262154:WBX262181 WLT262154:WLT262181 WVP262154:WVP262181 H327690:H327717 JD327690:JD327717 SZ327690:SZ327717 ACV327690:ACV327717 AMR327690:AMR327717 AWN327690:AWN327717 BGJ327690:BGJ327717 BQF327690:BQF327717 CAB327690:CAB327717 CJX327690:CJX327717 CTT327690:CTT327717 DDP327690:DDP327717 DNL327690:DNL327717 DXH327690:DXH327717 EHD327690:EHD327717 EQZ327690:EQZ327717 FAV327690:FAV327717 FKR327690:FKR327717 FUN327690:FUN327717 GEJ327690:GEJ327717 GOF327690:GOF327717 GYB327690:GYB327717 HHX327690:HHX327717 HRT327690:HRT327717 IBP327690:IBP327717 ILL327690:ILL327717 IVH327690:IVH327717 JFD327690:JFD327717 JOZ327690:JOZ327717 JYV327690:JYV327717 KIR327690:KIR327717 KSN327690:KSN327717 LCJ327690:LCJ327717 LMF327690:LMF327717 LWB327690:LWB327717 MFX327690:MFX327717 MPT327690:MPT327717 MZP327690:MZP327717 NJL327690:NJL327717 NTH327690:NTH327717 ODD327690:ODD327717 OMZ327690:OMZ327717 OWV327690:OWV327717 PGR327690:PGR327717 PQN327690:PQN327717 QAJ327690:QAJ327717 QKF327690:QKF327717 QUB327690:QUB327717 RDX327690:RDX327717 RNT327690:RNT327717 RXP327690:RXP327717 SHL327690:SHL327717 SRH327690:SRH327717 TBD327690:TBD327717 TKZ327690:TKZ327717 TUV327690:TUV327717 UER327690:UER327717 UON327690:UON327717 UYJ327690:UYJ327717 VIF327690:VIF327717 VSB327690:VSB327717 WBX327690:WBX327717 WLT327690:WLT327717 WVP327690:WVP327717 H393226:H393253 JD393226:JD393253 SZ393226:SZ393253 ACV393226:ACV393253 AMR393226:AMR393253 AWN393226:AWN393253 BGJ393226:BGJ393253 BQF393226:BQF393253 CAB393226:CAB393253 CJX393226:CJX393253 CTT393226:CTT393253 DDP393226:DDP393253 DNL393226:DNL393253 DXH393226:DXH393253 EHD393226:EHD393253 EQZ393226:EQZ393253 FAV393226:FAV393253 FKR393226:FKR393253 FUN393226:FUN393253 GEJ393226:GEJ393253 GOF393226:GOF393253 GYB393226:GYB393253 HHX393226:HHX393253 HRT393226:HRT393253 IBP393226:IBP393253 ILL393226:ILL393253 IVH393226:IVH393253 JFD393226:JFD393253 JOZ393226:JOZ393253 JYV393226:JYV393253 KIR393226:KIR393253 KSN393226:KSN393253 LCJ393226:LCJ393253 LMF393226:LMF393253 LWB393226:LWB393253 MFX393226:MFX393253 MPT393226:MPT393253 MZP393226:MZP393253 NJL393226:NJL393253 NTH393226:NTH393253 ODD393226:ODD393253 OMZ393226:OMZ393253 OWV393226:OWV393253 PGR393226:PGR393253 PQN393226:PQN393253 QAJ393226:QAJ393253 QKF393226:QKF393253 QUB393226:QUB393253 RDX393226:RDX393253 RNT393226:RNT393253 RXP393226:RXP393253 SHL393226:SHL393253 SRH393226:SRH393253 TBD393226:TBD393253 TKZ393226:TKZ393253 TUV393226:TUV393253 UER393226:UER393253 UON393226:UON393253 UYJ393226:UYJ393253 VIF393226:VIF393253 VSB393226:VSB393253 WBX393226:WBX393253 WLT393226:WLT393253 WVP393226:WVP393253 H458762:H458789 JD458762:JD458789 SZ458762:SZ458789 ACV458762:ACV458789 AMR458762:AMR458789 AWN458762:AWN458789 BGJ458762:BGJ458789 BQF458762:BQF458789 CAB458762:CAB458789 CJX458762:CJX458789 CTT458762:CTT458789 DDP458762:DDP458789 DNL458762:DNL458789 DXH458762:DXH458789 EHD458762:EHD458789 EQZ458762:EQZ458789 FAV458762:FAV458789 FKR458762:FKR458789 FUN458762:FUN458789 GEJ458762:GEJ458789 GOF458762:GOF458789 GYB458762:GYB458789 HHX458762:HHX458789 HRT458762:HRT458789 IBP458762:IBP458789 ILL458762:ILL458789 IVH458762:IVH458789 JFD458762:JFD458789 JOZ458762:JOZ458789 JYV458762:JYV458789 KIR458762:KIR458789 KSN458762:KSN458789 LCJ458762:LCJ458789 LMF458762:LMF458789 LWB458762:LWB458789 MFX458762:MFX458789 MPT458762:MPT458789 MZP458762:MZP458789 NJL458762:NJL458789 NTH458762:NTH458789 ODD458762:ODD458789 OMZ458762:OMZ458789 OWV458762:OWV458789 PGR458762:PGR458789 PQN458762:PQN458789 QAJ458762:QAJ458789 QKF458762:QKF458789 QUB458762:QUB458789 RDX458762:RDX458789 RNT458762:RNT458789 RXP458762:RXP458789 SHL458762:SHL458789 SRH458762:SRH458789 TBD458762:TBD458789 TKZ458762:TKZ458789 TUV458762:TUV458789 UER458762:UER458789 UON458762:UON458789 UYJ458762:UYJ458789 VIF458762:VIF458789 VSB458762:VSB458789 WBX458762:WBX458789 WLT458762:WLT458789 WVP458762:WVP458789 H524298:H524325 JD524298:JD524325 SZ524298:SZ524325 ACV524298:ACV524325 AMR524298:AMR524325 AWN524298:AWN524325 BGJ524298:BGJ524325 BQF524298:BQF524325 CAB524298:CAB524325 CJX524298:CJX524325 CTT524298:CTT524325 DDP524298:DDP524325 DNL524298:DNL524325 DXH524298:DXH524325 EHD524298:EHD524325 EQZ524298:EQZ524325 FAV524298:FAV524325 FKR524298:FKR524325 FUN524298:FUN524325 GEJ524298:GEJ524325 GOF524298:GOF524325 GYB524298:GYB524325 HHX524298:HHX524325 HRT524298:HRT524325 IBP524298:IBP524325 ILL524298:ILL524325 IVH524298:IVH524325 JFD524298:JFD524325 JOZ524298:JOZ524325 JYV524298:JYV524325 KIR524298:KIR524325 KSN524298:KSN524325 LCJ524298:LCJ524325 LMF524298:LMF524325 LWB524298:LWB524325 MFX524298:MFX524325 MPT524298:MPT524325 MZP524298:MZP524325 NJL524298:NJL524325 NTH524298:NTH524325 ODD524298:ODD524325 OMZ524298:OMZ524325 OWV524298:OWV524325 PGR524298:PGR524325 PQN524298:PQN524325 QAJ524298:QAJ524325 QKF524298:QKF524325 QUB524298:QUB524325 RDX524298:RDX524325 RNT524298:RNT524325 RXP524298:RXP524325 SHL524298:SHL524325 SRH524298:SRH524325 TBD524298:TBD524325 TKZ524298:TKZ524325 TUV524298:TUV524325 UER524298:UER524325 UON524298:UON524325 UYJ524298:UYJ524325 VIF524298:VIF524325 VSB524298:VSB524325 WBX524298:WBX524325 WLT524298:WLT524325 WVP524298:WVP524325 H589834:H589861 JD589834:JD589861 SZ589834:SZ589861 ACV589834:ACV589861 AMR589834:AMR589861 AWN589834:AWN589861 BGJ589834:BGJ589861 BQF589834:BQF589861 CAB589834:CAB589861 CJX589834:CJX589861 CTT589834:CTT589861 DDP589834:DDP589861 DNL589834:DNL589861 DXH589834:DXH589861 EHD589834:EHD589861 EQZ589834:EQZ589861 FAV589834:FAV589861 FKR589834:FKR589861 FUN589834:FUN589861 GEJ589834:GEJ589861 GOF589834:GOF589861 GYB589834:GYB589861 HHX589834:HHX589861 HRT589834:HRT589861 IBP589834:IBP589861 ILL589834:ILL589861 IVH589834:IVH589861 JFD589834:JFD589861 JOZ589834:JOZ589861 JYV589834:JYV589861 KIR589834:KIR589861 KSN589834:KSN589861 LCJ589834:LCJ589861 LMF589834:LMF589861 LWB589834:LWB589861 MFX589834:MFX589861 MPT589834:MPT589861 MZP589834:MZP589861 NJL589834:NJL589861 NTH589834:NTH589861 ODD589834:ODD589861 OMZ589834:OMZ589861 OWV589834:OWV589861 PGR589834:PGR589861 PQN589834:PQN589861 QAJ589834:QAJ589861 QKF589834:QKF589861 QUB589834:QUB589861 RDX589834:RDX589861 RNT589834:RNT589861 RXP589834:RXP589861 SHL589834:SHL589861 SRH589834:SRH589861 TBD589834:TBD589861 TKZ589834:TKZ589861 TUV589834:TUV589861 UER589834:UER589861 UON589834:UON589861 UYJ589834:UYJ589861 VIF589834:VIF589861 VSB589834:VSB589861 WBX589834:WBX589861 WLT589834:WLT589861 WVP589834:WVP589861 H655370:H655397 JD655370:JD655397 SZ655370:SZ655397 ACV655370:ACV655397 AMR655370:AMR655397 AWN655370:AWN655397 BGJ655370:BGJ655397 BQF655370:BQF655397 CAB655370:CAB655397 CJX655370:CJX655397 CTT655370:CTT655397 DDP655370:DDP655397 DNL655370:DNL655397 DXH655370:DXH655397 EHD655370:EHD655397 EQZ655370:EQZ655397 FAV655370:FAV655397 FKR655370:FKR655397 FUN655370:FUN655397 GEJ655370:GEJ655397 GOF655370:GOF655397 GYB655370:GYB655397 HHX655370:HHX655397 HRT655370:HRT655397 IBP655370:IBP655397 ILL655370:ILL655397 IVH655370:IVH655397 JFD655370:JFD655397 JOZ655370:JOZ655397 JYV655370:JYV655397 KIR655370:KIR655397 KSN655370:KSN655397 LCJ655370:LCJ655397 LMF655370:LMF655397 LWB655370:LWB655397 MFX655370:MFX655397 MPT655370:MPT655397 MZP655370:MZP655397 NJL655370:NJL655397 NTH655370:NTH655397 ODD655370:ODD655397 OMZ655370:OMZ655397 OWV655370:OWV655397 PGR655370:PGR655397 PQN655370:PQN655397 QAJ655370:QAJ655397 QKF655370:QKF655397 QUB655370:QUB655397 RDX655370:RDX655397 RNT655370:RNT655397 RXP655370:RXP655397 SHL655370:SHL655397 SRH655370:SRH655397 TBD655370:TBD655397 TKZ655370:TKZ655397 TUV655370:TUV655397 UER655370:UER655397 UON655370:UON655397 UYJ655370:UYJ655397 VIF655370:VIF655397 VSB655370:VSB655397 WBX655370:WBX655397 WLT655370:WLT655397 WVP655370:WVP655397 H720906:H720933 JD720906:JD720933 SZ720906:SZ720933 ACV720906:ACV720933 AMR720906:AMR720933 AWN720906:AWN720933 BGJ720906:BGJ720933 BQF720906:BQF720933 CAB720906:CAB720933 CJX720906:CJX720933 CTT720906:CTT720933 DDP720906:DDP720933 DNL720906:DNL720933 DXH720906:DXH720933 EHD720906:EHD720933 EQZ720906:EQZ720933 FAV720906:FAV720933 FKR720906:FKR720933 FUN720906:FUN720933 GEJ720906:GEJ720933 GOF720906:GOF720933 GYB720906:GYB720933 HHX720906:HHX720933 HRT720906:HRT720933 IBP720906:IBP720933 ILL720906:ILL720933 IVH720906:IVH720933 JFD720906:JFD720933 JOZ720906:JOZ720933 JYV720906:JYV720933 KIR720906:KIR720933 KSN720906:KSN720933 LCJ720906:LCJ720933 LMF720906:LMF720933 LWB720906:LWB720933 MFX720906:MFX720933 MPT720906:MPT720933 MZP720906:MZP720933 NJL720906:NJL720933 NTH720906:NTH720933 ODD720906:ODD720933 OMZ720906:OMZ720933 OWV720906:OWV720933 PGR720906:PGR720933 PQN720906:PQN720933 QAJ720906:QAJ720933 QKF720906:QKF720933 QUB720906:QUB720933 RDX720906:RDX720933 RNT720906:RNT720933 RXP720906:RXP720933 SHL720906:SHL720933 SRH720906:SRH720933 TBD720906:TBD720933 TKZ720906:TKZ720933 TUV720906:TUV720933 UER720906:UER720933 UON720906:UON720933 UYJ720906:UYJ720933 VIF720906:VIF720933 VSB720906:VSB720933 WBX720906:WBX720933 WLT720906:WLT720933 WVP720906:WVP720933 H786442:H786469 JD786442:JD786469 SZ786442:SZ786469 ACV786442:ACV786469 AMR786442:AMR786469 AWN786442:AWN786469 BGJ786442:BGJ786469 BQF786442:BQF786469 CAB786442:CAB786469 CJX786442:CJX786469 CTT786442:CTT786469 DDP786442:DDP786469 DNL786442:DNL786469 DXH786442:DXH786469 EHD786442:EHD786469 EQZ786442:EQZ786469 FAV786442:FAV786469 FKR786442:FKR786469 FUN786442:FUN786469 GEJ786442:GEJ786469 GOF786442:GOF786469 GYB786442:GYB786469 HHX786442:HHX786469 HRT786442:HRT786469 IBP786442:IBP786469 ILL786442:ILL786469 IVH786442:IVH786469 JFD786442:JFD786469 JOZ786442:JOZ786469 JYV786442:JYV786469 KIR786442:KIR786469 KSN786442:KSN786469 LCJ786442:LCJ786469 LMF786442:LMF786469 LWB786442:LWB786469 MFX786442:MFX786469 MPT786442:MPT786469 MZP786442:MZP786469 NJL786442:NJL786469 NTH786442:NTH786469 ODD786442:ODD786469 OMZ786442:OMZ786469 OWV786442:OWV786469 PGR786442:PGR786469 PQN786442:PQN786469 QAJ786442:QAJ786469 QKF786442:QKF786469 QUB786442:QUB786469 RDX786442:RDX786469 RNT786442:RNT786469 RXP786442:RXP786469 SHL786442:SHL786469 SRH786442:SRH786469 TBD786442:TBD786469 TKZ786442:TKZ786469 TUV786442:TUV786469 UER786442:UER786469 UON786442:UON786469 UYJ786442:UYJ786469 VIF786442:VIF786469 VSB786442:VSB786469 WBX786442:WBX786469 WLT786442:WLT786469 WVP786442:WVP786469 H851978:H852005 JD851978:JD852005 SZ851978:SZ852005 ACV851978:ACV852005 AMR851978:AMR852005 AWN851978:AWN852005 BGJ851978:BGJ852005 BQF851978:BQF852005 CAB851978:CAB852005 CJX851978:CJX852005 CTT851978:CTT852005 DDP851978:DDP852005 DNL851978:DNL852005 DXH851978:DXH852005 EHD851978:EHD852005 EQZ851978:EQZ852005 FAV851978:FAV852005 FKR851978:FKR852005 FUN851978:FUN852005 GEJ851978:GEJ852005 GOF851978:GOF852005 GYB851978:GYB852005 HHX851978:HHX852005 HRT851978:HRT852005 IBP851978:IBP852005 ILL851978:ILL852005 IVH851978:IVH852005 JFD851978:JFD852005 JOZ851978:JOZ852005 JYV851978:JYV852005 KIR851978:KIR852005 KSN851978:KSN852005 LCJ851978:LCJ852005 LMF851978:LMF852005 LWB851978:LWB852005 MFX851978:MFX852005 MPT851978:MPT852005 MZP851978:MZP852005 NJL851978:NJL852005 NTH851978:NTH852005 ODD851978:ODD852005 OMZ851978:OMZ852005 OWV851978:OWV852005 PGR851978:PGR852005 PQN851978:PQN852005 QAJ851978:QAJ852005 QKF851978:QKF852005 QUB851978:QUB852005 RDX851978:RDX852005 RNT851978:RNT852005 RXP851978:RXP852005 SHL851978:SHL852005 SRH851978:SRH852005 TBD851978:TBD852005 TKZ851978:TKZ852005 TUV851978:TUV852005 UER851978:UER852005 UON851978:UON852005 UYJ851978:UYJ852005 VIF851978:VIF852005 VSB851978:VSB852005 WBX851978:WBX852005 WLT851978:WLT852005 WVP851978:WVP852005 H917514:H917541 JD917514:JD917541 SZ917514:SZ917541 ACV917514:ACV917541 AMR917514:AMR917541 AWN917514:AWN917541 BGJ917514:BGJ917541 BQF917514:BQF917541 CAB917514:CAB917541 CJX917514:CJX917541 CTT917514:CTT917541 DDP917514:DDP917541 DNL917514:DNL917541 DXH917514:DXH917541 EHD917514:EHD917541 EQZ917514:EQZ917541 FAV917514:FAV917541 FKR917514:FKR917541 FUN917514:FUN917541 GEJ917514:GEJ917541 GOF917514:GOF917541 GYB917514:GYB917541 HHX917514:HHX917541 HRT917514:HRT917541 IBP917514:IBP917541 ILL917514:ILL917541 IVH917514:IVH917541 JFD917514:JFD917541 JOZ917514:JOZ917541 JYV917514:JYV917541 KIR917514:KIR917541 KSN917514:KSN917541 LCJ917514:LCJ917541 LMF917514:LMF917541 LWB917514:LWB917541 MFX917514:MFX917541 MPT917514:MPT917541 MZP917514:MZP917541 NJL917514:NJL917541 NTH917514:NTH917541 ODD917514:ODD917541 OMZ917514:OMZ917541 OWV917514:OWV917541 PGR917514:PGR917541 PQN917514:PQN917541 QAJ917514:QAJ917541 QKF917514:QKF917541 QUB917514:QUB917541 RDX917514:RDX917541 RNT917514:RNT917541 RXP917514:RXP917541 SHL917514:SHL917541 SRH917514:SRH917541 TBD917514:TBD917541 TKZ917514:TKZ917541 TUV917514:TUV917541 UER917514:UER917541 UON917514:UON917541 UYJ917514:UYJ917541 VIF917514:VIF917541 VSB917514:VSB917541 WBX917514:WBX917541 WLT917514:WLT917541 WVP917514:WVP917541 H983050:H983077 JD983050:JD983077 SZ983050:SZ983077 ACV983050:ACV983077 AMR983050:AMR983077 AWN983050:AWN983077 BGJ983050:BGJ983077 BQF983050:BQF983077 CAB983050:CAB983077 CJX983050:CJX983077 CTT983050:CTT983077 DDP983050:DDP983077 DNL983050:DNL983077 DXH983050:DXH983077 EHD983050:EHD983077 EQZ983050:EQZ983077 FAV983050:FAV983077 FKR983050:FKR983077 FUN983050:FUN983077 GEJ983050:GEJ983077 GOF983050:GOF983077 GYB983050:GYB983077 HHX983050:HHX983077 HRT983050:HRT983077 IBP983050:IBP983077 ILL983050:ILL983077 IVH983050:IVH983077 JFD983050:JFD983077 JOZ983050:JOZ983077 JYV983050:JYV983077 KIR983050:KIR983077 KSN983050:KSN983077 LCJ983050:LCJ983077 LMF983050:LMF983077 LWB983050:LWB983077 MFX983050:MFX983077 MPT983050:MPT983077 MZP983050:MZP983077 NJL983050:NJL983077 NTH983050:NTH983077 ODD983050:ODD983077 OMZ983050:OMZ983077 OWV983050:OWV983077 PGR983050:PGR983077 PQN983050:PQN983077 QAJ983050:QAJ983077 QKF983050:QKF983077 QUB983050:QUB983077 RDX983050:RDX983077 RNT983050:RNT983077 RXP983050:RXP983077 SHL983050:SHL983077 SRH983050:SRH983077 TBD983050:TBD983077 TKZ983050:TKZ983077 TUV983050:TUV983077 UER983050:UER983077 UON983050:UON983077 UYJ983050:UYJ983077 VIF983050:VIF983077 VSB983050:VSB983077 WBX983050:WBX983077 WLT983050:WLT983077 WVP983050:WVP983077">
      <formula1>0</formula1>
      <formula2>4</formula2>
    </dataValidation>
    <dataValidation type="whole" allowBlank="1" showInputMessage="1" showErrorMessage="1" sqref="C11:C37 IY11:IY37 SU11:SU37 ACQ11:ACQ37 AMM11:AMM37 AWI11:AWI37 BGE11:BGE37 BQA11:BQA37 BZW11:BZW37 CJS11:CJS37 CTO11:CTO37 DDK11:DDK37 DNG11:DNG37 DXC11:DXC37 EGY11:EGY37 EQU11:EQU37 FAQ11:FAQ37 FKM11:FKM37 FUI11:FUI37 GEE11:GEE37 GOA11:GOA37 GXW11:GXW37 HHS11:HHS37 HRO11:HRO37 IBK11:IBK37 ILG11:ILG37 IVC11:IVC37 JEY11:JEY37 JOU11:JOU37 JYQ11:JYQ37 KIM11:KIM37 KSI11:KSI37 LCE11:LCE37 LMA11:LMA37 LVW11:LVW37 MFS11:MFS37 MPO11:MPO37 MZK11:MZK37 NJG11:NJG37 NTC11:NTC37 OCY11:OCY37 OMU11:OMU37 OWQ11:OWQ37 PGM11:PGM37 PQI11:PQI37 QAE11:QAE37 QKA11:QKA37 QTW11:QTW37 RDS11:RDS37 RNO11:RNO37 RXK11:RXK37 SHG11:SHG37 SRC11:SRC37 TAY11:TAY37 TKU11:TKU37 TUQ11:TUQ37 UEM11:UEM37 UOI11:UOI37 UYE11:UYE37 VIA11:VIA37 VRW11:VRW37 WBS11:WBS37 WLO11:WLO37 WVK11:WVK37 C65547:C65573 IY65547:IY65573 SU65547:SU65573 ACQ65547:ACQ65573 AMM65547:AMM65573 AWI65547:AWI65573 BGE65547:BGE65573 BQA65547:BQA65573 BZW65547:BZW65573 CJS65547:CJS65573 CTO65547:CTO65573 DDK65547:DDK65573 DNG65547:DNG65573 DXC65547:DXC65573 EGY65547:EGY65573 EQU65547:EQU65573 FAQ65547:FAQ65573 FKM65547:FKM65573 FUI65547:FUI65573 GEE65547:GEE65573 GOA65547:GOA65573 GXW65547:GXW65573 HHS65547:HHS65573 HRO65547:HRO65573 IBK65547:IBK65573 ILG65547:ILG65573 IVC65547:IVC65573 JEY65547:JEY65573 JOU65547:JOU65573 JYQ65547:JYQ65573 KIM65547:KIM65573 KSI65547:KSI65573 LCE65547:LCE65573 LMA65547:LMA65573 LVW65547:LVW65573 MFS65547:MFS65573 MPO65547:MPO65573 MZK65547:MZK65573 NJG65547:NJG65573 NTC65547:NTC65573 OCY65547:OCY65573 OMU65547:OMU65573 OWQ65547:OWQ65573 PGM65547:PGM65573 PQI65547:PQI65573 QAE65547:QAE65573 QKA65547:QKA65573 QTW65547:QTW65573 RDS65547:RDS65573 RNO65547:RNO65573 RXK65547:RXK65573 SHG65547:SHG65573 SRC65547:SRC65573 TAY65547:TAY65573 TKU65547:TKU65573 TUQ65547:TUQ65573 UEM65547:UEM65573 UOI65547:UOI65573 UYE65547:UYE65573 VIA65547:VIA65573 VRW65547:VRW65573 WBS65547:WBS65573 WLO65547:WLO65573 WVK65547:WVK65573 C131083:C131109 IY131083:IY131109 SU131083:SU131109 ACQ131083:ACQ131109 AMM131083:AMM131109 AWI131083:AWI131109 BGE131083:BGE131109 BQA131083:BQA131109 BZW131083:BZW131109 CJS131083:CJS131109 CTO131083:CTO131109 DDK131083:DDK131109 DNG131083:DNG131109 DXC131083:DXC131109 EGY131083:EGY131109 EQU131083:EQU131109 FAQ131083:FAQ131109 FKM131083:FKM131109 FUI131083:FUI131109 GEE131083:GEE131109 GOA131083:GOA131109 GXW131083:GXW131109 HHS131083:HHS131109 HRO131083:HRO131109 IBK131083:IBK131109 ILG131083:ILG131109 IVC131083:IVC131109 JEY131083:JEY131109 JOU131083:JOU131109 JYQ131083:JYQ131109 KIM131083:KIM131109 KSI131083:KSI131109 LCE131083:LCE131109 LMA131083:LMA131109 LVW131083:LVW131109 MFS131083:MFS131109 MPO131083:MPO131109 MZK131083:MZK131109 NJG131083:NJG131109 NTC131083:NTC131109 OCY131083:OCY131109 OMU131083:OMU131109 OWQ131083:OWQ131109 PGM131083:PGM131109 PQI131083:PQI131109 QAE131083:QAE131109 QKA131083:QKA131109 QTW131083:QTW131109 RDS131083:RDS131109 RNO131083:RNO131109 RXK131083:RXK131109 SHG131083:SHG131109 SRC131083:SRC131109 TAY131083:TAY131109 TKU131083:TKU131109 TUQ131083:TUQ131109 UEM131083:UEM131109 UOI131083:UOI131109 UYE131083:UYE131109 VIA131083:VIA131109 VRW131083:VRW131109 WBS131083:WBS131109 WLO131083:WLO131109 WVK131083:WVK131109 C196619:C196645 IY196619:IY196645 SU196619:SU196645 ACQ196619:ACQ196645 AMM196619:AMM196645 AWI196619:AWI196645 BGE196619:BGE196645 BQA196619:BQA196645 BZW196619:BZW196645 CJS196619:CJS196645 CTO196619:CTO196645 DDK196619:DDK196645 DNG196619:DNG196645 DXC196619:DXC196645 EGY196619:EGY196645 EQU196619:EQU196645 FAQ196619:FAQ196645 FKM196619:FKM196645 FUI196619:FUI196645 GEE196619:GEE196645 GOA196619:GOA196645 GXW196619:GXW196645 HHS196619:HHS196645 HRO196619:HRO196645 IBK196619:IBK196645 ILG196619:ILG196645 IVC196619:IVC196645 JEY196619:JEY196645 JOU196619:JOU196645 JYQ196619:JYQ196645 KIM196619:KIM196645 KSI196619:KSI196645 LCE196619:LCE196645 LMA196619:LMA196645 LVW196619:LVW196645 MFS196619:MFS196645 MPO196619:MPO196645 MZK196619:MZK196645 NJG196619:NJG196645 NTC196619:NTC196645 OCY196619:OCY196645 OMU196619:OMU196645 OWQ196619:OWQ196645 PGM196619:PGM196645 PQI196619:PQI196645 QAE196619:QAE196645 QKA196619:QKA196645 QTW196619:QTW196645 RDS196619:RDS196645 RNO196619:RNO196645 RXK196619:RXK196645 SHG196619:SHG196645 SRC196619:SRC196645 TAY196619:TAY196645 TKU196619:TKU196645 TUQ196619:TUQ196645 UEM196619:UEM196645 UOI196619:UOI196645 UYE196619:UYE196645 VIA196619:VIA196645 VRW196619:VRW196645 WBS196619:WBS196645 WLO196619:WLO196645 WVK196619:WVK196645 C262155:C262181 IY262155:IY262181 SU262155:SU262181 ACQ262155:ACQ262181 AMM262155:AMM262181 AWI262155:AWI262181 BGE262155:BGE262181 BQA262155:BQA262181 BZW262155:BZW262181 CJS262155:CJS262181 CTO262155:CTO262181 DDK262155:DDK262181 DNG262155:DNG262181 DXC262155:DXC262181 EGY262155:EGY262181 EQU262155:EQU262181 FAQ262155:FAQ262181 FKM262155:FKM262181 FUI262155:FUI262181 GEE262155:GEE262181 GOA262155:GOA262181 GXW262155:GXW262181 HHS262155:HHS262181 HRO262155:HRO262181 IBK262155:IBK262181 ILG262155:ILG262181 IVC262155:IVC262181 JEY262155:JEY262181 JOU262155:JOU262181 JYQ262155:JYQ262181 KIM262155:KIM262181 KSI262155:KSI262181 LCE262155:LCE262181 LMA262155:LMA262181 LVW262155:LVW262181 MFS262155:MFS262181 MPO262155:MPO262181 MZK262155:MZK262181 NJG262155:NJG262181 NTC262155:NTC262181 OCY262155:OCY262181 OMU262155:OMU262181 OWQ262155:OWQ262181 PGM262155:PGM262181 PQI262155:PQI262181 QAE262155:QAE262181 QKA262155:QKA262181 QTW262155:QTW262181 RDS262155:RDS262181 RNO262155:RNO262181 RXK262155:RXK262181 SHG262155:SHG262181 SRC262155:SRC262181 TAY262155:TAY262181 TKU262155:TKU262181 TUQ262155:TUQ262181 UEM262155:UEM262181 UOI262155:UOI262181 UYE262155:UYE262181 VIA262155:VIA262181 VRW262155:VRW262181 WBS262155:WBS262181 WLO262155:WLO262181 WVK262155:WVK262181 C327691:C327717 IY327691:IY327717 SU327691:SU327717 ACQ327691:ACQ327717 AMM327691:AMM327717 AWI327691:AWI327717 BGE327691:BGE327717 BQA327691:BQA327717 BZW327691:BZW327717 CJS327691:CJS327717 CTO327691:CTO327717 DDK327691:DDK327717 DNG327691:DNG327717 DXC327691:DXC327717 EGY327691:EGY327717 EQU327691:EQU327717 FAQ327691:FAQ327717 FKM327691:FKM327717 FUI327691:FUI327717 GEE327691:GEE327717 GOA327691:GOA327717 GXW327691:GXW327717 HHS327691:HHS327717 HRO327691:HRO327717 IBK327691:IBK327717 ILG327691:ILG327717 IVC327691:IVC327717 JEY327691:JEY327717 JOU327691:JOU327717 JYQ327691:JYQ327717 KIM327691:KIM327717 KSI327691:KSI327717 LCE327691:LCE327717 LMA327691:LMA327717 LVW327691:LVW327717 MFS327691:MFS327717 MPO327691:MPO327717 MZK327691:MZK327717 NJG327691:NJG327717 NTC327691:NTC327717 OCY327691:OCY327717 OMU327691:OMU327717 OWQ327691:OWQ327717 PGM327691:PGM327717 PQI327691:PQI327717 QAE327691:QAE327717 QKA327691:QKA327717 QTW327691:QTW327717 RDS327691:RDS327717 RNO327691:RNO327717 RXK327691:RXK327717 SHG327691:SHG327717 SRC327691:SRC327717 TAY327691:TAY327717 TKU327691:TKU327717 TUQ327691:TUQ327717 UEM327691:UEM327717 UOI327691:UOI327717 UYE327691:UYE327717 VIA327691:VIA327717 VRW327691:VRW327717 WBS327691:WBS327717 WLO327691:WLO327717 WVK327691:WVK327717 C393227:C393253 IY393227:IY393253 SU393227:SU393253 ACQ393227:ACQ393253 AMM393227:AMM393253 AWI393227:AWI393253 BGE393227:BGE393253 BQA393227:BQA393253 BZW393227:BZW393253 CJS393227:CJS393253 CTO393227:CTO393253 DDK393227:DDK393253 DNG393227:DNG393253 DXC393227:DXC393253 EGY393227:EGY393253 EQU393227:EQU393253 FAQ393227:FAQ393253 FKM393227:FKM393253 FUI393227:FUI393253 GEE393227:GEE393253 GOA393227:GOA393253 GXW393227:GXW393253 HHS393227:HHS393253 HRO393227:HRO393253 IBK393227:IBK393253 ILG393227:ILG393253 IVC393227:IVC393253 JEY393227:JEY393253 JOU393227:JOU393253 JYQ393227:JYQ393253 KIM393227:KIM393253 KSI393227:KSI393253 LCE393227:LCE393253 LMA393227:LMA393253 LVW393227:LVW393253 MFS393227:MFS393253 MPO393227:MPO393253 MZK393227:MZK393253 NJG393227:NJG393253 NTC393227:NTC393253 OCY393227:OCY393253 OMU393227:OMU393253 OWQ393227:OWQ393253 PGM393227:PGM393253 PQI393227:PQI393253 QAE393227:QAE393253 QKA393227:QKA393253 QTW393227:QTW393253 RDS393227:RDS393253 RNO393227:RNO393253 RXK393227:RXK393253 SHG393227:SHG393253 SRC393227:SRC393253 TAY393227:TAY393253 TKU393227:TKU393253 TUQ393227:TUQ393253 UEM393227:UEM393253 UOI393227:UOI393253 UYE393227:UYE393253 VIA393227:VIA393253 VRW393227:VRW393253 WBS393227:WBS393253 WLO393227:WLO393253 WVK393227:WVK393253 C458763:C458789 IY458763:IY458789 SU458763:SU458789 ACQ458763:ACQ458789 AMM458763:AMM458789 AWI458763:AWI458789 BGE458763:BGE458789 BQA458763:BQA458789 BZW458763:BZW458789 CJS458763:CJS458789 CTO458763:CTO458789 DDK458763:DDK458789 DNG458763:DNG458789 DXC458763:DXC458789 EGY458763:EGY458789 EQU458763:EQU458789 FAQ458763:FAQ458789 FKM458763:FKM458789 FUI458763:FUI458789 GEE458763:GEE458789 GOA458763:GOA458789 GXW458763:GXW458789 HHS458763:HHS458789 HRO458763:HRO458789 IBK458763:IBK458789 ILG458763:ILG458789 IVC458763:IVC458789 JEY458763:JEY458789 JOU458763:JOU458789 JYQ458763:JYQ458789 KIM458763:KIM458789 KSI458763:KSI458789 LCE458763:LCE458789 LMA458763:LMA458789 LVW458763:LVW458789 MFS458763:MFS458789 MPO458763:MPO458789 MZK458763:MZK458789 NJG458763:NJG458789 NTC458763:NTC458789 OCY458763:OCY458789 OMU458763:OMU458789 OWQ458763:OWQ458789 PGM458763:PGM458789 PQI458763:PQI458789 QAE458763:QAE458789 QKA458763:QKA458789 QTW458763:QTW458789 RDS458763:RDS458789 RNO458763:RNO458789 RXK458763:RXK458789 SHG458763:SHG458789 SRC458763:SRC458789 TAY458763:TAY458789 TKU458763:TKU458789 TUQ458763:TUQ458789 UEM458763:UEM458789 UOI458763:UOI458789 UYE458763:UYE458789 VIA458763:VIA458789 VRW458763:VRW458789 WBS458763:WBS458789 WLO458763:WLO458789 WVK458763:WVK458789 C524299:C524325 IY524299:IY524325 SU524299:SU524325 ACQ524299:ACQ524325 AMM524299:AMM524325 AWI524299:AWI524325 BGE524299:BGE524325 BQA524299:BQA524325 BZW524299:BZW524325 CJS524299:CJS524325 CTO524299:CTO524325 DDK524299:DDK524325 DNG524299:DNG524325 DXC524299:DXC524325 EGY524299:EGY524325 EQU524299:EQU524325 FAQ524299:FAQ524325 FKM524299:FKM524325 FUI524299:FUI524325 GEE524299:GEE524325 GOA524299:GOA524325 GXW524299:GXW524325 HHS524299:HHS524325 HRO524299:HRO524325 IBK524299:IBK524325 ILG524299:ILG524325 IVC524299:IVC524325 JEY524299:JEY524325 JOU524299:JOU524325 JYQ524299:JYQ524325 KIM524299:KIM524325 KSI524299:KSI524325 LCE524299:LCE524325 LMA524299:LMA524325 LVW524299:LVW524325 MFS524299:MFS524325 MPO524299:MPO524325 MZK524299:MZK524325 NJG524299:NJG524325 NTC524299:NTC524325 OCY524299:OCY524325 OMU524299:OMU524325 OWQ524299:OWQ524325 PGM524299:PGM524325 PQI524299:PQI524325 QAE524299:QAE524325 QKA524299:QKA524325 QTW524299:QTW524325 RDS524299:RDS524325 RNO524299:RNO524325 RXK524299:RXK524325 SHG524299:SHG524325 SRC524299:SRC524325 TAY524299:TAY524325 TKU524299:TKU524325 TUQ524299:TUQ524325 UEM524299:UEM524325 UOI524299:UOI524325 UYE524299:UYE524325 VIA524299:VIA524325 VRW524299:VRW524325 WBS524299:WBS524325 WLO524299:WLO524325 WVK524299:WVK524325 C589835:C589861 IY589835:IY589861 SU589835:SU589861 ACQ589835:ACQ589861 AMM589835:AMM589861 AWI589835:AWI589861 BGE589835:BGE589861 BQA589835:BQA589861 BZW589835:BZW589861 CJS589835:CJS589861 CTO589835:CTO589861 DDK589835:DDK589861 DNG589835:DNG589861 DXC589835:DXC589861 EGY589835:EGY589861 EQU589835:EQU589861 FAQ589835:FAQ589861 FKM589835:FKM589861 FUI589835:FUI589861 GEE589835:GEE589861 GOA589835:GOA589861 GXW589835:GXW589861 HHS589835:HHS589861 HRO589835:HRO589861 IBK589835:IBK589861 ILG589835:ILG589861 IVC589835:IVC589861 JEY589835:JEY589861 JOU589835:JOU589861 JYQ589835:JYQ589861 KIM589835:KIM589861 KSI589835:KSI589861 LCE589835:LCE589861 LMA589835:LMA589861 LVW589835:LVW589861 MFS589835:MFS589861 MPO589835:MPO589861 MZK589835:MZK589861 NJG589835:NJG589861 NTC589835:NTC589861 OCY589835:OCY589861 OMU589835:OMU589861 OWQ589835:OWQ589861 PGM589835:PGM589861 PQI589835:PQI589861 QAE589835:QAE589861 QKA589835:QKA589861 QTW589835:QTW589861 RDS589835:RDS589861 RNO589835:RNO589861 RXK589835:RXK589861 SHG589835:SHG589861 SRC589835:SRC589861 TAY589835:TAY589861 TKU589835:TKU589861 TUQ589835:TUQ589861 UEM589835:UEM589861 UOI589835:UOI589861 UYE589835:UYE589861 VIA589835:VIA589861 VRW589835:VRW589861 WBS589835:WBS589861 WLO589835:WLO589861 WVK589835:WVK589861 C655371:C655397 IY655371:IY655397 SU655371:SU655397 ACQ655371:ACQ655397 AMM655371:AMM655397 AWI655371:AWI655397 BGE655371:BGE655397 BQA655371:BQA655397 BZW655371:BZW655397 CJS655371:CJS655397 CTO655371:CTO655397 DDK655371:DDK655397 DNG655371:DNG655397 DXC655371:DXC655397 EGY655371:EGY655397 EQU655371:EQU655397 FAQ655371:FAQ655397 FKM655371:FKM655397 FUI655371:FUI655397 GEE655371:GEE655397 GOA655371:GOA655397 GXW655371:GXW655397 HHS655371:HHS655397 HRO655371:HRO655397 IBK655371:IBK655397 ILG655371:ILG655397 IVC655371:IVC655397 JEY655371:JEY655397 JOU655371:JOU655397 JYQ655371:JYQ655397 KIM655371:KIM655397 KSI655371:KSI655397 LCE655371:LCE655397 LMA655371:LMA655397 LVW655371:LVW655397 MFS655371:MFS655397 MPO655371:MPO655397 MZK655371:MZK655397 NJG655371:NJG655397 NTC655371:NTC655397 OCY655371:OCY655397 OMU655371:OMU655397 OWQ655371:OWQ655397 PGM655371:PGM655397 PQI655371:PQI655397 QAE655371:QAE655397 QKA655371:QKA655397 QTW655371:QTW655397 RDS655371:RDS655397 RNO655371:RNO655397 RXK655371:RXK655397 SHG655371:SHG655397 SRC655371:SRC655397 TAY655371:TAY655397 TKU655371:TKU655397 TUQ655371:TUQ655397 UEM655371:UEM655397 UOI655371:UOI655397 UYE655371:UYE655397 VIA655371:VIA655397 VRW655371:VRW655397 WBS655371:WBS655397 WLO655371:WLO655397 WVK655371:WVK655397 C720907:C720933 IY720907:IY720933 SU720907:SU720933 ACQ720907:ACQ720933 AMM720907:AMM720933 AWI720907:AWI720933 BGE720907:BGE720933 BQA720907:BQA720933 BZW720907:BZW720933 CJS720907:CJS720933 CTO720907:CTO720933 DDK720907:DDK720933 DNG720907:DNG720933 DXC720907:DXC720933 EGY720907:EGY720933 EQU720907:EQU720933 FAQ720907:FAQ720933 FKM720907:FKM720933 FUI720907:FUI720933 GEE720907:GEE720933 GOA720907:GOA720933 GXW720907:GXW720933 HHS720907:HHS720933 HRO720907:HRO720933 IBK720907:IBK720933 ILG720907:ILG720933 IVC720907:IVC720933 JEY720907:JEY720933 JOU720907:JOU720933 JYQ720907:JYQ720933 KIM720907:KIM720933 KSI720907:KSI720933 LCE720907:LCE720933 LMA720907:LMA720933 LVW720907:LVW720933 MFS720907:MFS720933 MPO720907:MPO720933 MZK720907:MZK720933 NJG720907:NJG720933 NTC720907:NTC720933 OCY720907:OCY720933 OMU720907:OMU720933 OWQ720907:OWQ720933 PGM720907:PGM720933 PQI720907:PQI720933 QAE720907:QAE720933 QKA720907:QKA720933 QTW720907:QTW720933 RDS720907:RDS720933 RNO720907:RNO720933 RXK720907:RXK720933 SHG720907:SHG720933 SRC720907:SRC720933 TAY720907:TAY720933 TKU720907:TKU720933 TUQ720907:TUQ720933 UEM720907:UEM720933 UOI720907:UOI720933 UYE720907:UYE720933 VIA720907:VIA720933 VRW720907:VRW720933 WBS720907:WBS720933 WLO720907:WLO720933 WVK720907:WVK720933 C786443:C786469 IY786443:IY786469 SU786443:SU786469 ACQ786443:ACQ786469 AMM786443:AMM786469 AWI786443:AWI786469 BGE786443:BGE786469 BQA786443:BQA786469 BZW786443:BZW786469 CJS786443:CJS786469 CTO786443:CTO786469 DDK786443:DDK786469 DNG786443:DNG786469 DXC786443:DXC786469 EGY786443:EGY786469 EQU786443:EQU786469 FAQ786443:FAQ786469 FKM786443:FKM786469 FUI786443:FUI786469 GEE786443:GEE786469 GOA786443:GOA786469 GXW786443:GXW786469 HHS786443:HHS786469 HRO786443:HRO786469 IBK786443:IBK786469 ILG786443:ILG786469 IVC786443:IVC786469 JEY786443:JEY786469 JOU786443:JOU786469 JYQ786443:JYQ786469 KIM786443:KIM786469 KSI786443:KSI786469 LCE786443:LCE786469 LMA786443:LMA786469 LVW786443:LVW786469 MFS786443:MFS786469 MPO786443:MPO786469 MZK786443:MZK786469 NJG786443:NJG786469 NTC786443:NTC786469 OCY786443:OCY786469 OMU786443:OMU786469 OWQ786443:OWQ786469 PGM786443:PGM786469 PQI786443:PQI786469 QAE786443:QAE786469 QKA786443:QKA786469 QTW786443:QTW786469 RDS786443:RDS786469 RNO786443:RNO786469 RXK786443:RXK786469 SHG786443:SHG786469 SRC786443:SRC786469 TAY786443:TAY786469 TKU786443:TKU786469 TUQ786443:TUQ786469 UEM786443:UEM786469 UOI786443:UOI786469 UYE786443:UYE786469 VIA786443:VIA786469 VRW786443:VRW786469 WBS786443:WBS786469 WLO786443:WLO786469 WVK786443:WVK786469 C851979:C852005 IY851979:IY852005 SU851979:SU852005 ACQ851979:ACQ852005 AMM851979:AMM852005 AWI851979:AWI852005 BGE851979:BGE852005 BQA851979:BQA852005 BZW851979:BZW852005 CJS851979:CJS852005 CTO851979:CTO852005 DDK851979:DDK852005 DNG851979:DNG852005 DXC851979:DXC852005 EGY851979:EGY852005 EQU851979:EQU852005 FAQ851979:FAQ852005 FKM851979:FKM852005 FUI851979:FUI852005 GEE851979:GEE852005 GOA851979:GOA852005 GXW851979:GXW852005 HHS851979:HHS852005 HRO851979:HRO852005 IBK851979:IBK852005 ILG851979:ILG852005 IVC851979:IVC852005 JEY851979:JEY852005 JOU851979:JOU852005 JYQ851979:JYQ852005 KIM851979:KIM852005 KSI851979:KSI852005 LCE851979:LCE852005 LMA851979:LMA852005 LVW851979:LVW852005 MFS851979:MFS852005 MPO851979:MPO852005 MZK851979:MZK852005 NJG851979:NJG852005 NTC851979:NTC852005 OCY851979:OCY852005 OMU851979:OMU852005 OWQ851979:OWQ852005 PGM851979:PGM852005 PQI851979:PQI852005 QAE851979:QAE852005 QKA851979:QKA852005 QTW851979:QTW852005 RDS851979:RDS852005 RNO851979:RNO852005 RXK851979:RXK852005 SHG851979:SHG852005 SRC851979:SRC852005 TAY851979:TAY852005 TKU851979:TKU852005 TUQ851979:TUQ852005 UEM851979:UEM852005 UOI851979:UOI852005 UYE851979:UYE852005 VIA851979:VIA852005 VRW851979:VRW852005 WBS851979:WBS852005 WLO851979:WLO852005 WVK851979:WVK852005 C917515:C917541 IY917515:IY917541 SU917515:SU917541 ACQ917515:ACQ917541 AMM917515:AMM917541 AWI917515:AWI917541 BGE917515:BGE917541 BQA917515:BQA917541 BZW917515:BZW917541 CJS917515:CJS917541 CTO917515:CTO917541 DDK917515:DDK917541 DNG917515:DNG917541 DXC917515:DXC917541 EGY917515:EGY917541 EQU917515:EQU917541 FAQ917515:FAQ917541 FKM917515:FKM917541 FUI917515:FUI917541 GEE917515:GEE917541 GOA917515:GOA917541 GXW917515:GXW917541 HHS917515:HHS917541 HRO917515:HRO917541 IBK917515:IBK917541 ILG917515:ILG917541 IVC917515:IVC917541 JEY917515:JEY917541 JOU917515:JOU917541 JYQ917515:JYQ917541 KIM917515:KIM917541 KSI917515:KSI917541 LCE917515:LCE917541 LMA917515:LMA917541 LVW917515:LVW917541 MFS917515:MFS917541 MPO917515:MPO917541 MZK917515:MZK917541 NJG917515:NJG917541 NTC917515:NTC917541 OCY917515:OCY917541 OMU917515:OMU917541 OWQ917515:OWQ917541 PGM917515:PGM917541 PQI917515:PQI917541 QAE917515:QAE917541 QKA917515:QKA917541 QTW917515:QTW917541 RDS917515:RDS917541 RNO917515:RNO917541 RXK917515:RXK917541 SHG917515:SHG917541 SRC917515:SRC917541 TAY917515:TAY917541 TKU917515:TKU917541 TUQ917515:TUQ917541 UEM917515:UEM917541 UOI917515:UOI917541 UYE917515:UYE917541 VIA917515:VIA917541 VRW917515:VRW917541 WBS917515:WBS917541 WLO917515:WLO917541 WVK917515:WVK917541 C983051:C983077 IY983051:IY983077 SU983051:SU983077 ACQ983051:ACQ983077 AMM983051:AMM983077 AWI983051:AWI983077 BGE983051:BGE983077 BQA983051:BQA983077 BZW983051:BZW983077 CJS983051:CJS983077 CTO983051:CTO983077 DDK983051:DDK983077 DNG983051:DNG983077 DXC983051:DXC983077 EGY983051:EGY983077 EQU983051:EQU983077 FAQ983051:FAQ983077 FKM983051:FKM983077 FUI983051:FUI983077 GEE983051:GEE983077 GOA983051:GOA983077 GXW983051:GXW983077 HHS983051:HHS983077 HRO983051:HRO983077 IBK983051:IBK983077 ILG983051:ILG983077 IVC983051:IVC983077 JEY983051:JEY983077 JOU983051:JOU983077 JYQ983051:JYQ983077 KIM983051:KIM983077 KSI983051:KSI983077 LCE983051:LCE983077 LMA983051:LMA983077 LVW983051:LVW983077 MFS983051:MFS983077 MPO983051:MPO983077 MZK983051:MZK983077 NJG983051:NJG983077 NTC983051:NTC983077 OCY983051:OCY983077 OMU983051:OMU983077 OWQ983051:OWQ983077 PGM983051:PGM983077 PQI983051:PQI983077 QAE983051:QAE983077 QKA983051:QKA983077 QTW983051:QTW983077 RDS983051:RDS983077 RNO983051:RNO983077 RXK983051:RXK983077 SHG983051:SHG983077 SRC983051:SRC983077 TAY983051:TAY983077 TKU983051:TKU983077 TUQ983051:TUQ983077 UEM983051:UEM983077 UOI983051:UOI983077 UYE983051:UYE983077 VIA983051:VIA983077 VRW983051:VRW983077 WBS983051:WBS983077 WLO983051:WLO983077 WVK983051:WVK983077 IZ10:IZ37 SV10:SV37 ACR10:ACR37 AMN10:AMN37 AWJ10:AWJ37 BGF10:BGF37 BQB10:BQB37 BZX10:BZX37 CJT10:CJT37 CTP10:CTP37 DDL10:DDL37 DNH10:DNH37 DXD10:DXD37 EGZ10:EGZ37 EQV10:EQV37 FAR10:FAR37 FKN10:FKN37 FUJ10:FUJ37 GEF10:GEF37 GOB10:GOB37 GXX10:GXX37 HHT10:HHT37 HRP10:HRP37 IBL10:IBL37 ILH10:ILH37 IVD10:IVD37 JEZ10:JEZ37 JOV10:JOV37 JYR10:JYR37 KIN10:KIN37 KSJ10:KSJ37 LCF10:LCF37 LMB10:LMB37 LVX10:LVX37 MFT10:MFT37 MPP10:MPP37 MZL10:MZL37 NJH10:NJH37 NTD10:NTD37 OCZ10:OCZ37 OMV10:OMV37 OWR10:OWR37 PGN10:PGN37 PQJ10:PQJ37 QAF10:QAF37 QKB10:QKB37 QTX10:QTX37 RDT10:RDT37 RNP10:RNP37 RXL10:RXL37 SHH10:SHH37 SRD10:SRD37 TAZ10:TAZ37 TKV10:TKV37 TUR10:TUR37 UEN10:UEN37 UOJ10:UOJ37 UYF10:UYF37 VIB10:VIB37 VRX10:VRX37 WBT10:WBT37 WLP10:WLP37 WVL10:WVL37 D65546:D65573 IZ65546:IZ65573 SV65546:SV65573 ACR65546:ACR65573 AMN65546:AMN65573 AWJ65546:AWJ65573 BGF65546:BGF65573 BQB65546:BQB65573 BZX65546:BZX65573 CJT65546:CJT65573 CTP65546:CTP65573 DDL65546:DDL65573 DNH65546:DNH65573 DXD65546:DXD65573 EGZ65546:EGZ65573 EQV65546:EQV65573 FAR65546:FAR65573 FKN65546:FKN65573 FUJ65546:FUJ65573 GEF65546:GEF65573 GOB65546:GOB65573 GXX65546:GXX65573 HHT65546:HHT65573 HRP65546:HRP65573 IBL65546:IBL65573 ILH65546:ILH65573 IVD65546:IVD65573 JEZ65546:JEZ65573 JOV65546:JOV65573 JYR65546:JYR65573 KIN65546:KIN65573 KSJ65546:KSJ65573 LCF65546:LCF65573 LMB65546:LMB65573 LVX65546:LVX65573 MFT65546:MFT65573 MPP65546:MPP65573 MZL65546:MZL65573 NJH65546:NJH65573 NTD65546:NTD65573 OCZ65546:OCZ65573 OMV65546:OMV65573 OWR65546:OWR65573 PGN65546:PGN65573 PQJ65546:PQJ65573 QAF65546:QAF65573 QKB65546:QKB65573 QTX65546:QTX65573 RDT65546:RDT65573 RNP65546:RNP65573 RXL65546:RXL65573 SHH65546:SHH65573 SRD65546:SRD65573 TAZ65546:TAZ65573 TKV65546:TKV65573 TUR65546:TUR65573 UEN65546:UEN65573 UOJ65546:UOJ65573 UYF65546:UYF65573 VIB65546:VIB65573 VRX65546:VRX65573 WBT65546:WBT65573 WLP65546:WLP65573 WVL65546:WVL65573 D131082:D131109 IZ131082:IZ131109 SV131082:SV131109 ACR131082:ACR131109 AMN131082:AMN131109 AWJ131082:AWJ131109 BGF131082:BGF131109 BQB131082:BQB131109 BZX131082:BZX131109 CJT131082:CJT131109 CTP131082:CTP131109 DDL131082:DDL131109 DNH131082:DNH131109 DXD131082:DXD131109 EGZ131082:EGZ131109 EQV131082:EQV131109 FAR131082:FAR131109 FKN131082:FKN131109 FUJ131082:FUJ131109 GEF131082:GEF131109 GOB131082:GOB131109 GXX131082:GXX131109 HHT131082:HHT131109 HRP131082:HRP131109 IBL131082:IBL131109 ILH131082:ILH131109 IVD131082:IVD131109 JEZ131082:JEZ131109 JOV131082:JOV131109 JYR131082:JYR131109 KIN131082:KIN131109 KSJ131082:KSJ131109 LCF131082:LCF131109 LMB131082:LMB131109 LVX131082:LVX131109 MFT131082:MFT131109 MPP131082:MPP131109 MZL131082:MZL131109 NJH131082:NJH131109 NTD131082:NTD131109 OCZ131082:OCZ131109 OMV131082:OMV131109 OWR131082:OWR131109 PGN131082:PGN131109 PQJ131082:PQJ131109 QAF131082:QAF131109 QKB131082:QKB131109 QTX131082:QTX131109 RDT131082:RDT131109 RNP131082:RNP131109 RXL131082:RXL131109 SHH131082:SHH131109 SRD131082:SRD131109 TAZ131082:TAZ131109 TKV131082:TKV131109 TUR131082:TUR131109 UEN131082:UEN131109 UOJ131082:UOJ131109 UYF131082:UYF131109 VIB131082:VIB131109 VRX131082:VRX131109 WBT131082:WBT131109 WLP131082:WLP131109 WVL131082:WVL131109 D196618:D196645 IZ196618:IZ196645 SV196618:SV196645 ACR196618:ACR196645 AMN196618:AMN196645 AWJ196618:AWJ196645 BGF196618:BGF196645 BQB196618:BQB196645 BZX196618:BZX196645 CJT196618:CJT196645 CTP196618:CTP196645 DDL196618:DDL196645 DNH196618:DNH196645 DXD196618:DXD196645 EGZ196618:EGZ196645 EQV196618:EQV196645 FAR196618:FAR196645 FKN196618:FKN196645 FUJ196618:FUJ196645 GEF196618:GEF196645 GOB196618:GOB196645 GXX196618:GXX196645 HHT196618:HHT196645 HRP196618:HRP196645 IBL196618:IBL196645 ILH196618:ILH196645 IVD196618:IVD196645 JEZ196618:JEZ196645 JOV196618:JOV196645 JYR196618:JYR196645 KIN196618:KIN196645 KSJ196618:KSJ196645 LCF196618:LCF196645 LMB196618:LMB196645 LVX196618:LVX196645 MFT196618:MFT196645 MPP196618:MPP196645 MZL196618:MZL196645 NJH196618:NJH196645 NTD196618:NTD196645 OCZ196618:OCZ196645 OMV196618:OMV196645 OWR196618:OWR196645 PGN196618:PGN196645 PQJ196618:PQJ196645 QAF196618:QAF196645 QKB196618:QKB196645 QTX196618:QTX196645 RDT196618:RDT196645 RNP196618:RNP196645 RXL196618:RXL196645 SHH196618:SHH196645 SRD196618:SRD196645 TAZ196618:TAZ196645 TKV196618:TKV196645 TUR196618:TUR196645 UEN196618:UEN196645 UOJ196618:UOJ196645 UYF196618:UYF196645 VIB196618:VIB196645 VRX196618:VRX196645 WBT196618:WBT196645 WLP196618:WLP196645 WVL196618:WVL196645 D262154:D262181 IZ262154:IZ262181 SV262154:SV262181 ACR262154:ACR262181 AMN262154:AMN262181 AWJ262154:AWJ262181 BGF262154:BGF262181 BQB262154:BQB262181 BZX262154:BZX262181 CJT262154:CJT262181 CTP262154:CTP262181 DDL262154:DDL262181 DNH262154:DNH262181 DXD262154:DXD262181 EGZ262154:EGZ262181 EQV262154:EQV262181 FAR262154:FAR262181 FKN262154:FKN262181 FUJ262154:FUJ262181 GEF262154:GEF262181 GOB262154:GOB262181 GXX262154:GXX262181 HHT262154:HHT262181 HRP262154:HRP262181 IBL262154:IBL262181 ILH262154:ILH262181 IVD262154:IVD262181 JEZ262154:JEZ262181 JOV262154:JOV262181 JYR262154:JYR262181 KIN262154:KIN262181 KSJ262154:KSJ262181 LCF262154:LCF262181 LMB262154:LMB262181 LVX262154:LVX262181 MFT262154:MFT262181 MPP262154:MPP262181 MZL262154:MZL262181 NJH262154:NJH262181 NTD262154:NTD262181 OCZ262154:OCZ262181 OMV262154:OMV262181 OWR262154:OWR262181 PGN262154:PGN262181 PQJ262154:PQJ262181 QAF262154:QAF262181 QKB262154:QKB262181 QTX262154:QTX262181 RDT262154:RDT262181 RNP262154:RNP262181 RXL262154:RXL262181 SHH262154:SHH262181 SRD262154:SRD262181 TAZ262154:TAZ262181 TKV262154:TKV262181 TUR262154:TUR262181 UEN262154:UEN262181 UOJ262154:UOJ262181 UYF262154:UYF262181 VIB262154:VIB262181 VRX262154:VRX262181 WBT262154:WBT262181 WLP262154:WLP262181 WVL262154:WVL262181 D327690:D327717 IZ327690:IZ327717 SV327690:SV327717 ACR327690:ACR327717 AMN327690:AMN327717 AWJ327690:AWJ327717 BGF327690:BGF327717 BQB327690:BQB327717 BZX327690:BZX327717 CJT327690:CJT327717 CTP327690:CTP327717 DDL327690:DDL327717 DNH327690:DNH327717 DXD327690:DXD327717 EGZ327690:EGZ327717 EQV327690:EQV327717 FAR327690:FAR327717 FKN327690:FKN327717 FUJ327690:FUJ327717 GEF327690:GEF327717 GOB327690:GOB327717 GXX327690:GXX327717 HHT327690:HHT327717 HRP327690:HRP327717 IBL327690:IBL327717 ILH327690:ILH327717 IVD327690:IVD327717 JEZ327690:JEZ327717 JOV327690:JOV327717 JYR327690:JYR327717 KIN327690:KIN327717 KSJ327690:KSJ327717 LCF327690:LCF327717 LMB327690:LMB327717 LVX327690:LVX327717 MFT327690:MFT327717 MPP327690:MPP327717 MZL327690:MZL327717 NJH327690:NJH327717 NTD327690:NTD327717 OCZ327690:OCZ327717 OMV327690:OMV327717 OWR327690:OWR327717 PGN327690:PGN327717 PQJ327690:PQJ327717 QAF327690:QAF327717 QKB327690:QKB327717 QTX327690:QTX327717 RDT327690:RDT327717 RNP327690:RNP327717 RXL327690:RXL327717 SHH327690:SHH327717 SRD327690:SRD327717 TAZ327690:TAZ327717 TKV327690:TKV327717 TUR327690:TUR327717 UEN327690:UEN327717 UOJ327690:UOJ327717 UYF327690:UYF327717 VIB327690:VIB327717 VRX327690:VRX327717 WBT327690:WBT327717 WLP327690:WLP327717 WVL327690:WVL327717 D393226:D393253 IZ393226:IZ393253 SV393226:SV393253 ACR393226:ACR393253 AMN393226:AMN393253 AWJ393226:AWJ393253 BGF393226:BGF393253 BQB393226:BQB393253 BZX393226:BZX393253 CJT393226:CJT393253 CTP393226:CTP393253 DDL393226:DDL393253 DNH393226:DNH393253 DXD393226:DXD393253 EGZ393226:EGZ393253 EQV393226:EQV393253 FAR393226:FAR393253 FKN393226:FKN393253 FUJ393226:FUJ393253 GEF393226:GEF393253 GOB393226:GOB393253 GXX393226:GXX393253 HHT393226:HHT393253 HRP393226:HRP393253 IBL393226:IBL393253 ILH393226:ILH393253 IVD393226:IVD393253 JEZ393226:JEZ393253 JOV393226:JOV393253 JYR393226:JYR393253 KIN393226:KIN393253 KSJ393226:KSJ393253 LCF393226:LCF393253 LMB393226:LMB393253 LVX393226:LVX393253 MFT393226:MFT393253 MPP393226:MPP393253 MZL393226:MZL393253 NJH393226:NJH393253 NTD393226:NTD393253 OCZ393226:OCZ393253 OMV393226:OMV393253 OWR393226:OWR393253 PGN393226:PGN393253 PQJ393226:PQJ393253 QAF393226:QAF393253 QKB393226:QKB393253 QTX393226:QTX393253 RDT393226:RDT393253 RNP393226:RNP393253 RXL393226:RXL393253 SHH393226:SHH393253 SRD393226:SRD393253 TAZ393226:TAZ393253 TKV393226:TKV393253 TUR393226:TUR393253 UEN393226:UEN393253 UOJ393226:UOJ393253 UYF393226:UYF393253 VIB393226:VIB393253 VRX393226:VRX393253 WBT393226:WBT393253 WLP393226:WLP393253 WVL393226:WVL393253 D458762:D458789 IZ458762:IZ458789 SV458762:SV458789 ACR458762:ACR458789 AMN458762:AMN458789 AWJ458762:AWJ458789 BGF458762:BGF458789 BQB458762:BQB458789 BZX458762:BZX458789 CJT458762:CJT458789 CTP458762:CTP458789 DDL458762:DDL458789 DNH458762:DNH458789 DXD458762:DXD458789 EGZ458762:EGZ458789 EQV458762:EQV458789 FAR458762:FAR458789 FKN458762:FKN458789 FUJ458762:FUJ458789 GEF458762:GEF458789 GOB458762:GOB458789 GXX458762:GXX458789 HHT458762:HHT458789 HRP458762:HRP458789 IBL458762:IBL458789 ILH458762:ILH458789 IVD458762:IVD458789 JEZ458762:JEZ458789 JOV458762:JOV458789 JYR458762:JYR458789 KIN458762:KIN458789 KSJ458762:KSJ458789 LCF458762:LCF458789 LMB458762:LMB458789 LVX458762:LVX458789 MFT458762:MFT458789 MPP458762:MPP458789 MZL458762:MZL458789 NJH458762:NJH458789 NTD458762:NTD458789 OCZ458762:OCZ458789 OMV458762:OMV458789 OWR458762:OWR458789 PGN458762:PGN458789 PQJ458762:PQJ458789 QAF458762:QAF458789 QKB458762:QKB458789 QTX458762:QTX458789 RDT458762:RDT458789 RNP458762:RNP458789 RXL458762:RXL458789 SHH458762:SHH458789 SRD458762:SRD458789 TAZ458762:TAZ458789 TKV458762:TKV458789 TUR458762:TUR458789 UEN458762:UEN458789 UOJ458762:UOJ458789 UYF458762:UYF458789 VIB458762:VIB458789 VRX458762:VRX458789 WBT458762:WBT458789 WLP458762:WLP458789 WVL458762:WVL458789 D524298:D524325 IZ524298:IZ524325 SV524298:SV524325 ACR524298:ACR524325 AMN524298:AMN524325 AWJ524298:AWJ524325 BGF524298:BGF524325 BQB524298:BQB524325 BZX524298:BZX524325 CJT524298:CJT524325 CTP524298:CTP524325 DDL524298:DDL524325 DNH524298:DNH524325 DXD524298:DXD524325 EGZ524298:EGZ524325 EQV524298:EQV524325 FAR524298:FAR524325 FKN524298:FKN524325 FUJ524298:FUJ524325 GEF524298:GEF524325 GOB524298:GOB524325 GXX524298:GXX524325 HHT524298:HHT524325 HRP524298:HRP524325 IBL524298:IBL524325 ILH524298:ILH524325 IVD524298:IVD524325 JEZ524298:JEZ524325 JOV524298:JOV524325 JYR524298:JYR524325 KIN524298:KIN524325 KSJ524298:KSJ524325 LCF524298:LCF524325 LMB524298:LMB524325 LVX524298:LVX524325 MFT524298:MFT524325 MPP524298:MPP524325 MZL524298:MZL524325 NJH524298:NJH524325 NTD524298:NTD524325 OCZ524298:OCZ524325 OMV524298:OMV524325 OWR524298:OWR524325 PGN524298:PGN524325 PQJ524298:PQJ524325 QAF524298:QAF524325 QKB524298:QKB524325 QTX524298:QTX524325 RDT524298:RDT524325 RNP524298:RNP524325 RXL524298:RXL524325 SHH524298:SHH524325 SRD524298:SRD524325 TAZ524298:TAZ524325 TKV524298:TKV524325 TUR524298:TUR524325 UEN524298:UEN524325 UOJ524298:UOJ524325 UYF524298:UYF524325 VIB524298:VIB524325 VRX524298:VRX524325 WBT524298:WBT524325 WLP524298:WLP524325 WVL524298:WVL524325 D589834:D589861 IZ589834:IZ589861 SV589834:SV589861 ACR589834:ACR589861 AMN589834:AMN589861 AWJ589834:AWJ589861 BGF589834:BGF589861 BQB589834:BQB589861 BZX589834:BZX589861 CJT589834:CJT589861 CTP589834:CTP589861 DDL589834:DDL589861 DNH589834:DNH589861 DXD589834:DXD589861 EGZ589834:EGZ589861 EQV589834:EQV589861 FAR589834:FAR589861 FKN589834:FKN589861 FUJ589834:FUJ589861 GEF589834:GEF589861 GOB589834:GOB589861 GXX589834:GXX589861 HHT589834:HHT589861 HRP589834:HRP589861 IBL589834:IBL589861 ILH589834:ILH589861 IVD589834:IVD589861 JEZ589834:JEZ589861 JOV589834:JOV589861 JYR589834:JYR589861 KIN589834:KIN589861 KSJ589834:KSJ589861 LCF589834:LCF589861 LMB589834:LMB589861 LVX589834:LVX589861 MFT589834:MFT589861 MPP589834:MPP589861 MZL589834:MZL589861 NJH589834:NJH589861 NTD589834:NTD589861 OCZ589834:OCZ589861 OMV589834:OMV589861 OWR589834:OWR589861 PGN589834:PGN589861 PQJ589834:PQJ589861 QAF589834:QAF589861 QKB589834:QKB589861 QTX589834:QTX589861 RDT589834:RDT589861 RNP589834:RNP589861 RXL589834:RXL589861 SHH589834:SHH589861 SRD589834:SRD589861 TAZ589834:TAZ589861 TKV589834:TKV589861 TUR589834:TUR589861 UEN589834:UEN589861 UOJ589834:UOJ589861 UYF589834:UYF589861 VIB589834:VIB589861 VRX589834:VRX589861 WBT589834:WBT589861 WLP589834:WLP589861 WVL589834:WVL589861 D655370:D655397 IZ655370:IZ655397 SV655370:SV655397 ACR655370:ACR655397 AMN655370:AMN655397 AWJ655370:AWJ655397 BGF655370:BGF655397 BQB655370:BQB655397 BZX655370:BZX655397 CJT655370:CJT655397 CTP655370:CTP655397 DDL655370:DDL655397 DNH655370:DNH655397 DXD655370:DXD655397 EGZ655370:EGZ655397 EQV655370:EQV655397 FAR655370:FAR655397 FKN655370:FKN655397 FUJ655370:FUJ655397 GEF655370:GEF655397 GOB655370:GOB655397 GXX655370:GXX655397 HHT655370:HHT655397 HRP655370:HRP655397 IBL655370:IBL655397 ILH655370:ILH655397 IVD655370:IVD655397 JEZ655370:JEZ655397 JOV655370:JOV655397 JYR655370:JYR655397 KIN655370:KIN655397 KSJ655370:KSJ655397 LCF655370:LCF655397 LMB655370:LMB655397 LVX655370:LVX655397 MFT655370:MFT655397 MPP655370:MPP655397 MZL655370:MZL655397 NJH655370:NJH655397 NTD655370:NTD655397 OCZ655370:OCZ655397 OMV655370:OMV655397 OWR655370:OWR655397 PGN655370:PGN655397 PQJ655370:PQJ655397 QAF655370:QAF655397 QKB655370:QKB655397 QTX655370:QTX655397 RDT655370:RDT655397 RNP655370:RNP655397 RXL655370:RXL655397 SHH655370:SHH655397 SRD655370:SRD655397 TAZ655370:TAZ655397 TKV655370:TKV655397 TUR655370:TUR655397 UEN655370:UEN655397 UOJ655370:UOJ655397 UYF655370:UYF655397 VIB655370:VIB655397 VRX655370:VRX655397 WBT655370:WBT655397 WLP655370:WLP655397 WVL655370:WVL655397 D720906:D720933 IZ720906:IZ720933 SV720906:SV720933 ACR720906:ACR720933 AMN720906:AMN720933 AWJ720906:AWJ720933 BGF720906:BGF720933 BQB720906:BQB720933 BZX720906:BZX720933 CJT720906:CJT720933 CTP720906:CTP720933 DDL720906:DDL720933 DNH720906:DNH720933 DXD720906:DXD720933 EGZ720906:EGZ720933 EQV720906:EQV720933 FAR720906:FAR720933 FKN720906:FKN720933 FUJ720906:FUJ720933 GEF720906:GEF720933 GOB720906:GOB720933 GXX720906:GXX720933 HHT720906:HHT720933 HRP720906:HRP720933 IBL720906:IBL720933 ILH720906:ILH720933 IVD720906:IVD720933 JEZ720906:JEZ720933 JOV720906:JOV720933 JYR720906:JYR720933 KIN720906:KIN720933 KSJ720906:KSJ720933 LCF720906:LCF720933 LMB720906:LMB720933 LVX720906:LVX720933 MFT720906:MFT720933 MPP720906:MPP720933 MZL720906:MZL720933 NJH720906:NJH720933 NTD720906:NTD720933 OCZ720906:OCZ720933 OMV720906:OMV720933 OWR720906:OWR720933 PGN720906:PGN720933 PQJ720906:PQJ720933 QAF720906:QAF720933 QKB720906:QKB720933 QTX720906:QTX720933 RDT720906:RDT720933 RNP720906:RNP720933 RXL720906:RXL720933 SHH720906:SHH720933 SRD720906:SRD720933 TAZ720906:TAZ720933 TKV720906:TKV720933 TUR720906:TUR720933 UEN720906:UEN720933 UOJ720906:UOJ720933 UYF720906:UYF720933 VIB720906:VIB720933 VRX720906:VRX720933 WBT720906:WBT720933 WLP720906:WLP720933 WVL720906:WVL720933 D786442:D786469 IZ786442:IZ786469 SV786442:SV786469 ACR786442:ACR786469 AMN786442:AMN786469 AWJ786442:AWJ786469 BGF786442:BGF786469 BQB786442:BQB786469 BZX786442:BZX786469 CJT786442:CJT786469 CTP786442:CTP786469 DDL786442:DDL786469 DNH786442:DNH786469 DXD786442:DXD786469 EGZ786442:EGZ786469 EQV786442:EQV786469 FAR786442:FAR786469 FKN786442:FKN786469 FUJ786442:FUJ786469 GEF786442:GEF786469 GOB786442:GOB786469 GXX786442:GXX786469 HHT786442:HHT786469 HRP786442:HRP786469 IBL786442:IBL786469 ILH786442:ILH786469 IVD786442:IVD786469 JEZ786442:JEZ786469 JOV786442:JOV786469 JYR786442:JYR786469 KIN786442:KIN786469 KSJ786442:KSJ786469 LCF786442:LCF786469 LMB786442:LMB786469 LVX786442:LVX786469 MFT786442:MFT786469 MPP786442:MPP786469 MZL786442:MZL786469 NJH786442:NJH786469 NTD786442:NTD786469 OCZ786442:OCZ786469 OMV786442:OMV786469 OWR786442:OWR786469 PGN786442:PGN786469 PQJ786442:PQJ786469 QAF786442:QAF786469 QKB786442:QKB786469 QTX786442:QTX786469 RDT786442:RDT786469 RNP786442:RNP786469 RXL786442:RXL786469 SHH786442:SHH786469 SRD786442:SRD786469 TAZ786442:TAZ786469 TKV786442:TKV786469 TUR786442:TUR786469 UEN786442:UEN786469 UOJ786442:UOJ786469 UYF786442:UYF786469 VIB786442:VIB786469 VRX786442:VRX786469 WBT786442:WBT786469 WLP786442:WLP786469 WVL786442:WVL786469 D851978:D852005 IZ851978:IZ852005 SV851978:SV852005 ACR851978:ACR852005 AMN851978:AMN852005 AWJ851978:AWJ852005 BGF851978:BGF852005 BQB851978:BQB852005 BZX851978:BZX852005 CJT851978:CJT852005 CTP851978:CTP852005 DDL851978:DDL852005 DNH851978:DNH852005 DXD851978:DXD852005 EGZ851978:EGZ852005 EQV851978:EQV852005 FAR851978:FAR852005 FKN851978:FKN852005 FUJ851978:FUJ852005 GEF851978:GEF852005 GOB851978:GOB852005 GXX851978:GXX852005 HHT851978:HHT852005 HRP851978:HRP852005 IBL851978:IBL852005 ILH851978:ILH852005 IVD851978:IVD852005 JEZ851978:JEZ852005 JOV851978:JOV852005 JYR851978:JYR852005 KIN851978:KIN852005 KSJ851978:KSJ852005 LCF851978:LCF852005 LMB851978:LMB852005 LVX851978:LVX852005 MFT851978:MFT852005 MPP851978:MPP852005 MZL851978:MZL852005 NJH851978:NJH852005 NTD851978:NTD852005 OCZ851978:OCZ852005 OMV851978:OMV852005 OWR851978:OWR852005 PGN851978:PGN852005 PQJ851978:PQJ852005 QAF851978:QAF852005 QKB851978:QKB852005 QTX851978:QTX852005 RDT851978:RDT852005 RNP851978:RNP852005 RXL851978:RXL852005 SHH851978:SHH852005 SRD851978:SRD852005 TAZ851978:TAZ852005 TKV851978:TKV852005 TUR851978:TUR852005 UEN851978:UEN852005 UOJ851978:UOJ852005 UYF851978:UYF852005 VIB851978:VIB852005 VRX851978:VRX852005 WBT851978:WBT852005 WLP851978:WLP852005 WVL851978:WVL852005 D917514:D917541 IZ917514:IZ917541 SV917514:SV917541 ACR917514:ACR917541 AMN917514:AMN917541 AWJ917514:AWJ917541 BGF917514:BGF917541 BQB917514:BQB917541 BZX917514:BZX917541 CJT917514:CJT917541 CTP917514:CTP917541 DDL917514:DDL917541 DNH917514:DNH917541 DXD917514:DXD917541 EGZ917514:EGZ917541 EQV917514:EQV917541 FAR917514:FAR917541 FKN917514:FKN917541 FUJ917514:FUJ917541 GEF917514:GEF917541 GOB917514:GOB917541 GXX917514:GXX917541 HHT917514:HHT917541 HRP917514:HRP917541 IBL917514:IBL917541 ILH917514:ILH917541 IVD917514:IVD917541 JEZ917514:JEZ917541 JOV917514:JOV917541 JYR917514:JYR917541 KIN917514:KIN917541 KSJ917514:KSJ917541 LCF917514:LCF917541 LMB917514:LMB917541 LVX917514:LVX917541 MFT917514:MFT917541 MPP917514:MPP917541 MZL917514:MZL917541 NJH917514:NJH917541 NTD917514:NTD917541 OCZ917514:OCZ917541 OMV917514:OMV917541 OWR917514:OWR917541 PGN917514:PGN917541 PQJ917514:PQJ917541 QAF917514:QAF917541 QKB917514:QKB917541 QTX917514:QTX917541 RDT917514:RDT917541 RNP917514:RNP917541 RXL917514:RXL917541 SHH917514:SHH917541 SRD917514:SRD917541 TAZ917514:TAZ917541 TKV917514:TKV917541 TUR917514:TUR917541 UEN917514:UEN917541 UOJ917514:UOJ917541 UYF917514:UYF917541 VIB917514:VIB917541 VRX917514:VRX917541 WBT917514:WBT917541 WLP917514:WLP917541 WVL917514:WVL917541 D983050:D983077 IZ983050:IZ983077 SV983050:SV983077 ACR983050:ACR983077 AMN983050:AMN983077 AWJ983050:AWJ983077 BGF983050:BGF983077 BQB983050:BQB983077 BZX983050:BZX983077 CJT983050:CJT983077 CTP983050:CTP983077 DDL983050:DDL983077 DNH983050:DNH983077 DXD983050:DXD983077 EGZ983050:EGZ983077 EQV983050:EQV983077 FAR983050:FAR983077 FKN983050:FKN983077 FUJ983050:FUJ983077 GEF983050:GEF983077 GOB983050:GOB983077 GXX983050:GXX983077 HHT983050:HHT983077 HRP983050:HRP983077 IBL983050:IBL983077 ILH983050:ILH983077 IVD983050:IVD983077 JEZ983050:JEZ983077 JOV983050:JOV983077 JYR983050:JYR983077 KIN983050:KIN983077 KSJ983050:KSJ983077 LCF983050:LCF983077 LMB983050:LMB983077 LVX983050:LVX983077 MFT983050:MFT983077 MPP983050:MPP983077 MZL983050:MZL983077 NJH983050:NJH983077 NTD983050:NTD983077 OCZ983050:OCZ983077 OMV983050:OMV983077 OWR983050:OWR983077 PGN983050:PGN983077 PQJ983050:PQJ983077 QAF983050:QAF983077 QKB983050:QKB983077 QTX983050:QTX983077 RDT983050:RDT983077 RNP983050:RNP983077 RXL983050:RXL983077 SHH983050:SHH983077 SRD983050:SRD983077 TAZ983050:TAZ983077 TKV983050:TKV983077 TUR983050:TUR983077 UEN983050:UEN983077 UOJ983050:UOJ983077 UYF983050:UYF983077 VIB983050:VIB983077 VRX983050:VRX983077 WBT983050:WBT983077 WLP983050:WLP983077 WVL983050:WVL983077 F10:G37 JB10:JC37 SX10:SY37 ACT10:ACU37 AMP10:AMQ37 AWL10:AWM37 BGH10:BGI37 BQD10:BQE37 BZZ10:CAA37 CJV10:CJW37 CTR10:CTS37 DDN10:DDO37 DNJ10:DNK37 DXF10:DXG37 EHB10:EHC37 EQX10:EQY37 FAT10:FAU37 FKP10:FKQ37 FUL10:FUM37 GEH10:GEI37 GOD10:GOE37 GXZ10:GYA37 HHV10:HHW37 HRR10:HRS37 IBN10:IBO37 ILJ10:ILK37 IVF10:IVG37 JFB10:JFC37 JOX10:JOY37 JYT10:JYU37 KIP10:KIQ37 KSL10:KSM37 LCH10:LCI37 LMD10:LME37 LVZ10:LWA37 MFV10:MFW37 MPR10:MPS37 MZN10:MZO37 NJJ10:NJK37 NTF10:NTG37 ODB10:ODC37 OMX10:OMY37 OWT10:OWU37 PGP10:PGQ37 PQL10:PQM37 QAH10:QAI37 QKD10:QKE37 QTZ10:QUA37 RDV10:RDW37 RNR10:RNS37 RXN10:RXO37 SHJ10:SHK37 SRF10:SRG37 TBB10:TBC37 TKX10:TKY37 TUT10:TUU37 UEP10:UEQ37 UOL10:UOM37 UYH10:UYI37 VID10:VIE37 VRZ10:VSA37 WBV10:WBW37 WLR10:WLS37 WVN10:WVO37 F65546:G65573 JB65546:JC65573 SX65546:SY65573 ACT65546:ACU65573 AMP65546:AMQ65573 AWL65546:AWM65573 BGH65546:BGI65573 BQD65546:BQE65573 BZZ65546:CAA65573 CJV65546:CJW65573 CTR65546:CTS65573 DDN65546:DDO65573 DNJ65546:DNK65573 DXF65546:DXG65573 EHB65546:EHC65573 EQX65546:EQY65573 FAT65546:FAU65573 FKP65546:FKQ65573 FUL65546:FUM65573 GEH65546:GEI65573 GOD65546:GOE65573 GXZ65546:GYA65573 HHV65546:HHW65573 HRR65546:HRS65573 IBN65546:IBO65573 ILJ65546:ILK65573 IVF65546:IVG65573 JFB65546:JFC65573 JOX65546:JOY65573 JYT65546:JYU65573 KIP65546:KIQ65573 KSL65546:KSM65573 LCH65546:LCI65573 LMD65546:LME65573 LVZ65546:LWA65573 MFV65546:MFW65573 MPR65546:MPS65573 MZN65546:MZO65573 NJJ65546:NJK65573 NTF65546:NTG65573 ODB65546:ODC65573 OMX65546:OMY65573 OWT65546:OWU65573 PGP65546:PGQ65573 PQL65546:PQM65573 QAH65546:QAI65573 QKD65546:QKE65573 QTZ65546:QUA65573 RDV65546:RDW65573 RNR65546:RNS65573 RXN65546:RXO65573 SHJ65546:SHK65573 SRF65546:SRG65573 TBB65546:TBC65573 TKX65546:TKY65573 TUT65546:TUU65573 UEP65546:UEQ65573 UOL65546:UOM65573 UYH65546:UYI65573 VID65546:VIE65573 VRZ65546:VSA65573 WBV65546:WBW65573 WLR65546:WLS65573 WVN65546:WVO65573 F131082:G131109 JB131082:JC131109 SX131082:SY131109 ACT131082:ACU131109 AMP131082:AMQ131109 AWL131082:AWM131109 BGH131082:BGI131109 BQD131082:BQE131109 BZZ131082:CAA131109 CJV131082:CJW131109 CTR131082:CTS131109 DDN131082:DDO131109 DNJ131082:DNK131109 DXF131082:DXG131109 EHB131082:EHC131109 EQX131082:EQY131109 FAT131082:FAU131109 FKP131082:FKQ131109 FUL131082:FUM131109 GEH131082:GEI131109 GOD131082:GOE131109 GXZ131082:GYA131109 HHV131082:HHW131109 HRR131082:HRS131109 IBN131082:IBO131109 ILJ131082:ILK131109 IVF131082:IVG131109 JFB131082:JFC131109 JOX131082:JOY131109 JYT131082:JYU131109 KIP131082:KIQ131109 KSL131082:KSM131109 LCH131082:LCI131109 LMD131082:LME131109 LVZ131082:LWA131109 MFV131082:MFW131109 MPR131082:MPS131109 MZN131082:MZO131109 NJJ131082:NJK131109 NTF131082:NTG131109 ODB131082:ODC131109 OMX131082:OMY131109 OWT131082:OWU131109 PGP131082:PGQ131109 PQL131082:PQM131109 QAH131082:QAI131109 QKD131082:QKE131109 QTZ131082:QUA131109 RDV131082:RDW131109 RNR131082:RNS131109 RXN131082:RXO131109 SHJ131082:SHK131109 SRF131082:SRG131109 TBB131082:TBC131109 TKX131082:TKY131109 TUT131082:TUU131109 UEP131082:UEQ131109 UOL131082:UOM131109 UYH131082:UYI131109 VID131082:VIE131109 VRZ131082:VSA131109 WBV131082:WBW131109 WLR131082:WLS131109 WVN131082:WVO131109 F196618:G196645 JB196618:JC196645 SX196618:SY196645 ACT196618:ACU196645 AMP196618:AMQ196645 AWL196618:AWM196645 BGH196618:BGI196645 BQD196618:BQE196645 BZZ196618:CAA196645 CJV196618:CJW196645 CTR196618:CTS196645 DDN196618:DDO196645 DNJ196618:DNK196645 DXF196618:DXG196645 EHB196618:EHC196645 EQX196618:EQY196645 FAT196618:FAU196645 FKP196618:FKQ196645 FUL196618:FUM196645 GEH196618:GEI196645 GOD196618:GOE196645 GXZ196618:GYA196645 HHV196618:HHW196645 HRR196618:HRS196645 IBN196618:IBO196645 ILJ196618:ILK196645 IVF196618:IVG196645 JFB196618:JFC196645 JOX196618:JOY196645 JYT196618:JYU196645 KIP196618:KIQ196645 KSL196618:KSM196645 LCH196618:LCI196645 LMD196618:LME196645 LVZ196618:LWA196645 MFV196618:MFW196645 MPR196618:MPS196645 MZN196618:MZO196645 NJJ196618:NJK196645 NTF196618:NTG196645 ODB196618:ODC196645 OMX196618:OMY196645 OWT196618:OWU196645 PGP196618:PGQ196645 PQL196618:PQM196645 QAH196618:QAI196645 QKD196618:QKE196645 QTZ196618:QUA196645 RDV196618:RDW196645 RNR196618:RNS196645 RXN196618:RXO196645 SHJ196618:SHK196645 SRF196618:SRG196645 TBB196618:TBC196645 TKX196618:TKY196645 TUT196618:TUU196645 UEP196618:UEQ196645 UOL196618:UOM196645 UYH196618:UYI196645 VID196618:VIE196645 VRZ196618:VSA196645 WBV196618:WBW196645 WLR196618:WLS196645 WVN196618:WVO196645 F262154:G262181 JB262154:JC262181 SX262154:SY262181 ACT262154:ACU262181 AMP262154:AMQ262181 AWL262154:AWM262181 BGH262154:BGI262181 BQD262154:BQE262181 BZZ262154:CAA262181 CJV262154:CJW262181 CTR262154:CTS262181 DDN262154:DDO262181 DNJ262154:DNK262181 DXF262154:DXG262181 EHB262154:EHC262181 EQX262154:EQY262181 FAT262154:FAU262181 FKP262154:FKQ262181 FUL262154:FUM262181 GEH262154:GEI262181 GOD262154:GOE262181 GXZ262154:GYA262181 HHV262154:HHW262181 HRR262154:HRS262181 IBN262154:IBO262181 ILJ262154:ILK262181 IVF262154:IVG262181 JFB262154:JFC262181 JOX262154:JOY262181 JYT262154:JYU262181 KIP262154:KIQ262181 KSL262154:KSM262181 LCH262154:LCI262181 LMD262154:LME262181 LVZ262154:LWA262181 MFV262154:MFW262181 MPR262154:MPS262181 MZN262154:MZO262181 NJJ262154:NJK262181 NTF262154:NTG262181 ODB262154:ODC262181 OMX262154:OMY262181 OWT262154:OWU262181 PGP262154:PGQ262181 PQL262154:PQM262181 QAH262154:QAI262181 QKD262154:QKE262181 QTZ262154:QUA262181 RDV262154:RDW262181 RNR262154:RNS262181 RXN262154:RXO262181 SHJ262154:SHK262181 SRF262154:SRG262181 TBB262154:TBC262181 TKX262154:TKY262181 TUT262154:TUU262181 UEP262154:UEQ262181 UOL262154:UOM262181 UYH262154:UYI262181 VID262154:VIE262181 VRZ262154:VSA262181 WBV262154:WBW262181 WLR262154:WLS262181 WVN262154:WVO262181 F327690:G327717 JB327690:JC327717 SX327690:SY327717 ACT327690:ACU327717 AMP327690:AMQ327717 AWL327690:AWM327717 BGH327690:BGI327717 BQD327690:BQE327717 BZZ327690:CAA327717 CJV327690:CJW327717 CTR327690:CTS327717 DDN327690:DDO327717 DNJ327690:DNK327717 DXF327690:DXG327717 EHB327690:EHC327717 EQX327690:EQY327717 FAT327690:FAU327717 FKP327690:FKQ327717 FUL327690:FUM327717 GEH327690:GEI327717 GOD327690:GOE327717 GXZ327690:GYA327717 HHV327690:HHW327717 HRR327690:HRS327717 IBN327690:IBO327717 ILJ327690:ILK327717 IVF327690:IVG327717 JFB327690:JFC327717 JOX327690:JOY327717 JYT327690:JYU327717 KIP327690:KIQ327717 KSL327690:KSM327717 LCH327690:LCI327717 LMD327690:LME327717 LVZ327690:LWA327717 MFV327690:MFW327717 MPR327690:MPS327717 MZN327690:MZO327717 NJJ327690:NJK327717 NTF327690:NTG327717 ODB327690:ODC327717 OMX327690:OMY327717 OWT327690:OWU327717 PGP327690:PGQ327717 PQL327690:PQM327717 QAH327690:QAI327717 QKD327690:QKE327717 QTZ327690:QUA327717 RDV327690:RDW327717 RNR327690:RNS327717 RXN327690:RXO327717 SHJ327690:SHK327717 SRF327690:SRG327717 TBB327690:TBC327717 TKX327690:TKY327717 TUT327690:TUU327717 UEP327690:UEQ327717 UOL327690:UOM327717 UYH327690:UYI327717 VID327690:VIE327717 VRZ327690:VSA327717 WBV327690:WBW327717 WLR327690:WLS327717 WVN327690:WVO327717 F393226:G393253 JB393226:JC393253 SX393226:SY393253 ACT393226:ACU393253 AMP393226:AMQ393253 AWL393226:AWM393253 BGH393226:BGI393253 BQD393226:BQE393253 BZZ393226:CAA393253 CJV393226:CJW393253 CTR393226:CTS393253 DDN393226:DDO393253 DNJ393226:DNK393253 DXF393226:DXG393253 EHB393226:EHC393253 EQX393226:EQY393253 FAT393226:FAU393253 FKP393226:FKQ393253 FUL393226:FUM393253 GEH393226:GEI393253 GOD393226:GOE393253 GXZ393226:GYA393253 HHV393226:HHW393253 HRR393226:HRS393253 IBN393226:IBO393253 ILJ393226:ILK393253 IVF393226:IVG393253 JFB393226:JFC393253 JOX393226:JOY393253 JYT393226:JYU393253 KIP393226:KIQ393253 KSL393226:KSM393253 LCH393226:LCI393253 LMD393226:LME393253 LVZ393226:LWA393253 MFV393226:MFW393253 MPR393226:MPS393253 MZN393226:MZO393253 NJJ393226:NJK393253 NTF393226:NTG393253 ODB393226:ODC393253 OMX393226:OMY393253 OWT393226:OWU393253 PGP393226:PGQ393253 PQL393226:PQM393253 QAH393226:QAI393253 QKD393226:QKE393253 QTZ393226:QUA393253 RDV393226:RDW393253 RNR393226:RNS393253 RXN393226:RXO393253 SHJ393226:SHK393253 SRF393226:SRG393253 TBB393226:TBC393253 TKX393226:TKY393253 TUT393226:TUU393253 UEP393226:UEQ393253 UOL393226:UOM393253 UYH393226:UYI393253 VID393226:VIE393253 VRZ393226:VSA393253 WBV393226:WBW393253 WLR393226:WLS393253 WVN393226:WVO393253 F458762:G458789 JB458762:JC458789 SX458762:SY458789 ACT458762:ACU458789 AMP458762:AMQ458789 AWL458762:AWM458789 BGH458762:BGI458789 BQD458762:BQE458789 BZZ458762:CAA458789 CJV458762:CJW458789 CTR458762:CTS458789 DDN458762:DDO458789 DNJ458762:DNK458789 DXF458762:DXG458789 EHB458762:EHC458789 EQX458762:EQY458789 FAT458762:FAU458789 FKP458762:FKQ458789 FUL458762:FUM458789 GEH458762:GEI458789 GOD458762:GOE458789 GXZ458762:GYA458789 HHV458762:HHW458789 HRR458762:HRS458789 IBN458762:IBO458789 ILJ458762:ILK458789 IVF458762:IVG458789 JFB458762:JFC458789 JOX458762:JOY458789 JYT458762:JYU458789 KIP458762:KIQ458789 KSL458762:KSM458789 LCH458762:LCI458789 LMD458762:LME458789 LVZ458762:LWA458789 MFV458762:MFW458789 MPR458762:MPS458789 MZN458762:MZO458789 NJJ458762:NJK458789 NTF458762:NTG458789 ODB458762:ODC458789 OMX458762:OMY458789 OWT458762:OWU458789 PGP458762:PGQ458789 PQL458762:PQM458789 QAH458762:QAI458789 QKD458762:QKE458789 QTZ458762:QUA458789 RDV458762:RDW458789 RNR458762:RNS458789 RXN458762:RXO458789 SHJ458762:SHK458789 SRF458762:SRG458789 TBB458762:TBC458789 TKX458762:TKY458789 TUT458762:TUU458789 UEP458762:UEQ458789 UOL458762:UOM458789 UYH458762:UYI458789 VID458762:VIE458789 VRZ458762:VSA458789 WBV458762:WBW458789 WLR458762:WLS458789 WVN458762:WVO458789 F524298:G524325 JB524298:JC524325 SX524298:SY524325 ACT524298:ACU524325 AMP524298:AMQ524325 AWL524298:AWM524325 BGH524298:BGI524325 BQD524298:BQE524325 BZZ524298:CAA524325 CJV524298:CJW524325 CTR524298:CTS524325 DDN524298:DDO524325 DNJ524298:DNK524325 DXF524298:DXG524325 EHB524298:EHC524325 EQX524298:EQY524325 FAT524298:FAU524325 FKP524298:FKQ524325 FUL524298:FUM524325 GEH524298:GEI524325 GOD524298:GOE524325 GXZ524298:GYA524325 HHV524298:HHW524325 HRR524298:HRS524325 IBN524298:IBO524325 ILJ524298:ILK524325 IVF524298:IVG524325 JFB524298:JFC524325 JOX524298:JOY524325 JYT524298:JYU524325 KIP524298:KIQ524325 KSL524298:KSM524325 LCH524298:LCI524325 LMD524298:LME524325 LVZ524298:LWA524325 MFV524298:MFW524325 MPR524298:MPS524325 MZN524298:MZO524325 NJJ524298:NJK524325 NTF524298:NTG524325 ODB524298:ODC524325 OMX524298:OMY524325 OWT524298:OWU524325 PGP524298:PGQ524325 PQL524298:PQM524325 QAH524298:QAI524325 QKD524298:QKE524325 QTZ524298:QUA524325 RDV524298:RDW524325 RNR524298:RNS524325 RXN524298:RXO524325 SHJ524298:SHK524325 SRF524298:SRG524325 TBB524298:TBC524325 TKX524298:TKY524325 TUT524298:TUU524325 UEP524298:UEQ524325 UOL524298:UOM524325 UYH524298:UYI524325 VID524298:VIE524325 VRZ524298:VSA524325 WBV524298:WBW524325 WLR524298:WLS524325 WVN524298:WVO524325 F589834:G589861 JB589834:JC589861 SX589834:SY589861 ACT589834:ACU589861 AMP589834:AMQ589861 AWL589834:AWM589861 BGH589834:BGI589861 BQD589834:BQE589861 BZZ589834:CAA589861 CJV589834:CJW589861 CTR589834:CTS589861 DDN589834:DDO589861 DNJ589834:DNK589861 DXF589834:DXG589861 EHB589834:EHC589861 EQX589834:EQY589861 FAT589834:FAU589861 FKP589834:FKQ589861 FUL589834:FUM589861 GEH589834:GEI589861 GOD589834:GOE589861 GXZ589834:GYA589861 HHV589834:HHW589861 HRR589834:HRS589861 IBN589834:IBO589861 ILJ589834:ILK589861 IVF589834:IVG589861 JFB589834:JFC589861 JOX589834:JOY589861 JYT589834:JYU589861 KIP589834:KIQ589861 KSL589834:KSM589861 LCH589834:LCI589861 LMD589834:LME589861 LVZ589834:LWA589861 MFV589834:MFW589861 MPR589834:MPS589861 MZN589834:MZO589861 NJJ589834:NJK589861 NTF589834:NTG589861 ODB589834:ODC589861 OMX589834:OMY589861 OWT589834:OWU589861 PGP589834:PGQ589861 PQL589834:PQM589861 QAH589834:QAI589861 QKD589834:QKE589861 QTZ589834:QUA589861 RDV589834:RDW589861 RNR589834:RNS589861 RXN589834:RXO589861 SHJ589834:SHK589861 SRF589834:SRG589861 TBB589834:TBC589861 TKX589834:TKY589861 TUT589834:TUU589861 UEP589834:UEQ589861 UOL589834:UOM589861 UYH589834:UYI589861 VID589834:VIE589861 VRZ589834:VSA589861 WBV589834:WBW589861 WLR589834:WLS589861 WVN589834:WVO589861 F655370:G655397 JB655370:JC655397 SX655370:SY655397 ACT655370:ACU655397 AMP655370:AMQ655397 AWL655370:AWM655397 BGH655370:BGI655397 BQD655370:BQE655397 BZZ655370:CAA655397 CJV655370:CJW655397 CTR655370:CTS655397 DDN655370:DDO655397 DNJ655370:DNK655397 DXF655370:DXG655397 EHB655370:EHC655397 EQX655370:EQY655397 FAT655370:FAU655397 FKP655370:FKQ655397 FUL655370:FUM655397 GEH655370:GEI655397 GOD655370:GOE655397 GXZ655370:GYA655397 HHV655370:HHW655397 HRR655370:HRS655397 IBN655370:IBO655397 ILJ655370:ILK655397 IVF655370:IVG655397 JFB655370:JFC655397 JOX655370:JOY655397 JYT655370:JYU655397 KIP655370:KIQ655397 KSL655370:KSM655397 LCH655370:LCI655397 LMD655370:LME655397 LVZ655370:LWA655397 MFV655370:MFW655397 MPR655370:MPS655397 MZN655370:MZO655397 NJJ655370:NJK655397 NTF655370:NTG655397 ODB655370:ODC655397 OMX655370:OMY655397 OWT655370:OWU655397 PGP655370:PGQ655397 PQL655370:PQM655397 QAH655370:QAI655397 QKD655370:QKE655397 QTZ655370:QUA655397 RDV655370:RDW655397 RNR655370:RNS655397 RXN655370:RXO655397 SHJ655370:SHK655397 SRF655370:SRG655397 TBB655370:TBC655397 TKX655370:TKY655397 TUT655370:TUU655397 UEP655370:UEQ655397 UOL655370:UOM655397 UYH655370:UYI655397 VID655370:VIE655397 VRZ655370:VSA655397 WBV655370:WBW655397 WLR655370:WLS655397 WVN655370:WVO655397 F720906:G720933 JB720906:JC720933 SX720906:SY720933 ACT720906:ACU720933 AMP720906:AMQ720933 AWL720906:AWM720933 BGH720906:BGI720933 BQD720906:BQE720933 BZZ720906:CAA720933 CJV720906:CJW720933 CTR720906:CTS720933 DDN720906:DDO720933 DNJ720906:DNK720933 DXF720906:DXG720933 EHB720906:EHC720933 EQX720906:EQY720933 FAT720906:FAU720933 FKP720906:FKQ720933 FUL720906:FUM720933 GEH720906:GEI720933 GOD720906:GOE720933 GXZ720906:GYA720933 HHV720906:HHW720933 HRR720906:HRS720933 IBN720906:IBO720933 ILJ720906:ILK720933 IVF720906:IVG720933 JFB720906:JFC720933 JOX720906:JOY720933 JYT720906:JYU720933 KIP720906:KIQ720933 KSL720906:KSM720933 LCH720906:LCI720933 LMD720906:LME720933 LVZ720906:LWA720933 MFV720906:MFW720933 MPR720906:MPS720933 MZN720906:MZO720933 NJJ720906:NJK720933 NTF720906:NTG720933 ODB720906:ODC720933 OMX720906:OMY720933 OWT720906:OWU720933 PGP720906:PGQ720933 PQL720906:PQM720933 QAH720906:QAI720933 QKD720906:QKE720933 QTZ720906:QUA720933 RDV720906:RDW720933 RNR720906:RNS720933 RXN720906:RXO720933 SHJ720906:SHK720933 SRF720906:SRG720933 TBB720906:TBC720933 TKX720906:TKY720933 TUT720906:TUU720933 UEP720906:UEQ720933 UOL720906:UOM720933 UYH720906:UYI720933 VID720906:VIE720933 VRZ720906:VSA720933 WBV720906:WBW720933 WLR720906:WLS720933 WVN720906:WVO720933 F786442:G786469 JB786442:JC786469 SX786442:SY786469 ACT786442:ACU786469 AMP786442:AMQ786469 AWL786442:AWM786469 BGH786442:BGI786469 BQD786442:BQE786469 BZZ786442:CAA786469 CJV786442:CJW786469 CTR786442:CTS786469 DDN786442:DDO786469 DNJ786442:DNK786469 DXF786442:DXG786469 EHB786442:EHC786469 EQX786442:EQY786469 FAT786442:FAU786469 FKP786442:FKQ786469 FUL786442:FUM786469 GEH786442:GEI786469 GOD786442:GOE786469 GXZ786442:GYA786469 HHV786442:HHW786469 HRR786442:HRS786469 IBN786442:IBO786469 ILJ786442:ILK786469 IVF786442:IVG786469 JFB786442:JFC786469 JOX786442:JOY786469 JYT786442:JYU786469 KIP786442:KIQ786469 KSL786442:KSM786469 LCH786442:LCI786469 LMD786442:LME786469 LVZ786442:LWA786469 MFV786442:MFW786469 MPR786442:MPS786469 MZN786442:MZO786469 NJJ786442:NJK786469 NTF786442:NTG786469 ODB786442:ODC786469 OMX786442:OMY786469 OWT786442:OWU786469 PGP786442:PGQ786469 PQL786442:PQM786469 QAH786442:QAI786469 QKD786442:QKE786469 QTZ786442:QUA786469 RDV786442:RDW786469 RNR786442:RNS786469 RXN786442:RXO786469 SHJ786442:SHK786469 SRF786442:SRG786469 TBB786442:TBC786469 TKX786442:TKY786469 TUT786442:TUU786469 UEP786442:UEQ786469 UOL786442:UOM786469 UYH786442:UYI786469 VID786442:VIE786469 VRZ786442:VSA786469 WBV786442:WBW786469 WLR786442:WLS786469 WVN786442:WVO786469 F851978:G852005 JB851978:JC852005 SX851978:SY852005 ACT851978:ACU852005 AMP851978:AMQ852005 AWL851978:AWM852005 BGH851978:BGI852005 BQD851978:BQE852005 BZZ851978:CAA852005 CJV851978:CJW852005 CTR851978:CTS852005 DDN851978:DDO852005 DNJ851978:DNK852005 DXF851978:DXG852005 EHB851978:EHC852005 EQX851978:EQY852005 FAT851978:FAU852005 FKP851978:FKQ852005 FUL851978:FUM852005 GEH851978:GEI852005 GOD851978:GOE852005 GXZ851978:GYA852005 HHV851978:HHW852005 HRR851978:HRS852005 IBN851978:IBO852005 ILJ851978:ILK852005 IVF851978:IVG852005 JFB851978:JFC852005 JOX851978:JOY852005 JYT851978:JYU852005 KIP851978:KIQ852005 KSL851978:KSM852005 LCH851978:LCI852005 LMD851978:LME852005 LVZ851978:LWA852005 MFV851978:MFW852005 MPR851978:MPS852005 MZN851978:MZO852005 NJJ851978:NJK852005 NTF851978:NTG852005 ODB851978:ODC852005 OMX851978:OMY852005 OWT851978:OWU852005 PGP851978:PGQ852005 PQL851978:PQM852005 QAH851978:QAI852005 QKD851978:QKE852005 QTZ851978:QUA852005 RDV851978:RDW852005 RNR851978:RNS852005 RXN851978:RXO852005 SHJ851978:SHK852005 SRF851978:SRG852005 TBB851978:TBC852005 TKX851978:TKY852005 TUT851978:TUU852005 UEP851978:UEQ852005 UOL851978:UOM852005 UYH851978:UYI852005 VID851978:VIE852005 VRZ851978:VSA852005 WBV851978:WBW852005 WLR851978:WLS852005 WVN851978:WVO852005 F917514:G917541 JB917514:JC917541 SX917514:SY917541 ACT917514:ACU917541 AMP917514:AMQ917541 AWL917514:AWM917541 BGH917514:BGI917541 BQD917514:BQE917541 BZZ917514:CAA917541 CJV917514:CJW917541 CTR917514:CTS917541 DDN917514:DDO917541 DNJ917514:DNK917541 DXF917514:DXG917541 EHB917514:EHC917541 EQX917514:EQY917541 FAT917514:FAU917541 FKP917514:FKQ917541 FUL917514:FUM917541 GEH917514:GEI917541 GOD917514:GOE917541 GXZ917514:GYA917541 HHV917514:HHW917541 HRR917514:HRS917541 IBN917514:IBO917541 ILJ917514:ILK917541 IVF917514:IVG917541 JFB917514:JFC917541 JOX917514:JOY917541 JYT917514:JYU917541 KIP917514:KIQ917541 KSL917514:KSM917541 LCH917514:LCI917541 LMD917514:LME917541 LVZ917514:LWA917541 MFV917514:MFW917541 MPR917514:MPS917541 MZN917514:MZO917541 NJJ917514:NJK917541 NTF917514:NTG917541 ODB917514:ODC917541 OMX917514:OMY917541 OWT917514:OWU917541 PGP917514:PGQ917541 PQL917514:PQM917541 QAH917514:QAI917541 QKD917514:QKE917541 QTZ917514:QUA917541 RDV917514:RDW917541 RNR917514:RNS917541 RXN917514:RXO917541 SHJ917514:SHK917541 SRF917514:SRG917541 TBB917514:TBC917541 TKX917514:TKY917541 TUT917514:TUU917541 UEP917514:UEQ917541 UOL917514:UOM917541 UYH917514:UYI917541 VID917514:VIE917541 VRZ917514:VSA917541 WBV917514:WBW917541 WLR917514:WLS917541 WVN917514:WVO917541 F983050:G983077 JB983050:JC983077 SX983050:SY983077 ACT983050:ACU983077 AMP983050:AMQ983077 AWL983050:AWM983077 BGH983050:BGI983077 BQD983050:BQE983077 BZZ983050:CAA983077 CJV983050:CJW983077 CTR983050:CTS983077 DDN983050:DDO983077 DNJ983050:DNK983077 DXF983050:DXG983077 EHB983050:EHC983077 EQX983050:EQY983077 FAT983050:FAU983077 FKP983050:FKQ983077 FUL983050:FUM983077 GEH983050:GEI983077 GOD983050:GOE983077 GXZ983050:GYA983077 HHV983050:HHW983077 HRR983050:HRS983077 IBN983050:IBO983077 ILJ983050:ILK983077 IVF983050:IVG983077 JFB983050:JFC983077 JOX983050:JOY983077 JYT983050:JYU983077 KIP983050:KIQ983077 KSL983050:KSM983077 LCH983050:LCI983077 LMD983050:LME983077 LVZ983050:LWA983077 MFV983050:MFW983077 MPR983050:MPS983077 MZN983050:MZO983077 NJJ983050:NJK983077 NTF983050:NTG983077 ODB983050:ODC983077 OMX983050:OMY983077 OWT983050:OWU983077 PGP983050:PGQ983077 PQL983050:PQM983077 QAH983050:QAI983077 QKD983050:QKE983077 QTZ983050:QUA983077 RDV983050:RDW983077 RNR983050:RNS983077 RXN983050:RXO983077 SHJ983050:SHK983077 SRF983050:SRG983077 TBB983050:TBC983077 TKX983050:TKY983077 TUT983050:TUU983077 UEP983050:UEQ983077 UOL983050:UOM983077 UYH983050:UYI983077 VID983050:VIE983077 VRZ983050:VSA983077 WBV983050:WBW983077 WLR983050:WLS983077 WVN983050:WVO983077 WVM983051:WVM983077 JA11:JA37 SW11:SW37 ACS11:ACS37 AMO11:AMO37 AWK11:AWK37 BGG11:BGG37 BQC11:BQC37 BZY11:BZY37 CJU11:CJU37 CTQ11:CTQ37 DDM11:DDM37 DNI11:DNI37 DXE11:DXE37 EHA11:EHA37 EQW11:EQW37 FAS11:FAS37 FKO11:FKO37 FUK11:FUK37 GEG11:GEG37 GOC11:GOC37 GXY11:GXY37 HHU11:HHU37 HRQ11:HRQ37 IBM11:IBM37 ILI11:ILI37 IVE11:IVE37 JFA11:JFA37 JOW11:JOW37 JYS11:JYS37 KIO11:KIO37 KSK11:KSK37 LCG11:LCG37 LMC11:LMC37 LVY11:LVY37 MFU11:MFU37 MPQ11:MPQ37 MZM11:MZM37 NJI11:NJI37 NTE11:NTE37 ODA11:ODA37 OMW11:OMW37 OWS11:OWS37 PGO11:PGO37 PQK11:PQK37 QAG11:QAG37 QKC11:QKC37 QTY11:QTY37 RDU11:RDU37 RNQ11:RNQ37 RXM11:RXM37 SHI11:SHI37 SRE11:SRE37 TBA11:TBA37 TKW11:TKW37 TUS11:TUS37 UEO11:UEO37 UOK11:UOK37 UYG11:UYG37 VIC11:VIC37 VRY11:VRY37 WBU11:WBU37 WLQ11:WLQ37 WVM11:WVM37 E65547:E65573 JA65547:JA65573 SW65547:SW65573 ACS65547:ACS65573 AMO65547:AMO65573 AWK65547:AWK65573 BGG65547:BGG65573 BQC65547:BQC65573 BZY65547:BZY65573 CJU65547:CJU65573 CTQ65547:CTQ65573 DDM65547:DDM65573 DNI65547:DNI65573 DXE65547:DXE65573 EHA65547:EHA65573 EQW65547:EQW65573 FAS65547:FAS65573 FKO65547:FKO65573 FUK65547:FUK65573 GEG65547:GEG65573 GOC65547:GOC65573 GXY65547:GXY65573 HHU65547:HHU65573 HRQ65547:HRQ65573 IBM65547:IBM65573 ILI65547:ILI65573 IVE65547:IVE65573 JFA65547:JFA65573 JOW65547:JOW65573 JYS65547:JYS65573 KIO65547:KIO65573 KSK65547:KSK65573 LCG65547:LCG65573 LMC65547:LMC65573 LVY65547:LVY65573 MFU65547:MFU65573 MPQ65547:MPQ65573 MZM65547:MZM65573 NJI65547:NJI65573 NTE65547:NTE65573 ODA65547:ODA65573 OMW65547:OMW65573 OWS65547:OWS65573 PGO65547:PGO65573 PQK65547:PQK65573 QAG65547:QAG65573 QKC65547:QKC65573 QTY65547:QTY65573 RDU65547:RDU65573 RNQ65547:RNQ65573 RXM65547:RXM65573 SHI65547:SHI65573 SRE65547:SRE65573 TBA65547:TBA65573 TKW65547:TKW65573 TUS65547:TUS65573 UEO65547:UEO65573 UOK65547:UOK65573 UYG65547:UYG65573 VIC65547:VIC65573 VRY65547:VRY65573 WBU65547:WBU65573 WLQ65547:WLQ65573 WVM65547:WVM65573 E131083:E131109 JA131083:JA131109 SW131083:SW131109 ACS131083:ACS131109 AMO131083:AMO131109 AWK131083:AWK131109 BGG131083:BGG131109 BQC131083:BQC131109 BZY131083:BZY131109 CJU131083:CJU131109 CTQ131083:CTQ131109 DDM131083:DDM131109 DNI131083:DNI131109 DXE131083:DXE131109 EHA131083:EHA131109 EQW131083:EQW131109 FAS131083:FAS131109 FKO131083:FKO131109 FUK131083:FUK131109 GEG131083:GEG131109 GOC131083:GOC131109 GXY131083:GXY131109 HHU131083:HHU131109 HRQ131083:HRQ131109 IBM131083:IBM131109 ILI131083:ILI131109 IVE131083:IVE131109 JFA131083:JFA131109 JOW131083:JOW131109 JYS131083:JYS131109 KIO131083:KIO131109 KSK131083:KSK131109 LCG131083:LCG131109 LMC131083:LMC131109 LVY131083:LVY131109 MFU131083:MFU131109 MPQ131083:MPQ131109 MZM131083:MZM131109 NJI131083:NJI131109 NTE131083:NTE131109 ODA131083:ODA131109 OMW131083:OMW131109 OWS131083:OWS131109 PGO131083:PGO131109 PQK131083:PQK131109 QAG131083:QAG131109 QKC131083:QKC131109 QTY131083:QTY131109 RDU131083:RDU131109 RNQ131083:RNQ131109 RXM131083:RXM131109 SHI131083:SHI131109 SRE131083:SRE131109 TBA131083:TBA131109 TKW131083:TKW131109 TUS131083:TUS131109 UEO131083:UEO131109 UOK131083:UOK131109 UYG131083:UYG131109 VIC131083:VIC131109 VRY131083:VRY131109 WBU131083:WBU131109 WLQ131083:WLQ131109 WVM131083:WVM131109 E196619:E196645 JA196619:JA196645 SW196619:SW196645 ACS196619:ACS196645 AMO196619:AMO196645 AWK196619:AWK196645 BGG196619:BGG196645 BQC196619:BQC196645 BZY196619:BZY196645 CJU196619:CJU196645 CTQ196619:CTQ196645 DDM196619:DDM196645 DNI196619:DNI196645 DXE196619:DXE196645 EHA196619:EHA196645 EQW196619:EQW196645 FAS196619:FAS196645 FKO196619:FKO196645 FUK196619:FUK196645 GEG196619:GEG196645 GOC196619:GOC196645 GXY196619:GXY196645 HHU196619:HHU196645 HRQ196619:HRQ196645 IBM196619:IBM196645 ILI196619:ILI196645 IVE196619:IVE196645 JFA196619:JFA196645 JOW196619:JOW196645 JYS196619:JYS196645 KIO196619:KIO196645 KSK196619:KSK196645 LCG196619:LCG196645 LMC196619:LMC196645 LVY196619:LVY196645 MFU196619:MFU196645 MPQ196619:MPQ196645 MZM196619:MZM196645 NJI196619:NJI196645 NTE196619:NTE196645 ODA196619:ODA196645 OMW196619:OMW196645 OWS196619:OWS196645 PGO196619:PGO196645 PQK196619:PQK196645 QAG196619:QAG196645 QKC196619:QKC196645 QTY196619:QTY196645 RDU196619:RDU196645 RNQ196619:RNQ196645 RXM196619:RXM196645 SHI196619:SHI196645 SRE196619:SRE196645 TBA196619:TBA196645 TKW196619:TKW196645 TUS196619:TUS196645 UEO196619:UEO196645 UOK196619:UOK196645 UYG196619:UYG196645 VIC196619:VIC196645 VRY196619:VRY196645 WBU196619:WBU196645 WLQ196619:WLQ196645 WVM196619:WVM196645 E262155:E262181 JA262155:JA262181 SW262155:SW262181 ACS262155:ACS262181 AMO262155:AMO262181 AWK262155:AWK262181 BGG262155:BGG262181 BQC262155:BQC262181 BZY262155:BZY262181 CJU262155:CJU262181 CTQ262155:CTQ262181 DDM262155:DDM262181 DNI262155:DNI262181 DXE262155:DXE262181 EHA262155:EHA262181 EQW262155:EQW262181 FAS262155:FAS262181 FKO262155:FKO262181 FUK262155:FUK262181 GEG262155:GEG262181 GOC262155:GOC262181 GXY262155:GXY262181 HHU262155:HHU262181 HRQ262155:HRQ262181 IBM262155:IBM262181 ILI262155:ILI262181 IVE262155:IVE262181 JFA262155:JFA262181 JOW262155:JOW262181 JYS262155:JYS262181 KIO262155:KIO262181 KSK262155:KSK262181 LCG262155:LCG262181 LMC262155:LMC262181 LVY262155:LVY262181 MFU262155:MFU262181 MPQ262155:MPQ262181 MZM262155:MZM262181 NJI262155:NJI262181 NTE262155:NTE262181 ODA262155:ODA262181 OMW262155:OMW262181 OWS262155:OWS262181 PGO262155:PGO262181 PQK262155:PQK262181 QAG262155:QAG262181 QKC262155:QKC262181 QTY262155:QTY262181 RDU262155:RDU262181 RNQ262155:RNQ262181 RXM262155:RXM262181 SHI262155:SHI262181 SRE262155:SRE262181 TBA262155:TBA262181 TKW262155:TKW262181 TUS262155:TUS262181 UEO262155:UEO262181 UOK262155:UOK262181 UYG262155:UYG262181 VIC262155:VIC262181 VRY262155:VRY262181 WBU262155:WBU262181 WLQ262155:WLQ262181 WVM262155:WVM262181 E327691:E327717 JA327691:JA327717 SW327691:SW327717 ACS327691:ACS327717 AMO327691:AMO327717 AWK327691:AWK327717 BGG327691:BGG327717 BQC327691:BQC327717 BZY327691:BZY327717 CJU327691:CJU327717 CTQ327691:CTQ327717 DDM327691:DDM327717 DNI327691:DNI327717 DXE327691:DXE327717 EHA327691:EHA327717 EQW327691:EQW327717 FAS327691:FAS327717 FKO327691:FKO327717 FUK327691:FUK327717 GEG327691:GEG327717 GOC327691:GOC327717 GXY327691:GXY327717 HHU327691:HHU327717 HRQ327691:HRQ327717 IBM327691:IBM327717 ILI327691:ILI327717 IVE327691:IVE327717 JFA327691:JFA327717 JOW327691:JOW327717 JYS327691:JYS327717 KIO327691:KIO327717 KSK327691:KSK327717 LCG327691:LCG327717 LMC327691:LMC327717 LVY327691:LVY327717 MFU327691:MFU327717 MPQ327691:MPQ327717 MZM327691:MZM327717 NJI327691:NJI327717 NTE327691:NTE327717 ODA327691:ODA327717 OMW327691:OMW327717 OWS327691:OWS327717 PGO327691:PGO327717 PQK327691:PQK327717 QAG327691:QAG327717 QKC327691:QKC327717 QTY327691:QTY327717 RDU327691:RDU327717 RNQ327691:RNQ327717 RXM327691:RXM327717 SHI327691:SHI327717 SRE327691:SRE327717 TBA327691:TBA327717 TKW327691:TKW327717 TUS327691:TUS327717 UEO327691:UEO327717 UOK327691:UOK327717 UYG327691:UYG327717 VIC327691:VIC327717 VRY327691:VRY327717 WBU327691:WBU327717 WLQ327691:WLQ327717 WVM327691:WVM327717 E393227:E393253 JA393227:JA393253 SW393227:SW393253 ACS393227:ACS393253 AMO393227:AMO393253 AWK393227:AWK393253 BGG393227:BGG393253 BQC393227:BQC393253 BZY393227:BZY393253 CJU393227:CJU393253 CTQ393227:CTQ393253 DDM393227:DDM393253 DNI393227:DNI393253 DXE393227:DXE393253 EHA393227:EHA393253 EQW393227:EQW393253 FAS393227:FAS393253 FKO393227:FKO393253 FUK393227:FUK393253 GEG393227:GEG393253 GOC393227:GOC393253 GXY393227:GXY393253 HHU393227:HHU393253 HRQ393227:HRQ393253 IBM393227:IBM393253 ILI393227:ILI393253 IVE393227:IVE393253 JFA393227:JFA393253 JOW393227:JOW393253 JYS393227:JYS393253 KIO393227:KIO393253 KSK393227:KSK393253 LCG393227:LCG393253 LMC393227:LMC393253 LVY393227:LVY393253 MFU393227:MFU393253 MPQ393227:MPQ393253 MZM393227:MZM393253 NJI393227:NJI393253 NTE393227:NTE393253 ODA393227:ODA393253 OMW393227:OMW393253 OWS393227:OWS393253 PGO393227:PGO393253 PQK393227:PQK393253 QAG393227:QAG393253 QKC393227:QKC393253 QTY393227:QTY393253 RDU393227:RDU393253 RNQ393227:RNQ393253 RXM393227:RXM393253 SHI393227:SHI393253 SRE393227:SRE393253 TBA393227:TBA393253 TKW393227:TKW393253 TUS393227:TUS393253 UEO393227:UEO393253 UOK393227:UOK393253 UYG393227:UYG393253 VIC393227:VIC393253 VRY393227:VRY393253 WBU393227:WBU393253 WLQ393227:WLQ393253 WVM393227:WVM393253 E458763:E458789 JA458763:JA458789 SW458763:SW458789 ACS458763:ACS458789 AMO458763:AMO458789 AWK458763:AWK458789 BGG458763:BGG458789 BQC458763:BQC458789 BZY458763:BZY458789 CJU458763:CJU458789 CTQ458763:CTQ458789 DDM458763:DDM458789 DNI458763:DNI458789 DXE458763:DXE458789 EHA458763:EHA458789 EQW458763:EQW458789 FAS458763:FAS458789 FKO458763:FKO458789 FUK458763:FUK458789 GEG458763:GEG458789 GOC458763:GOC458789 GXY458763:GXY458789 HHU458763:HHU458789 HRQ458763:HRQ458789 IBM458763:IBM458789 ILI458763:ILI458789 IVE458763:IVE458789 JFA458763:JFA458789 JOW458763:JOW458789 JYS458763:JYS458789 KIO458763:KIO458789 KSK458763:KSK458789 LCG458763:LCG458789 LMC458763:LMC458789 LVY458763:LVY458789 MFU458763:MFU458789 MPQ458763:MPQ458789 MZM458763:MZM458789 NJI458763:NJI458789 NTE458763:NTE458789 ODA458763:ODA458789 OMW458763:OMW458789 OWS458763:OWS458789 PGO458763:PGO458789 PQK458763:PQK458789 QAG458763:QAG458789 QKC458763:QKC458789 QTY458763:QTY458789 RDU458763:RDU458789 RNQ458763:RNQ458789 RXM458763:RXM458789 SHI458763:SHI458789 SRE458763:SRE458789 TBA458763:TBA458789 TKW458763:TKW458789 TUS458763:TUS458789 UEO458763:UEO458789 UOK458763:UOK458789 UYG458763:UYG458789 VIC458763:VIC458789 VRY458763:VRY458789 WBU458763:WBU458789 WLQ458763:WLQ458789 WVM458763:WVM458789 E524299:E524325 JA524299:JA524325 SW524299:SW524325 ACS524299:ACS524325 AMO524299:AMO524325 AWK524299:AWK524325 BGG524299:BGG524325 BQC524299:BQC524325 BZY524299:BZY524325 CJU524299:CJU524325 CTQ524299:CTQ524325 DDM524299:DDM524325 DNI524299:DNI524325 DXE524299:DXE524325 EHA524299:EHA524325 EQW524299:EQW524325 FAS524299:FAS524325 FKO524299:FKO524325 FUK524299:FUK524325 GEG524299:GEG524325 GOC524299:GOC524325 GXY524299:GXY524325 HHU524299:HHU524325 HRQ524299:HRQ524325 IBM524299:IBM524325 ILI524299:ILI524325 IVE524299:IVE524325 JFA524299:JFA524325 JOW524299:JOW524325 JYS524299:JYS524325 KIO524299:KIO524325 KSK524299:KSK524325 LCG524299:LCG524325 LMC524299:LMC524325 LVY524299:LVY524325 MFU524299:MFU524325 MPQ524299:MPQ524325 MZM524299:MZM524325 NJI524299:NJI524325 NTE524299:NTE524325 ODA524299:ODA524325 OMW524299:OMW524325 OWS524299:OWS524325 PGO524299:PGO524325 PQK524299:PQK524325 QAG524299:QAG524325 QKC524299:QKC524325 QTY524299:QTY524325 RDU524299:RDU524325 RNQ524299:RNQ524325 RXM524299:RXM524325 SHI524299:SHI524325 SRE524299:SRE524325 TBA524299:TBA524325 TKW524299:TKW524325 TUS524299:TUS524325 UEO524299:UEO524325 UOK524299:UOK524325 UYG524299:UYG524325 VIC524299:VIC524325 VRY524299:VRY524325 WBU524299:WBU524325 WLQ524299:WLQ524325 WVM524299:WVM524325 E589835:E589861 JA589835:JA589861 SW589835:SW589861 ACS589835:ACS589861 AMO589835:AMO589861 AWK589835:AWK589861 BGG589835:BGG589861 BQC589835:BQC589861 BZY589835:BZY589861 CJU589835:CJU589861 CTQ589835:CTQ589861 DDM589835:DDM589861 DNI589835:DNI589861 DXE589835:DXE589861 EHA589835:EHA589861 EQW589835:EQW589861 FAS589835:FAS589861 FKO589835:FKO589861 FUK589835:FUK589861 GEG589835:GEG589861 GOC589835:GOC589861 GXY589835:GXY589861 HHU589835:HHU589861 HRQ589835:HRQ589861 IBM589835:IBM589861 ILI589835:ILI589861 IVE589835:IVE589861 JFA589835:JFA589861 JOW589835:JOW589861 JYS589835:JYS589861 KIO589835:KIO589861 KSK589835:KSK589861 LCG589835:LCG589861 LMC589835:LMC589861 LVY589835:LVY589861 MFU589835:MFU589861 MPQ589835:MPQ589861 MZM589835:MZM589861 NJI589835:NJI589861 NTE589835:NTE589861 ODA589835:ODA589861 OMW589835:OMW589861 OWS589835:OWS589861 PGO589835:PGO589861 PQK589835:PQK589861 QAG589835:QAG589861 QKC589835:QKC589861 QTY589835:QTY589861 RDU589835:RDU589861 RNQ589835:RNQ589861 RXM589835:RXM589861 SHI589835:SHI589861 SRE589835:SRE589861 TBA589835:TBA589861 TKW589835:TKW589861 TUS589835:TUS589861 UEO589835:UEO589861 UOK589835:UOK589861 UYG589835:UYG589861 VIC589835:VIC589861 VRY589835:VRY589861 WBU589835:WBU589861 WLQ589835:WLQ589861 WVM589835:WVM589861 E655371:E655397 JA655371:JA655397 SW655371:SW655397 ACS655371:ACS655397 AMO655371:AMO655397 AWK655371:AWK655397 BGG655371:BGG655397 BQC655371:BQC655397 BZY655371:BZY655397 CJU655371:CJU655397 CTQ655371:CTQ655397 DDM655371:DDM655397 DNI655371:DNI655397 DXE655371:DXE655397 EHA655371:EHA655397 EQW655371:EQW655397 FAS655371:FAS655397 FKO655371:FKO655397 FUK655371:FUK655397 GEG655371:GEG655397 GOC655371:GOC655397 GXY655371:GXY655397 HHU655371:HHU655397 HRQ655371:HRQ655397 IBM655371:IBM655397 ILI655371:ILI655397 IVE655371:IVE655397 JFA655371:JFA655397 JOW655371:JOW655397 JYS655371:JYS655397 KIO655371:KIO655397 KSK655371:KSK655397 LCG655371:LCG655397 LMC655371:LMC655397 LVY655371:LVY655397 MFU655371:MFU655397 MPQ655371:MPQ655397 MZM655371:MZM655397 NJI655371:NJI655397 NTE655371:NTE655397 ODA655371:ODA655397 OMW655371:OMW655397 OWS655371:OWS655397 PGO655371:PGO655397 PQK655371:PQK655397 QAG655371:QAG655397 QKC655371:QKC655397 QTY655371:QTY655397 RDU655371:RDU655397 RNQ655371:RNQ655397 RXM655371:RXM655397 SHI655371:SHI655397 SRE655371:SRE655397 TBA655371:TBA655397 TKW655371:TKW655397 TUS655371:TUS655397 UEO655371:UEO655397 UOK655371:UOK655397 UYG655371:UYG655397 VIC655371:VIC655397 VRY655371:VRY655397 WBU655371:WBU655397 WLQ655371:WLQ655397 WVM655371:WVM655397 E720907:E720933 JA720907:JA720933 SW720907:SW720933 ACS720907:ACS720933 AMO720907:AMO720933 AWK720907:AWK720933 BGG720907:BGG720933 BQC720907:BQC720933 BZY720907:BZY720933 CJU720907:CJU720933 CTQ720907:CTQ720933 DDM720907:DDM720933 DNI720907:DNI720933 DXE720907:DXE720933 EHA720907:EHA720933 EQW720907:EQW720933 FAS720907:FAS720933 FKO720907:FKO720933 FUK720907:FUK720933 GEG720907:GEG720933 GOC720907:GOC720933 GXY720907:GXY720933 HHU720907:HHU720933 HRQ720907:HRQ720933 IBM720907:IBM720933 ILI720907:ILI720933 IVE720907:IVE720933 JFA720907:JFA720933 JOW720907:JOW720933 JYS720907:JYS720933 KIO720907:KIO720933 KSK720907:KSK720933 LCG720907:LCG720933 LMC720907:LMC720933 LVY720907:LVY720933 MFU720907:MFU720933 MPQ720907:MPQ720933 MZM720907:MZM720933 NJI720907:NJI720933 NTE720907:NTE720933 ODA720907:ODA720933 OMW720907:OMW720933 OWS720907:OWS720933 PGO720907:PGO720933 PQK720907:PQK720933 QAG720907:QAG720933 QKC720907:QKC720933 QTY720907:QTY720933 RDU720907:RDU720933 RNQ720907:RNQ720933 RXM720907:RXM720933 SHI720907:SHI720933 SRE720907:SRE720933 TBA720907:TBA720933 TKW720907:TKW720933 TUS720907:TUS720933 UEO720907:UEO720933 UOK720907:UOK720933 UYG720907:UYG720933 VIC720907:VIC720933 VRY720907:VRY720933 WBU720907:WBU720933 WLQ720907:WLQ720933 WVM720907:WVM720933 E786443:E786469 JA786443:JA786469 SW786443:SW786469 ACS786443:ACS786469 AMO786443:AMO786469 AWK786443:AWK786469 BGG786443:BGG786469 BQC786443:BQC786469 BZY786443:BZY786469 CJU786443:CJU786469 CTQ786443:CTQ786469 DDM786443:DDM786469 DNI786443:DNI786469 DXE786443:DXE786469 EHA786443:EHA786469 EQW786443:EQW786469 FAS786443:FAS786469 FKO786443:FKO786469 FUK786443:FUK786469 GEG786443:GEG786469 GOC786443:GOC786469 GXY786443:GXY786469 HHU786443:HHU786469 HRQ786443:HRQ786469 IBM786443:IBM786469 ILI786443:ILI786469 IVE786443:IVE786469 JFA786443:JFA786469 JOW786443:JOW786469 JYS786443:JYS786469 KIO786443:KIO786469 KSK786443:KSK786469 LCG786443:LCG786469 LMC786443:LMC786469 LVY786443:LVY786469 MFU786443:MFU786469 MPQ786443:MPQ786469 MZM786443:MZM786469 NJI786443:NJI786469 NTE786443:NTE786469 ODA786443:ODA786469 OMW786443:OMW786469 OWS786443:OWS786469 PGO786443:PGO786469 PQK786443:PQK786469 QAG786443:QAG786469 QKC786443:QKC786469 QTY786443:QTY786469 RDU786443:RDU786469 RNQ786443:RNQ786469 RXM786443:RXM786469 SHI786443:SHI786469 SRE786443:SRE786469 TBA786443:TBA786469 TKW786443:TKW786469 TUS786443:TUS786469 UEO786443:UEO786469 UOK786443:UOK786469 UYG786443:UYG786469 VIC786443:VIC786469 VRY786443:VRY786469 WBU786443:WBU786469 WLQ786443:WLQ786469 WVM786443:WVM786469 E851979:E852005 JA851979:JA852005 SW851979:SW852005 ACS851979:ACS852005 AMO851979:AMO852005 AWK851979:AWK852005 BGG851979:BGG852005 BQC851979:BQC852005 BZY851979:BZY852005 CJU851979:CJU852005 CTQ851979:CTQ852005 DDM851979:DDM852005 DNI851979:DNI852005 DXE851979:DXE852005 EHA851979:EHA852005 EQW851979:EQW852005 FAS851979:FAS852005 FKO851979:FKO852005 FUK851979:FUK852005 GEG851979:GEG852005 GOC851979:GOC852005 GXY851979:GXY852005 HHU851979:HHU852005 HRQ851979:HRQ852005 IBM851979:IBM852005 ILI851979:ILI852005 IVE851979:IVE852005 JFA851979:JFA852005 JOW851979:JOW852005 JYS851979:JYS852005 KIO851979:KIO852005 KSK851979:KSK852005 LCG851979:LCG852005 LMC851979:LMC852005 LVY851979:LVY852005 MFU851979:MFU852005 MPQ851979:MPQ852005 MZM851979:MZM852005 NJI851979:NJI852005 NTE851979:NTE852005 ODA851979:ODA852005 OMW851979:OMW852005 OWS851979:OWS852005 PGO851979:PGO852005 PQK851979:PQK852005 QAG851979:QAG852005 QKC851979:QKC852005 QTY851979:QTY852005 RDU851979:RDU852005 RNQ851979:RNQ852005 RXM851979:RXM852005 SHI851979:SHI852005 SRE851979:SRE852005 TBA851979:TBA852005 TKW851979:TKW852005 TUS851979:TUS852005 UEO851979:UEO852005 UOK851979:UOK852005 UYG851979:UYG852005 VIC851979:VIC852005 VRY851979:VRY852005 WBU851979:WBU852005 WLQ851979:WLQ852005 WVM851979:WVM852005 E917515:E917541 JA917515:JA917541 SW917515:SW917541 ACS917515:ACS917541 AMO917515:AMO917541 AWK917515:AWK917541 BGG917515:BGG917541 BQC917515:BQC917541 BZY917515:BZY917541 CJU917515:CJU917541 CTQ917515:CTQ917541 DDM917515:DDM917541 DNI917515:DNI917541 DXE917515:DXE917541 EHA917515:EHA917541 EQW917515:EQW917541 FAS917515:FAS917541 FKO917515:FKO917541 FUK917515:FUK917541 GEG917515:GEG917541 GOC917515:GOC917541 GXY917515:GXY917541 HHU917515:HHU917541 HRQ917515:HRQ917541 IBM917515:IBM917541 ILI917515:ILI917541 IVE917515:IVE917541 JFA917515:JFA917541 JOW917515:JOW917541 JYS917515:JYS917541 KIO917515:KIO917541 KSK917515:KSK917541 LCG917515:LCG917541 LMC917515:LMC917541 LVY917515:LVY917541 MFU917515:MFU917541 MPQ917515:MPQ917541 MZM917515:MZM917541 NJI917515:NJI917541 NTE917515:NTE917541 ODA917515:ODA917541 OMW917515:OMW917541 OWS917515:OWS917541 PGO917515:PGO917541 PQK917515:PQK917541 QAG917515:QAG917541 QKC917515:QKC917541 QTY917515:QTY917541 RDU917515:RDU917541 RNQ917515:RNQ917541 RXM917515:RXM917541 SHI917515:SHI917541 SRE917515:SRE917541 TBA917515:TBA917541 TKW917515:TKW917541 TUS917515:TUS917541 UEO917515:UEO917541 UOK917515:UOK917541 UYG917515:UYG917541 VIC917515:VIC917541 VRY917515:VRY917541 WBU917515:WBU917541 WLQ917515:WLQ917541 WVM917515:WVM917541 E983051:E983077 JA983051:JA983077 SW983051:SW983077 ACS983051:ACS983077 AMO983051:AMO983077 AWK983051:AWK983077 BGG983051:BGG983077 BQC983051:BQC983077 BZY983051:BZY983077 CJU983051:CJU983077 CTQ983051:CTQ983077 DDM983051:DDM983077 DNI983051:DNI983077 DXE983051:DXE983077 EHA983051:EHA983077 EQW983051:EQW983077 FAS983051:FAS983077 FKO983051:FKO983077 FUK983051:FUK983077 GEG983051:GEG983077 GOC983051:GOC983077 GXY983051:GXY983077 HHU983051:HHU983077 HRQ983051:HRQ983077 IBM983051:IBM983077 ILI983051:ILI983077 IVE983051:IVE983077 JFA983051:JFA983077 JOW983051:JOW983077 JYS983051:JYS983077 KIO983051:KIO983077 KSK983051:KSK983077 LCG983051:LCG983077 LMC983051:LMC983077 LVY983051:LVY983077 MFU983051:MFU983077 MPQ983051:MPQ983077 MZM983051:MZM983077 NJI983051:NJI983077 NTE983051:NTE983077 ODA983051:ODA983077 OMW983051:OMW983077 OWS983051:OWS983077 PGO983051:PGO983077 PQK983051:PQK983077 QAG983051:QAG983077 QKC983051:QKC983077 QTY983051:QTY983077 RDU983051:RDU983077 RNQ983051:RNQ983077 RXM983051:RXM983077 SHI983051:SHI983077 SRE983051:SRE983077 TBA983051:TBA983077 TKW983051:TKW983077 TUS983051:TUS983077 UEO983051:UEO983077 UOK983051:UOK983077 UYG983051:UYG983077 VIC983051:VIC983077 VRY983051:VRY983077 WBU983051:WBU983077 WLQ983051:WLQ983077 D12:E37">
      <formula1>0</formula1>
      <formula2>36</formula2>
    </dataValidation>
    <dataValidation type="whole" allowBlank="1" showInputMessage="1" showErrorMessage="1" error="dies ist kein gültiger Eingabewert!" prompt="!! Hier nur eingeben,  wenn_x000a_Sondergenehmigung erteilt !!" sqref="M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formula1>-1</formula1>
      <formula2>4</formula2>
    </dataValidation>
    <dataValidation type="whole" allowBlank="1" showInputMessage="1" showErrorMessage="1" prompt="Andere gesetzlich anerkannte Bekenntnisse dürfen nicht teilnehmen und hier keinesfalls gezählt werden!" sqref="E10:E11">
      <formula1>0</formula1>
      <formula2>36</formula2>
    </dataValidation>
    <dataValidation type="whole" allowBlank="1" showInputMessage="1" showErrorMessage="1" prompt="hier Schätzwert eingeben, obwohl die tatsächli. Abmeldung ausschließlich in der ersten Schulwoche erfolgen kann!" sqref="D10:D11">
      <formula1>0</formula1>
      <formula2>36</formula2>
    </dataValidation>
  </dataValidations>
  <printOptions horizontalCentered="1" verticalCentered="1"/>
  <pageMargins left="0.62992125984251968" right="0.39370078740157483" top="0.43307086614173229" bottom="0.43307086614173229" header="0.51181102362204722" footer="0.51181102362204722"/>
  <pageSetup paperSize="9" scale="96" orientation="portrait" r:id="rId1"/>
  <headerFooter>
    <oddFooter>&amp;C&amp;8&amp;F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CDACE6"/>
  </sheetPr>
  <dimension ref="B1:M29"/>
  <sheetViews>
    <sheetView showGridLines="0" zoomScaleNormal="100" workbookViewId="0">
      <selection activeCell="D9" sqref="D9"/>
    </sheetView>
  </sheetViews>
  <sheetFormatPr baseColWidth="10" defaultRowHeight="15" x14ac:dyDescent="0.25"/>
  <cols>
    <col min="1" max="2" width="2.140625" style="665" customWidth="1"/>
    <col min="3" max="3" width="16.5703125" style="665" customWidth="1"/>
    <col min="4" max="4" width="6.42578125" style="665" customWidth="1"/>
    <col min="5" max="5" width="3.85546875" style="665" customWidth="1"/>
    <col min="6" max="6" width="19" style="665" customWidth="1"/>
    <col min="7" max="7" width="5.85546875" style="665" customWidth="1"/>
    <col min="8" max="8" width="3.85546875" style="665" customWidth="1"/>
    <col min="9" max="9" width="18" style="665" customWidth="1"/>
    <col min="10" max="10" width="6.42578125" style="665" customWidth="1"/>
    <col min="11" max="11" width="3" style="665" customWidth="1"/>
    <col min="12" max="16384" width="11.42578125" style="665"/>
  </cols>
  <sheetData>
    <row r="1" spans="2:12" x14ac:dyDescent="0.25">
      <c r="J1" s="670"/>
    </row>
    <row r="2" spans="2:12" s="664" customFormat="1" ht="18.75" customHeight="1" x14ac:dyDescent="0.25">
      <c r="B2" s="660"/>
      <c r="C2" s="661" t="str">
        <f>Konti_MS!C7</f>
        <v>MS  . . .</v>
      </c>
      <c r="D2" s="661"/>
      <c r="E2" s="661"/>
      <c r="F2" s="661"/>
      <c r="G2" s="661"/>
      <c r="H2" s="661"/>
      <c r="I2" s="661"/>
      <c r="J2" s="662" t="str">
        <f>Lehrpersonen!Q2</f>
        <v>Schuljahr 2024/25</v>
      </c>
      <c r="K2" s="663"/>
    </row>
    <row r="3" spans="2:12" ht="30" customHeight="1" x14ac:dyDescent="0.25">
      <c r="B3" s="937" t="s">
        <v>712</v>
      </c>
      <c r="C3" s="938"/>
      <c r="D3" s="938"/>
      <c r="E3" s="938"/>
      <c r="F3" s="938"/>
      <c r="G3" s="938"/>
      <c r="H3" s="938"/>
      <c r="I3" s="938"/>
      <c r="J3" s="938"/>
      <c r="K3" s="938"/>
    </row>
    <row r="4" spans="2:12" x14ac:dyDescent="0.25">
      <c r="B4" s="666"/>
      <c r="K4" s="667"/>
    </row>
    <row r="5" spans="2:12" x14ac:dyDescent="0.25">
      <c r="B5" s="666"/>
      <c r="C5" s="665" t="str">
        <f>"Anzahl der SuS der Stammschule, welche sich für das Schuljahr 20"&amp;RIGHT(Konti_MS!H1,5)</f>
        <v>Anzahl der SuS der Stammschule, welche sich für das Schuljahr 2024/25</v>
      </c>
      <c r="K5" s="667"/>
    </row>
    <row r="6" spans="2:12" x14ac:dyDescent="0.25">
      <c r="B6" s="666"/>
      <c r="C6" s="863" t="s">
        <v>869</v>
      </c>
      <c r="K6" s="667"/>
    </row>
    <row r="7" spans="2:12" x14ac:dyDescent="0.25">
      <c r="B7" s="666"/>
      <c r="C7" s="665" t="s">
        <v>720</v>
      </c>
      <c r="K7" s="667"/>
    </row>
    <row r="8" spans="2:12" x14ac:dyDescent="0.25">
      <c r="B8" s="666"/>
      <c r="C8" s="631"/>
      <c r="D8" s="631"/>
      <c r="E8" s="631"/>
      <c r="F8" s="631"/>
      <c r="G8" s="631"/>
      <c r="H8" s="631"/>
      <c r="I8" s="678"/>
      <c r="K8" s="667"/>
    </row>
    <row r="9" spans="2:12" x14ac:dyDescent="0.25">
      <c r="B9" s="666"/>
      <c r="C9" s="843" t="s">
        <v>698</v>
      </c>
      <c r="D9" s="844"/>
      <c r="E9" s="845"/>
      <c r="F9" s="843" t="s">
        <v>704</v>
      </c>
      <c r="G9" s="844"/>
      <c r="H9" s="846"/>
      <c r="I9" s="679" t="s">
        <v>719</v>
      </c>
      <c r="J9" s="847"/>
      <c r="K9" s="667"/>
    </row>
    <row r="10" spans="2:12" x14ac:dyDescent="0.25">
      <c r="B10" s="666"/>
      <c r="C10" s="848" t="s">
        <v>699</v>
      </c>
      <c r="D10" s="849"/>
      <c r="E10" s="845"/>
      <c r="F10" s="848" t="s">
        <v>705</v>
      </c>
      <c r="G10" s="849"/>
      <c r="H10" s="846"/>
      <c r="I10" s="850"/>
      <c r="J10" s="849"/>
      <c r="K10" s="667"/>
    </row>
    <row r="11" spans="2:12" x14ac:dyDescent="0.25">
      <c r="B11" s="666"/>
      <c r="C11" s="848" t="s">
        <v>700</v>
      </c>
      <c r="D11" s="849"/>
      <c r="E11" s="845"/>
      <c r="F11" s="848" t="s">
        <v>706</v>
      </c>
      <c r="G11" s="849"/>
      <c r="H11" s="846"/>
      <c r="I11" s="850"/>
      <c r="J11" s="849"/>
      <c r="K11" s="667"/>
    </row>
    <row r="12" spans="2:12" x14ac:dyDescent="0.25">
      <c r="B12" s="666"/>
      <c r="C12" s="848" t="s">
        <v>718</v>
      </c>
      <c r="D12" s="849"/>
      <c r="E12" s="845"/>
      <c r="F12" s="848" t="s">
        <v>707</v>
      </c>
      <c r="G12" s="849"/>
      <c r="H12" s="846"/>
      <c r="I12" s="850"/>
      <c r="J12" s="849"/>
      <c r="K12" s="667"/>
    </row>
    <row r="13" spans="2:12" x14ac:dyDescent="0.25">
      <c r="B13" s="666"/>
      <c r="C13" s="848" t="s">
        <v>701</v>
      </c>
      <c r="D13" s="849"/>
      <c r="E13" s="845"/>
      <c r="F13" s="848" t="s">
        <v>708</v>
      </c>
      <c r="G13" s="849"/>
      <c r="H13" s="846"/>
      <c r="I13" s="850"/>
      <c r="J13" s="849"/>
      <c r="K13" s="667"/>
    </row>
    <row r="14" spans="2:12" x14ac:dyDescent="0.25">
      <c r="B14" s="666"/>
      <c r="C14" s="848" t="s">
        <v>702</v>
      </c>
      <c r="D14" s="849"/>
      <c r="E14" s="845"/>
      <c r="F14" s="848" t="s">
        <v>667</v>
      </c>
      <c r="G14" s="849"/>
      <c r="H14" s="846"/>
      <c r="I14" s="850"/>
      <c r="J14" s="849"/>
      <c r="K14" s="677"/>
      <c r="L14" s="675"/>
    </row>
    <row r="15" spans="2:12" x14ac:dyDescent="0.25">
      <c r="B15" s="666"/>
      <c r="C15" s="848" t="s">
        <v>666</v>
      </c>
      <c r="D15" s="849"/>
      <c r="E15" s="845"/>
      <c r="F15" s="848" t="s">
        <v>709</v>
      </c>
      <c r="G15" s="849"/>
      <c r="H15" s="846"/>
      <c r="I15" s="850"/>
      <c r="J15" s="849"/>
      <c r="K15" s="677"/>
      <c r="L15" s="675"/>
    </row>
    <row r="16" spans="2:12" x14ac:dyDescent="0.25">
      <c r="B16" s="666"/>
      <c r="C16" s="851" t="s">
        <v>703</v>
      </c>
      <c r="D16" s="852"/>
      <c r="E16" s="845"/>
      <c r="F16" s="851" t="s">
        <v>710</v>
      </c>
      <c r="G16" s="852"/>
      <c r="H16" s="846"/>
      <c r="I16" s="853"/>
      <c r="J16" s="852"/>
      <c r="K16" s="667"/>
    </row>
    <row r="17" spans="2:13" x14ac:dyDescent="0.25">
      <c r="B17" s="666"/>
      <c r="D17" s="676"/>
      <c r="E17" s="676"/>
      <c r="F17" s="676"/>
      <c r="G17" s="676"/>
      <c r="K17" s="667"/>
    </row>
    <row r="18" spans="2:13" ht="9" customHeight="1" x14ac:dyDescent="0.25">
      <c r="B18" s="666"/>
      <c r="C18" s="631"/>
      <c r="D18" s="631"/>
      <c r="E18" s="631"/>
      <c r="F18" s="631"/>
      <c r="G18" s="631"/>
      <c r="H18" s="631"/>
      <c r="I18" s="631"/>
      <c r="K18" s="667"/>
      <c r="M18" s="675"/>
    </row>
    <row r="19" spans="2:13" x14ac:dyDescent="0.25">
      <c r="B19" s="666"/>
      <c r="C19" s="665" t="str">
        <f>"Die zum Erstsprachenunterricht angemeldeten Schülerinnnen und Schüler "</f>
        <v xml:space="preserve">Die zum Erstsprachenunterricht angemeldeten Schülerinnnen und Schüler </v>
      </c>
      <c r="K19" s="667"/>
      <c r="M19" s="675"/>
    </row>
    <row r="20" spans="2:13" x14ac:dyDescent="0.25">
      <c r="B20" s="666"/>
      <c r="C20" s="665" t="str">
        <f>"müssen bis zum 30.06.20"&amp;RIGHT(Konti_MS!H1,2)-1&amp;" an Diversitätsmanager Mustafa Can mit Namen, "</f>
        <v xml:space="preserve">müssen bis zum 30.06.2024 an Diversitätsmanager Mustafa Can mit Namen, </v>
      </c>
      <c r="K20" s="667"/>
    </row>
    <row r="21" spans="2:13" x14ac:dyDescent="0.25">
      <c r="B21" s="666"/>
      <c r="C21" s="665" t="s">
        <v>714</v>
      </c>
      <c r="K21" s="667"/>
    </row>
    <row r="22" spans="2:13" x14ac:dyDescent="0.25">
      <c r="B22" s="666"/>
      <c r="C22" s="631"/>
      <c r="D22" s="631"/>
      <c r="E22" s="631"/>
      <c r="F22" s="631"/>
      <c r="G22" s="631"/>
      <c r="H22" s="631"/>
      <c r="I22" s="631"/>
      <c r="K22" s="667"/>
    </row>
    <row r="23" spans="2:13" x14ac:dyDescent="0.25">
      <c r="B23" s="666"/>
      <c r="C23" s="665" t="s">
        <v>715</v>
      </c>
      <c r="K23" s="667"/>
    </row>
    <row r="24" spans="2:13" x14ac:dyDescent="0.25">
      <c r="B24" s="666"/>
      <c r="C24" s="631" t="s">
        <v>697</v>
      </c>
      <c r="D24" s="631"/>
      <c r="E24" s="631"/>
      <c r="F24" s="631"/>
      <c r="G24" s="631"/>
      <c r="H24" s="631"/>
      <c r="I24" s="631"/>
      <c r="K24" s="667"/>
    </row>
    <row r="25" spans="2:13" ht="9" customHeight="1" x14ac:dyDescent="0.25">
      <c r="B25" s="666"/>
      <c r="C25" s="631"/>
      <c r="D25" s="631"/>
      <c r="E25" s="631"/>
      <c r="F25" s="631"/>
      <c r="G25" s="631"/>
      <c r="H25" s="631"/>
      <c r="I25" s="631"/>
      <c r="K25" s="667"/>
    </row>
    <row r="26" spans="2:13" x14ac:dyDescent="0.25">
      <c r="B26" s="666"/>
      <c r="C26" s="668" t="str">
        <f>"Abgabefrist 30.06.20"&amp;RIGHT(Konti_MS!H1,2)-1</f>
        <v>Abgabefrist 30.06.2024</v>
      </c>
      <c r="K26" s="667"/>
    </row>
    <row r="27" spans="2:13" x14ac:dyDescent="0.25">
      <c r="B27" s="666"/>
      <c r="K27" s="667"/>
    </row>
    <row r="28" spans="2:13" ht="21" customHeight="1" x14ac:dyDescent="0.25">
      <c r="B28" s="666"/>
      <c r="C28" s="939" t="s">
        <v>713</v>
      </c>
      <c r="D28" s="939"/>
      <c r="E28" s="939"/>
      <c r="F28" s="939"/>
      <c r="G28" s="939"/>
      <c r="H28" s="939"/>
      <c r="I28" s="939"/>
      <c r="J28" s="939"/>
      <c r="K28" s="667"/>
    </row>
    <row r="29" spans="2:13" x14ac:dyDescent="0.25">
      <c r="B29" s="669"/>
      <c r="C29" s="670"/>
      <c r="D29" s="670"/>
      <c r="E29" s="670"/>
      <c r="F29" s="670"/>
      <c r="G29" s="670"/>
      <c r="H29" s="670"/>
      <c r="I29" s="670"/>
      <c r="J29" s="670"/>
      <c r="K29" s="671"/>
    </row>
  </sheetData>
  <sheetProtection algorithmName="SHA-512" hashValue="kiYCMXYOKI871wiAeB4w1tqJyTDxFiAelIlaR65zA8UC9SDpTy3YLvV99Xe28or970sn5zFzflHERkzuZ6jgVw==" saltValue="AAwYaxZU3JANqq2oVgeCyw==" spinCount="100000" sheet="1" formatRows="0"/>
  <mergeCells count="2">
    <mergeCell ref="B3:K3"/>
    <mergeCell ref="C28:J28"/>
  </mergeCells>
  <conditionalFormatting sqref="D26:I26">
    <cfRule type="cellIs" dxfId="2" priority="1" operator="notEqual">
      <formula>0</formula>
    </cfRule>
  </conditionalFormatting>
  <dataValidations count="1">
    <dataValidation type="whole" allowBlank="1" showInputMessage="1" showErrorMessage="1" sqref="D9:D16 G9:G16 J10:J16">
      <formula1>0</formula1>
      <formula2>100</formula2>
    </dataValidation>
  </dataValidations>
  <hyperlinks>
    <hyperlink ref="C24" r:id="rId1"/>
    <hyperlink ref="C28:J28" r:id="rId2" display="Anmeldeformulare und weiterführende Informationen"/>
  </hyperlinks>
  <pageMargins left="0.7" right="0.7" top="0.78740157499999996" bottom="0.78740157499999996"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indexed="47"/>
    <pageSetUpPr fitToPage="1"/>
  </sheetPr>
  <dimension ref="A1:IK249"/>
  <sheetViews>
    <sheetView showGridLines="0" showZeros="0" zoomScaleNormal="100" workbookViewId="0">
      <pane ySplit="4" topLeftCell="A5" activePane="bottomLeft" state="frozen"/>
      <selection activeCell="J25" sqref="J25"/>
      <selection pane="bottomLeft" activeCell="A5" sqref="A5"/>
    </sheetView>
  </sheetViews>
  <sheetFormatPr baseColWidth="10" defaultColWidth="12.85546875" defaultRowHeight="0" customHeight="1" zeroHeight="1" x14ac:dyDescent="0.25"/>
  <cols>
    <col min="1" max="1" width="27.7109375" style="633" customWidth="1"/>
    <col min="2" max="2" width="22.28515625" style="633" customWidth="1"/>
    <col min="3" max="3" width="22.28515625" style="633" hidden="1" customWidth="1"/>
    <col min="4" max="5" width="10.140625" style="633" customWidth="1"/>
    <col min="6" max="6" width="1.7109375" style="634" customWidth="1"/>
    <col min="7" max="13" width="10.140625" style="633" customWidth="1"/>
    <col min="14" max="14" width="1.140625" style="633" customWidth="1"/>
    <col min="15" max="15" width="10.140625" style="635" customWidth="1"/>
    <col min="16" max="16" width="1.28515625" style="633" customWidth="1"/>
    <col min="17" max="17" width="10.140625" style="633" customWidth="1"/>
    <col min="18" max="237" width="11.7109375" style="633" customWidth="1"/>
    <col min="238" max="252" width="12.85546875" style="633"/>
    <col min="253" max="253" width="27.7109375" style="633" bestFit="1" customWidth="1"/>
    <col min="254" max="254" width="22.28515625" style="633" customWidth="1"/>
    <col min="255" max="257" width="10.140625" style="633" customWidth="1"/>
    <col min="258" max="258" width="1.7109375" style="633" customWidth="1"/>
    <col min="259" max="260" width="10.140625" style="633" customWidth="1"/>
    <col min="261" max="261" width="1.140625" style="633" customWidth="1"/>
    <col min="262" max="265" width="10.140625" style="633" customWidth="1"/>
    <col min="266" max="266" width="1.140625" style="633" customWidth="1"/>
    <col min="267" max="268" width="10.140625" style="633" customWidth="1"/>
    <col min="269" max="269" width="2" style="633" customWidth="1"/>
    <col min="270" max="493" width="11.7109375" style="633" customWidth="1"/>
    <col min="494" max="508" width="12.85546875" style="633"/>
    <col min="509" max="509" width="27.7109375" style="633" bestFit="1" customWidth="1"/>
    <col min="510" max="510" width="22.28515625" style="633" customWidth="1"/>
    <col min="511" max="513" width="10.140625" style="633" customWidth="1"/>
    <col min="514" max="514" width="1.7109375" style="633" customWidth="1"/>
    <col min="515" max="516" width="10.140625" style="633" customWidth="1"/>
    <col min="517" max="517" width="1.140625" style="633" customWidth="1"/>
    <col min="518" max="521" width="10.140625" style="633" customWidth="1"/>
    <col min="522" max="522" width="1.140625" style="633" customWidth="1"/>
    <col min="523" max="524" width="10.140625" style="633" customWidth="1"/>
    <col min="525" max="525" width="2" style="633" customWidth="1"/>
    <col min="526" max="749" width="11.7109375" style="633" customWidth="1"/>
    <col min="750" max="764" width="12.85546875" style="633"/>
    <col min="765" max="765" width="27.7109375" style="633" bestFit="1" customWidth="1"/>
    <col min="766" max="766" width="22.28515625" style="633" customWidth="1"/>
    <col min="767" max="769" width="10.140625" style="633" customWidth="1"/>
    <col min="770" max="770" width="1.7109375" style="633" customWidth="1"/>
    <col min="771" max="772" width="10.140625" style="633" customWidth="1"/>
    <col min="773" max="773" width="1.140625" style="633" customWidth="1"/>
    <col min="774" max="777" width="10.140625" style="633" customWidth="1"/>
    <col min="778" max="778" width="1.140625" style="633" customWidth="1"/>
    <col min="779" max="780" width="10.140625" style="633" customWidth="1"/>
    <col min="781" max="781" width="2" style="633" customWidth="1"/>
    <col min="782" max="1005" width="11.7109375" style="633" customWidth="1"/>
    <col min="1006" max="1020" width="12.85546875" style="633"/>
    <col min="1021" max="1021" width="27.7109375" style="633" bestFit="1" customWidth="1"/>
    <col min="1022" max="1022" width="22.28515625" style="633" customWidth="1"/>
    <col min="1023" max="1025" width="10.140625" style="633" customWidth="1"/>
    <col min="1026" max="1026" width="1.7109375" style="633" customWidth="1"/>
    <col min="1027" max="1028" width="10.140625" style="633" customWidth="1"/>
    <col min="1029" max="1029" width="1.140625" style="633" customWidth="1"/>
    <col min="1030" max="1033" width="10.140625" style="633" customWidth="1"/>
    <col min="1034" max="1034" width="1.140625" style="633" customWidth="1"/>
    <col min="1035" max="1036" width="10.140625" style="633" customWidth="1"/>
    <col min="1037" max="1037" width="2" style="633" customWidth="1"/>
    <col min="1038" max="1261" width="11.7109375" style="633" customWidth="1"/>
    <col min="1262" max="1276" width="12.85546875" style="633"/>
    <col min="1277" max="1277" width="27.7109375" style="633" bestFit="1" customWidth="1"/>
    <col min="1278" max="1278" width="22.28515625" style="633" customWidth="1"/>
    <col min="1279" max="1281" width="10.140625" style="633" customWidth="1"/>
    <col min="1282" max="1282" width="1.7109375" style="633" customWidth="1"/>
    <col min="1283" max="1284" width="10.140625" style="633" customWidth="1"/>
    <col min="1285" max="1285" width="1.140625" style="633" customWidth="1"/>
    <col min="1286" max="1289" width="10.140625" style="633" customWidth="1"/>
    <col min="1290" max="1290" width="1.140625" style="633" customWidth="1"/>
    <col min="1291" max="1292" width="10.140625" style="633" customWidth="1"/>
    <col min="1293" max="1293" width="2" style="633" customWidth="1"/>
    <col min="1294" max="1517" width="11.7109375" style="633" customWidth="1"/>
    <col min="1518" max="1532" width="12.85546875" style="633"/>
    <col min="1533" max="1533" width="27.7109375" style="633" bestFit="1" customWidth="1"/>
    <col min="1534" max="1534" width="22.28515625" style="633" customWidth="1"/>
    <col min="1535" max="1537" width="10.140625" style="633" customWidth="1"/>
    <col min="1538" max="1538" width="1.7109375" style="633" customWidth="1"/>
    <col min="1539" max="1540" width="10.140625" style="633" customWidth="1"/>
    <col min="1541" max="1541" width="1.140625" style="633" customWidth="1"/>
    <col min="1542" max="1545" width="10.140625" style="633" customWidth="1"/>
    <col min="1546" max="1546" width="1.140625" style="633" customWidth="1"/>
    <col min="1547" max="1548" width="10.140625" style="633" customWidth="1"/>
    <col min="1549" max="1549" width="2" style="633" customWidth="1"/>
    <col min="1550" max="1773" width="11.7109375" style="633" customWidth="1"/>
    <col min="1774" max="1788" width="12.85546875" style="633"/>
    <col min="1789" max="1789" width="27.7109375" style="633" bestFit="1" customWidth="1"/>
    <col min="1790" max="1790" width="22.28515625" style="633" customWidth="1"/>
    <col min="1791" max="1793" width="10.140625" style="633" customWidth="1"/>
    <col min="1794" max="1794" width="1.7109375" style="633" customWidth="1"/>
    <col min="1795" max="1796" width="10.140625" style="633" customWidth="1"/>
    <col min="1797" max="1797" width="1.140625" style="633" customWidth="1"/>
    <col min="1798" max="1801" width="10.140625" style="633" customWidth="1"/>
    <col min="1802" max="1802" width="1.140625" style="633" customWidth="1"/>
    <col min="1803" max="1804" width="10.140625" style="633" customWidth="1"/>
    <col min="1805" max="1805" width="2" style="633" customWidth="1"/>
    <col min="1806" max="2029" width="11.7109375" style="633" customWidth="1"/>
    <col min="2030" max="2044" width="12.85546875" style="633"/>
    <col min="2045" max="2045" width="27.7109375" style="633" bestFit="1" customWidth="1"/>
    <col min="2046" max="2046" width="22.28515625" style="633" customWidth="1"/>
    <col min="2047" max="2049" width="10.140625" style="633" customWidth="1"/>
    <col min="2050" max="2050" width="1.7109375" style="633" customWidth="1"/>
    <col min="2051" max="2052" width="10.140625" style="633" customWidth="1"/>
    <col min="2053" max="2053" width="1.140625" style="633" customWidth="1"/>
    <col min="2054" max="2057" width="10.140625" style="633" customWidth="1"/>
    <col min="2058" max="2058" width="1.140625" style="633" customWidth="1"/>
    <col min="2059" max="2060" width="10.140625" style="633" customWidth="1"/>
    <col min="2061" max="2061" width="2" style="633" customWidth="1"/>
    <col min="2062" max="2285" width="11.7109375" style="633" customWidth="1"/>
    <col min="2286" max="2300" width="12.85546875" style="633"/>
    <col min="2301" max="2301" width="27.7109375" style="633" bestFit="1" customWidth="1"/>
    <col min="2302" max="2302" width="22.28515625" style="633" customWidth="1"/>
    <col min="2303" max="2305" width="10.140625" style="633" customWidth="1"/>
    <col min="2306" max="2306" width="1.7109375" style="633" customWidth="1"/>
    <col min="2307" max="2308" width="10.140625" style="633" customWidth="1"/>
    <col min="2309" max="2309" width="1.140625" style="633" customWidth="1"/>
    <col min="2310" max="2313" width="10.140625" style="633" customWidth="1"/>
    <col min="2314" max="2314" width="1.140625" style="633" customWidth="1"/>
    <col min="2315" max="2316" width="10.140625" style="633" customWidth="1"/>
    <col min="2317" max="2317" width="2" style="633" customWidth="1"/>
    <col min="2318" max="2541" width="11.7109375" style="633" customWidth="1"/>
    <col min="2542" max="2556" width="12.85546875" style="633"/>
    <col min="2557" max="2557" width="27.7109375" style="633" bestFit="1" customWidth="1"/>
    <col min="2558" max="2558" width="22.28515625" style="633" customWidth="1"/>
    <col min="2559" max="2561" width="10.140625" style="633" customWidth="1"/>
    <col min="2562" max="2562" width="1.7109375" style="633" customWidth="1"/>
    <col min="2563" max="2564" width="10.140625" style="633" customWidth="1"/>
    <col min="2565" max="2565" width="1.140625" style="633" customWidth="1"/>
    <col min="2566" max="2569" width="10.140625" style="633" customWidth="1"/>
    <col min="2570" max="2570" width="1.140625" style="633" customWidth="1"/>
    <col min="2571" max="2572" width="10.140625" style="633" customWidth="1"/>
    <col min="2573" max="2573" width="2" style="633" customWidth="1"/>
    <col min="2574" max="2797" width="11.7109375" style="633" customWidth="1"/>
    <col min="2798" max="2812" width="12.85546875" style="633"/>
    <col min="2813" max="2813" width="27.7109375" style="633" bestFit="1" customWidth="1"/>
    <col min="2814" max="2814" width="22.28515625" style="633" customWidth="1"/>
    <col min="2815" max="2817" width="10.140625" style="633" customWidth="1"/>
    <col min="2818" max="2818" width="1.7109375" style="633" customWidth="1"/>
    <col min="2819" max="2820" width="10.140625" style="633" customWidth="1"/>
    <col min="2821" max="2821" width="1.140625" style="633" customWidth="1"/>
    <col min="2822" max="2825" width="10.140625" style="633" customWidth="1"/>
    <col min="2826" max="2826" width="1.140625" style="633" customWidth="1"/>
    <col min="2827" max="2828" width="10.140625" style="633" customWidth="1"/>
    <col min="2829" max="2829" width="2" style="633" customWidth="1"/>
    <col min="2830" max="3053" width="11.7109375" style="633" customWidth="1"/>
    <col min="3054" max="3068" width="12.85546875" style="633"/>
    <col min="3069" max="3069" width="27.7109375" style="633" bestFit="1" customWidth="1"/>
    <col min="3070" max="3070" width="22.28515625" style="633" customWidth="1"/>
    <col min="3071" max="3073" width="10.140625" style="633" customWidth="1"/>
    <col min="3074" max="3074" width="1.7109375" style="633" customWidth="1"/>
    <col min="3075" max="3076" width="10.140625" style="633" customWidth="1"/>
    <col min="3077" max="3077" width="1.140625" style="633" customWidth="1"/>
    <col min="3078" max="3081" width="10.140625" style="633" customWidth="1"/>
    <col min="3082" max="3082" width="1.140625" style="633" customWidth="1"/>
    <col min="3083" max="3084" width="10.140625" style="633" customWidth="1"/>
    <col min="3085" max="3085" width="2" style="633" customWidth="1"/>
    <col min="3086" max="3309" width="11.7109375" style="633" customWidth="1"/>
    <col min="3310" max="3324" width="12.85546875" style="633"/>
    <col min="3325" max="3325" width="27.7109375" style="633" bestFit="1" customWidth="1"/>
    <col min="3326" max="3326" width="22.28515625" style="633" customWidth="1"/>
    <col min="3327" max="3329" width="10.140625" style="633" customWidth="1"/>
    <col min="3330" max="3330" width="1.7109375" style="633" customWidth="1"/>
    <col min="3331" max="3332" width="10.140625" style="633" customWidth="1"/>
    <col min="3333" max="3333" width="1.140625" style="633" customWidth="1"/>
    <col min="3334" max="3337" width="10.140625" style="633" customWidth="1"/>
    <col min="3338" max="3338" width="1.140625" style="633" customWidth="1"/>
    <col min="3339" max="3340" width="10.140625" style="633" customWidth="1"/>
    <col min="3341" max="3341" width="2" style="633" customWidth="1"/>
    <col min="3342" max="3565" width="11.7109375" style="633" customWidth="1"/>
    <col min="3566" max="3580" width="12.85546875" style="633"/>
    <col min="3581" max="3581" width="27.7109375" style="633" bestFit="1" customWidth="1"/>
    <col min="3582" max="3582" width="22.28515625" style="633" customWidth="1"/>
    <col min="3583" max="3585" width="10.140625" style="633" customWidth="1"/>
    <col min="3586" max="3586" width="1.7109375" style="633" customWidth="1"/>
    <col min="3587" max="3588" width="10.140625" style="633" customWidth="1"/>
    <col min="3589" max="3589" width="1.140625" style="633" customWidth="1"/>
    <col min="3590" max="3593" width="10.140625" style="633" customWidth="1"/>
    <col min="3594" max="3594" width="1.140625" style="633" customWidth="1"/>
    <col min="3595" max="3596" width="10.140625" style="633" customWidth="1"/>
    <col min="3597" max="3597" width="2" style="633" customWidth="1"/>
    <col min="3598" max="3821" width="11.7109375" style="633" customWidth="1"/>
    <col min="3822" max="3836" width="12.85546875" style="633"/>
    <col min="3837" max="3837" width="27.7109375" style="633" bestFit="1" customWidth="1"/>
    <col min="3838" max="3838" width="22.28515625" style="633" customWidth="1"/>
    <col min="3839" max="3841" width="10.140625" style="633" customWidth="1"/>
    <col min="3842" max="3842" width="1.7109375" style="633" customWidth="1"/>
    <col min="3843" max="3844" width="10.140625" style="633" customWidth="1"/>
    <col min="3845" max="3845" width="1.140625" style="633" customWidth="1"/>
    <col min="3846" max="3849" width="10.140625" style="633" customWidth="1"/>
    <col min="3850" max="3850" width="1.140625" style="633" customWidth="1"/>
    <col min="3851" max="3852" width="10.140625" style="633" customWidth="1"/>
    <col min="3853" max="3853" width="2" style="633" customWidth="1"/>
    <col min="3854" max="4077" width="11.7109375" style="633" customWidth="1"/>
    <col min="4078" max="4092" width="12.85546875" style="633"/>
    <col min="4093" max="4093" width="27.7109375" style="633" bestFit="1" customWidth="1"/>
    <col min="4094" max="4094" width="22.28515625" style="633" customWidth="1"/>
    <col min="4095" max="4097" width="10.140625" style="633" customWidth="1"/>
    <col min="4098" max="4098" width="1.7109375" style="633" customWidth="1"/>
    <col min="4099" max="4100" width="10.140625" style="633" customWidth="1"/>
    <col min="4101" max="4101" width="1.140625" style="633" customWidth="1"/>
    <col min="4102" max="4105" width="10.140625" style="633" customWidth="1"/>
    <col min="4106" max="4106" width="1.140625" style="633" customWidth="1"/>
    <col min="4107" max="4108" width="10.140625" style="633" customWidth="1"/>
    <col min="4109" max="4109" width="2" style="633" customWidth="1"/>
    <col min="4110" max="4333" width="11.7109375" style="633" customWidth="1"/>
    <col min="4334" max="4348" width="12.85546875" style="633"/>
    <col min="4349" max="4349" width="27.7109375" style="633" bestFit="1" customWidth="1"/>
    <col min="4350" max="4350" width="22.28515625" style="633" customWidth="1"/>
    <col min="4351" max="4353" width="10.140625" style="633" customWidth="1"/>
    <col min="4354" max="4354" width="1.7109375" style="633" customWidth="1"/>
    <col min="4355" max="4356" width="10.140625" style="633" customWidth="1"/>
    <col min="4357" max="4357" width="1.140625" style="633" customWidth="1"/>
    <col min="4358" max="4361" width="10.140625" style="633" customWidth="1"/>
    <col min="4362" max="4362" width="1.140625" style="633" customWidth="1"/>
    <col min="4363" max="4364" width="10.140625" style="633" customWidth="1"/>
    <col min="4365" max="4365" width="2" style="633" customWidth="1"/>
    <col min="4366" max="4589" width="11.7109375" style="633" customWidth="1"/>
    <col min="4590" max="4604" width="12.85546875" style="633"/>
    <col min="4605" max="4605" width="27.7109375" style="633" bestFit="1" customWidth="1"/>
    <col min="4606" max="4606" width="22.28515625" style="633" customWidth="1"/>
    <col min="4607" max="4609" width="10.140625" style="633" customWidth="1"/>
    <col min="4610" max="4610" width="1.7109375" style="633" customWidth="1"/>
    <col min="4611" max="4612" width="10.140625" style="633" customWidth="1"/>
    <col min="4613" max="4613" width="1.140625" style="633" customWidth="1"/>
    <col min="4614" max="4617" width="10.140625" style="633" customWidth="1"/>
    <col min="4618" max="4618" width="1.140625" style="633" customWidth="1"/>
    <col min="4619" max="4620" width="10.140625" style="633" customWidth="1"/>
    <col min="4621" max="4621" width="2" style="633" customWidth="1"/>
    <col min="4622" max="4845" width="11.7109375" style="633" customWidth="1"/>
    <col min="4846" max="4860" width="12.85546875" style="633"/>
    <col min="4861" max="4861" width="27.7109375" style="633" bestFit="1" customWidth="1"/>
    <col min="4862" max="4862" width="22.28515625" style="633" customWidth="1"/>
    <col min="4863" max="4865" width="10.140625" style="633" customWidth="1"/>
    <col min="4866" max="4866" width="1.7109375" style="633" customWidth="1"/>
    <col min="4867" max="4868" width="10.140625" style="633" customWidth="1"/>
    <col min="4869" max="4869" width="1.140625" style="633" customWidth="1"/>
    <col min="4870" max="4873" width="10.140625" style="633" customWidth="1"/>
    <col min="4874" max="4874" width="1.140625" style="633" customWidth="1"/>
    <col min="4875" max="4876" width="10.140625" style="633" customWidth="1"/>
    <col min="4877" max="4877" width="2" style="633" customWidth="1"/>
    <col min="4878" max="5101" width="11.7109375" style="633" customWidth="1"/>
    <col min="5102" max="5116" width="12.85546875" style="633"/>
    <col min="5117" max="5117" width="27.7109375" style="633" bestFit="1" customWidth="1"/>
    <col min="5118" max="5118" width="22.28515625" style="633" customWidth="1"/>
    <col min="5119" max="5121" width="10.140625" style="633" customWidth="1"/>
    <col min="5122" max="5122" width="1.7109375" style="633" customWidth="1"/>
    <col min="5123" max="5124" width="10.140625" style="633" customWidth="1"/>
    <col min="5125" max="5125" width="1.140625" style="633" customWidth="1"/>
    <col min="5126" max="5129" width="10.140625" style="633" customWidth="1"/>
    <col min="5130" max="5130" width="1.140625" style="633" customWidth="1"/>
    <col min="5131" max="5132" width="10.140625" style="633" customWidth="1"/>
    <col min="5133" max="5133" width="2" style="633" customWidth="1"/>
    <col min="5134" max="5357" width="11.7109375" style="633" customWidth="1"/>
    <col min="5358" max="5372" width="12.85546875" style="633"/>
    <col min="5373" max="5373" width="27.7109375" style="633" bestFit="1" customWidth="1"/>
    <col min="5374" max="5374" width="22.28515625" style="633" customWidth="1"/>
    <col min="5375" max="5377" width="10.140625" style="633" customWidth="1"/>
    <col min="5378" max="5378" width="1.7109375" style="633" customWidth="1"/>
    <col min="5379" max="5380" width="10.140625" style="633" customWidth="1"/>
    <col min="5381" max="5381" width="1.140625" style="633" customWidth="1"/>
    <col min="5382" max="5385" width="10.140625" style="633" customWidth="1"/>
    <col min="5386" max="5386" width="1.140625" style="633" customWidth="1"/>
    <col min="5387" max="5388" width="10.140625" style="633" customWidth="1"/>
    <col min="5389" max="5389" width="2" style="633" customWidth="1"/>
    <col min="5390" max="5613" width="11.7109375" style="633" customWidth="1"/>
    <col min="5614" max="5628" width="12.85546875" style="633"/>
    <col min="5629" max="5629" width="27.7109375" style="633" bestFit="1" customWidth="1"/>
    <col min="5630" max="5630" width="22.28515625" style="633" customWidth="1"/>
    <col min="5631" max="5633" width="10.140625" style="633" customWidth="1"/>
    <col min="5634" max="5634" width="1.7109375" style="633" customWidth="1"/>
    <col min="5635" max="5636" width="10.140625" style="633" customWidth="1"/>
    <col min="5637" max="5637" width="1.140625" style="633" customWidth="1"/>
    <col min="5638" max="5641" width="10.140625" style="633" customWidth="1"/>
    <col min="5642" max="5642" width="1.140625" style="633" customWidth="1"/>
    <col min="5643" max="5644" width="10.140625" style="633" customWidth="1"/>
    <col min="5645" max="5645" width="2" style="633" customWidth="1"/>
    <col min="5646" max="5869" width="11.7109375" style="633" customWidth="1"/>
    <col min="5870" max="5884" width="12.85546875" style="633"/>
    <col min="5885" max="5885" width="27.7109375" style="633" bestFit="1" customWidth="1"/>
    <col min="5886" max="5886" width="22.28515625" style="633" customWidth="1"/>
    <col min="5887" max="5889" width="10.140625" style="633" customWidth="1"/>
    <col min="5890" max="5890" width="1.7109375" style="633" customWidth="1"/>
    <col min="5891" max="5892" width="10.140625" style="633" customWidth="1"/>
    <col min="5893" max="5893" width="1.140625" style="633" customWidth="1"/>
    <col min="5894" max="5897" width="10.140625" style="633" customWidth="1"/>
    <col min="5898" max="5898" width="1.140625" style="633" customWidth="1"/>
    <col min="5899" max="5900" width="10.140625" style="633" customWidth="1"/>
    <col min="5901" max="5901" width="2" style="633" customWidth="1"/>
    <col min="5902" max="6125" width="11.7109375" style="633" customWidth="1"/>
    <col min="6126" max="6140" width="12.85546875" style="633"/>
    <col min="6141" max="6141" width="27.7109375" style="633" bestFit="1" customWidth="1"/>
    <col min="6142" max="6142" width="22.28515625" style="633" customWidth="1"/>
    <col min="6143" max="6145" width="10.140625" style="633" customWidth="1"/>
    <col min="6146" max="6146" width="1.7109375" style="633" customWidth="1"/>
    <col min="6147" max="6148" width="10.140625" style="633" customWidth="1"/>
    <col min="6149" max="6149" width="1.140625" style="633" customWidth="1"/>
    <col min="6150" max="6153" width="10.140625" style="633" customWidth="1"/>
    <col min="6154" max="6154" width="1.140625" style="633" customWidth="1"/>
    <col min="6155" max="6156" width="10.140625" style="633" customWidth="1"/>
    <col min="6157" max="6157" width="2" style="633" customWidth="1"/>
    <col min="6158" max="6381" width="11.7109375" style="633" customWidth="1"/>
    <col min="6382" max="6396" width="12.85546875" style="633"/>
    <col min="6397" max="6397" width="27.7109375" style="633" bestFit="1" customWidth="1"/>
    <col min="6398" max="6398" width="22.28515625" style="633" customWidth="1"/>
    <col min="6399" max="6401" width="10.140625" style="633" customWidth="1"/>
    <col min="6402" max="6402" width="1.7109375" style="633" customWidth="1"/>
    <col min="6403" max="6404" width="10.140625" style="633" customWidth="1"/>
    <col min="6405" max="6405" width="1.140625" style="633" customWidth="1"/>
    <col min="6406" max="6409" width="10.140625" style="633" customWidth="1"/>
    <col min="6410" max="6410" width="1.140625" style="633" customWidth="1"/>
    <col min="6411" max="6412" width="10.140625" style="633" customWidth="1"/>
    <col min="6413" max="6413" width="2" style="633" customWidth="1"/>
    <col min="6414" max="6637" width="11.7109375" style="633" customWidth="1"/>
    <col min="6638" max="6652" width="12.85546875" style="633"/>
    <col min="6653" max="6653" width="27.7109375" style="633" bestFit="1" customWidth="1"/>
    <col min="6654" max="6654" width="22.28515625" style="633" customWidth="1"/>
    <col min="6655" max="6657" width="10.140625" style="633" customWidth="1"/>
    <col min="6658" max="6658" width="1.7109375" style="633" customWidth="1"/>
    <col min="6659" max="6660" width="10.140625" style="633" customWidth="1"/>
    <col min="6661" max="6661" width="1.140625" style="633" customWidth="1"/>
    <col min="6662" max="6665" width="10.140625" style="633" customWidth="1"/>
    <col min="6666" max="6666" width="1.140625" style="633" customWidth="1"/>
    <col min="6667" max="6668" width="10.140625" style="633" customWidth="1"/>
    <col min="6669" max="6669" width="2" style="633" customWidth="1"/>
    <col min="6670" max="6893" width="11.7109375" style="633" customWidth="1"/>
    <col min="6894" max="6908" width="12.85546875" style="633"/>
    <col min="6909" max="6909" width="27.7109375" style="633" bestFit="1" customWidth="1"/>
    <col min="6910" max="6910" width="22.28515625" style="633" customWidth="1"/>
    <col min="6911" max="6913" width="10.140625" style="633" customWidth="1"/>
    <col min="6914" max="6914" width="1.7109375" style="633" customWidth="1"/>
    <col min="6915" max="6916" width="10.140625" style="633" customWidth="1"/>
    <col min="6917" max="6917" width="1.140625" style="633" customWidth="1"/>
    <col min="6918" max="6921" width="10.140625" style="633" customWidth="1"/>
    <col min="6922" max="6922" width="1.140625" style="633" customWidth="1"/>
    <col min="6923" max="6924" width="10.140625" style="633" customWidth="1"/>
    <col min="6925" max="6925" width="2" style="633" customWidth="1"/>
    <col min="6926" max="7149" width="11.7109375" style="633" customWidth="1"/>
    <col min="7150" max="7164" width="12.85546875" style="633"/>
    <col min="7165" max="7165" width="27.7109375" style="633" bestFit="1" customWidth="1"/>
    <col min="7166" max="7166" width="22.28515625" style="633" customWidth="1"/>
    <col min="7167" max="7169" width="10.140625" style="633" customWidth="1"/>
    <col min="7170" max="7170" width="1.7109375" style="633" customWidth="1"/>
    <col min="7171" max="7172" width="10.140625" style="633" customWidth="1"/>
    <col min="7173" max="7173" width="1.140625" style="633" customWidth="1"/>
    <col min="7174" max="7177" width="10.140625" style="633" customWidth="1"/>
    <col min="7178" max="7178" width="1.140625" style="633" customWidth="1"/>
    <col min="7179" max="7180" width="10.140625" style="633" customWidth="1"/>
    <col min="7181" max="7181" width="2" style="633" customWidth="1"/>
    <col min="7182" max="7405" width="11.7109375" style="633" customWidth="1"/>
    <col min="7406" max="7420" width="12.85546875" style="633"/>
    <col min="7421" max="7421" width="27.7109375" style="633" bestFit="1" customWidth="1"/>
    <col min="7422" max="7422" width="22.28515625" style="633" customWidth="1"/>
    <col min="7423" max="7425" width="10.140625" style="633" customWidth="1"/>
    <col min="7426" max="7426" width="1.7109375" style="633" customWidth="1"/>
    <col min="7427" max="7428" width="10.140625" style="633" customWidth="1"/>
    <col min="7429" max="7429" width="1.140625" style="633" customWidth="1"/>
    <col min="7430" max="7433" width="10.140625" style="633" customWidth="1"/>
    <col min="7434" max="7434" width="1.140625" style="633" customWidth="1"/>
    <col min="7435" max="7436" width="10.140625" style="633" customWidth="1"/>
    <col min="7437" max="7437" width="2" style="633" customWidth="1"/>
    <col min="7438" max="7661" width="11.7109375" style="633" customWidth="1"/>
    <col min="7662" max="7676" width="12.85546875" style="633"/>
    <col min="7677" max="7677" width="27.7109375" style="633" bestFit="1" customWidth="1"/>
    <col min="7678" max="7678" width="22.28515625" style="633" customWidth="1"/>
    <col min="7679" max="7681" width="10.140625" style="633" customWidth="1"/>
    <col min="7682" max="7682" width="1.7109375" style="633" customWidth="1"/>
    <col min="7683" max="7684" width="10.140625" style="633" customWidth="1"/>
    <col min="7685" max="7685" width="1.140625" style="633" customWidth="1"/>
    <col min="7686" max="7689" width="10.140625" style="633" customWidth="1"/>
    <col min="7690" max="7690" width="1.140625" style="633" customWidth="1"/>
    <col min="7691" max="7692" width="10.140625" style="633" customWidth="1"/>
    <col min="7693" max="7693" width="2" style="633" customWidth="1"/>
    <col min="7694" max="7917" width="11.7109375" style="633" customWidth="1"/>
    <col min="7918" max="7932" width="12.85546875" style="633"/>
    <col min="7933" max="7933" width="27.7109375" style="633" bestFit="1" customWidth="1"/>
    <col min="7934" max="7934" width="22.28515625" style="633" customWidth="1"/>
    <col min="7935" max="7937" width="10.140625" style="633" customWidth="1"/>
    <col min="7938" max="7938" width="1.7109375" style="633" customWidth="1"/>
    <col min="7939" max="7940" width="10.140625" style="633" customWidth="1"/>
    <col min="7941" max="7941" width="1.140625" style="633" customWidth="1"/>
    <col min="7942" max="7945" width="10.140625" style="633" customWidth="1"/>
    <col min="7946" max="7946" width="1.140625" style="633" customWidth="1"/>
    <col min="7947" max="7948" width="10.140625" style="633" customWidth="1"/>
    <col min="7949" max="7949" width="2" style="633" customWidth="1"/>
    <col min="7950" max="8173" width="11.7109375" style="633" customWidth="1"/>
    <col min="8174" max="8188" width="12.85546875" style="633"/>
    <col min="8189" max="8189" width="27.7109375" style="633" bestFit="1" customWidth="1"/>
    <col min="8190" max="8190" width="22.28515625" style="633" customWidth="1"/>
    <col min="8191" max="8193" width="10.140625" style="633" customWidth="1"/>
    <col min="8194" max="8194" width="1.7109375" style="633" customWidth="1"/>
    <col min="8195" max="8196" width="10.140625" style="633" customWidth="1"/>
    <col min="8197" max="8197" width="1.140625" style="633" customWidth="1"/>
    <col min="8198" max="8201" width="10.140625" style="633" customWidth="1"/>
    <col min="8202" max="8202" width="1.140625" style="633" customWidth="1"/>
    <col min="8203" max="8204" width="10.140625" style="633" customWidth="1"/>
    <col min="8205" max="8205" width="2" style="633" customWidth="1"/>
    <col min="8206" max="8429" width="11.7109375" style="633" customWidth="1"/>
    <col min="8430" max="8444" width="12.85546875" style="633"/>
    <col min="8445" max="8445" width="27.7109375" style="633" bestFit="1" customWidth="1"/>
    <col min="8446" max="8446" width="22.28515625" style="633" customWidth="1"/>
    <col min="8447" max="8449" width="10.140625" style="633" customWidth="1"/>
    <col min="8450" max="8450" width="1.7109375" style="633" customWidth="1"/>
    <col min="8451" max="8452" width="10.140625" style="633" customWidth="1"/>
    <col min="8453" max="8453" width="1.140625" style="633" customWidth="1"/>
    <col min="8454" max="8457" width="10.140625" style="633" customWidth="1"/>
    <col min="8458" max="8458" width="1.140625" style="633" customWidth="1"/>
    <col min="8459" max="8460" width="10.140625" style="633" customWidth="1"/>
    <col min="8461" max="8461" width="2" style="633" customWidth="1"/>
    <col min="8462" max="8685" width="11.7109375" style="633" customWidth="1"/>
    <col min="8686" max="8700" width="12.85546875" style="633"/>
    <col min="8701" max="8701" width="27.7109375" style="633" bestFit="1" customWidth="1"/>
    <col min="8702" max="8702" width="22.28515625" style="633" customWidth="1"/>
    <col min="8703" max="8705" width="10.140625" style="633" customWidth="1"/>
    <col min="8706" max="8706" width="1.7109375" style="633" customWidth="1"/>
    <col min="8707" max="8708" width="10.140625" style="633" customWidth="1"/>
    <col min="8709" max="8709" width="1.140625" style="633" customWidth="1"/>
    <col min="8710" max="8713" width="10.140625" style="633" customWidth="1"/>
    <col min="8714" max="8714" width="1.140625" style="633" customWidth="1"/>
    <col min="8715" max="8716" width="10.140625" style="633" customWidth="1"/>
    <col min="8717" max="8717" width="2" style="633" customWidth="1"/>
    <col min="8718" max="8941" width="11.7109375" style="633" customWidth="1"/>
    <col min="8942" max="8956" width="12.85546875" style="633"/>
    <col min="8957" max="8957" width="27.7109375" style="633" bestFit="1" customWidth="1"/>
    <col min="8958" max="8958" width="22.28515625" style="633" customWidth="1"/>
    <col min="8959" max="8961" width="10.140625" style="633" customWidth="1"/>
    <col min="8962" max="8962" width="1.7109375" style="633" customWidth="1"/>
    <col min="8963" max="8964" width="10.140625" style="633" customWidth="1"/>
    <col min="8965" max="8965" width="1.140625" style="633" customWidth="1"/>
    <col min="8966" max="8969" width="10.140625" style="633" customWidth="1"/>
    <col min="8970" max="8970" width="1.140625" style="633" customWidth="1"/>
    <col min="8971" max="8972" width="10.140625" style="633" customWidth="1"/>
    <col min="8973" max="8973" width="2" style="633" customWidth="1"/>
    <col min="8974" max="9197" width="11.7109375" style="633" customWidth="1"/>
    <col min="9198" max="9212" width="12.85546875" style="633"/>
    <col min="9213" max="9213" width="27.7109375" style="633" bestFit="1" customWidth="1"/>
    <col min="9214" max="9214" width="22.28515625" style="633" customWidth="1"/>
    <col min="9215" max="9217" width="10.140625" style="633" customWidth="1"/>
    <col min="9218" max="9218" width="1.7109375" style="633" customWidth="1"/>
    <col min="9219" max="9220" width="10.140625" style="633" customWidth="1"/>
    <col min="9221" max="9221" width="1.140625" style="633" customWidth="1"/>
    <col min="9222" max="9225" width="10.140625" style="633" customWidth="1"/>
    <col min="9226" max="9226" width="1.140625" style="633" customWidth="1"/>
    <col min="9227" max="9228" width="10.140625" style="633" customWidth="1"/>
    <col min="9229" max="9229" width="2" style="633" customWidth="1"/>
    <col min="9230" max="9453" width="11.7109375" style="633" customWidth="1"/>
    <col min="9454" max="9468" width="12.85546875" style="633"/>
    <col min="9469" max="9469" width="27.7109375" style="633" bestFit="1" customWidth="1"/>
    <col min="9470" max="9470" width="22.28515625" style="633" customWidth="1"/>
    <col min="9471" max="9473" width="10.140625" style="633" customWidth="1"/>
    <col min="9474" max="9474" width="1.7109375" style="633" customWidth="1"/>
    <col min="9475" max="9476" width="10.140625" style="633" customWidth="1"/>
    <col min="9477" max="9477" width="1.140625" style="633" customWidth="1"/>
    <col min="9478" max="9481" width="10.140625" style="633" customWidth="1"/>
    <col min="9482" max="9482" width="1.140625" style="633" customWidth="1"/>
    <col min="9483" max="9484" width="10.140625" style="633" customWidth="1"/>
    <col min="9485" max="9485" width="2" style="633" customWidth="1"/>
    <col min="9486" max="9709" width="11.7109375" style="633" customWidth="1"/>
    <col min="9710" max="9724" width="12.85546875" style="633"/>
    <col min="9725" max="9725" width="27.7109375" style="633" bestFit="1" customWidth="1"/>
    <col min="9726" max="9726" width="22.28515625" style="633" customWidth="1"/>
    <col min="9727" max="9729" width="10.140625" style="633" customWidth="1"/>
    <col min="9730" max="9730" width="1.7109375" style="633" customWidth="1"/>
    <col min="9731" max="9732" width="10.140625" style="633" customWidth="1"/>
    <col min="9733" max="9733" width="1.140625" style="633" customWidth="1"/>
    <col min="9734" max="9737" width="10.140625" style="633" customWidth="1"/>
    <col min="9738" max="9738" width="1.140625" style="633" customWidth="1"/>
    <col min="9739" max="9740" width="10.140625" style="633" customWidth="1"/>
    <col min="9741" max="9741" width="2" style="633" customWidth="1"/>
    <col min="9742" max="9965" width="11.7109375" style="633" customWidth="1"/>
    <col min="9966" max="9980" width="12.85546875" style="633"/>
    <col min="9981" max="9981" width="27.7109375" style="633" bestFit="1" customWidth="1"/>
    <col min="9982" max="9982" width="22.28515625" style="633" customWidth="1"/>
    <col min="9983" max="9985" width="10.140625" style="633" customWidth="1"/>
    <col min="9986" max="9986" width="1.7109375" style="633" customWidth="1"/>
    <col min="9987" max="9988" width="10.140625" style="633" customWidth="1"/>
    <col min="9989" max="9989" width="1.140625" style="633" customWidth="1"/>
    <col min="9990" max="9993" width="10.140625" style="633" customWidth="1"/>
    <col min="9994" max="9994" width="1.140625" style="633" customWidth="1"/>
    <col min="9995" max="9996" width="10.140625" style="633" customWidth="1"/>
    <col min="9997" max="9997" width="2" style="633" customWidth="1"/>
    <col min="9998" max="10221" width="11.7109375" style="633" customWidth="1"/>
    <col min="10222" max="10236" width="12.85546875" style="633"/>
    <col min="10237" max="10237" width="27.7109375" style="633" bestFit="1" customWidth="1"/>
    <col min="10238" max="10238" width="22.28515625" style="633" customWidth="1"/>
    <col min="10239" max="10241" width="10.140625" style="633" customWidth="1"/>
    <col min="10242" max="10242" width="1.7109375" style="633" customWidth="1"/>
    <col min="10243" max="10244" width="10.140625" style="633" customWidth="1"/>
    <col min="10245" max="10245" width="1.140625" style="633" customWidth="1"/>
    <col min="10246" max="10249" width="10.140625" style="633" customWidth="1"/>
    <col min="10250" max="10250" width="1.140625" style="633" customWidth="1"/>
    <col min="10251" max="10252" width="10.140625" style="633" customWidth="1"/>
    <col min="10253" max="10253" width="2" style="633" customWidth="1"/>
    <col min="10254" max="10477" width="11.7109375" style="633" customWidth="1"/>
    <col min="10478" max="10492" width="12.85546875" style="633"/>
    <col min="10493" max="10493" width="27.7109375" style="633" bestFit="1" customWidth="1"/>
    <col min="10494" max="10494" width="22.28515625" style="633" customWidth="1"/>
    <col min="10495" max="10497" width="10.140625" style="633" customWidth="1"/>
    <col min="10498" max="10498" width="1.7109375" style="633" customWidth="1"/>
    <col min="10499" max="10500" width="10.140625" style="633" customWidth="1"/>
    <col min="10501" max="10501" width="1.140625" style="633" customWidth="1"/>
    <col min="10502" max="10505" width="10.140625" style="633" customWidth="1"/>
    <col min="10506" max="10506" width="1.140625" style="633" customWidth="1"/>
    <col min="10507" max="10508" width="10.140625" style="633" customWidth="1"/>
    <col min="10509" max="10509" width="2" style="633" customWidth="1"/>
    <col min="10510" max="10733" width="11.7109375" style="633" customWidth="1"/>
    <col min="10734" max="10748" width="12.85546875" style="633"/>
    <col min="10749" max="10749" width="27.7109375" style="633" bestFit="1" customWidth="1"/>
    <col min="10750" max="10750" width="22.28515625" style="633" customWidth="1"/>
    <col min="10751" max="10753" width="10.140625" style="633" customWidth="1"/>
    <col min="10754" max="10754" width="1.7109375" style="633" customWidth="1"/>
    <col min="10755" max="10756" width="10.140625" style="633" customWidth="1"/>
    <col min="10757" max="10757" width="1.140625" style="633" customWidth="1"/>
    <col min="10758" max="10761" width="10.140625" style="633" customWidth="1"/>
    <col min="10762" max="10762" width="1.140625" style="633" customWidth="1"/>
    <col min="10763" max="10764" width="10.140625" style="633" customWidth="1"/>
    <col min="10765" max="10765" width="2" style="633" customWidth="1"/>
    <col min="10766" max="10989" width="11.7109375" style="633" customWidth="1"/>
    <col min="10990" max="11004" width="12.85546875" style="633"/>
    <col min="11005" max="11005" width="27.7109375" style="633" bestFit="1" customWidth="1"/>
    <col min="11006" max="11006" width="22.28515625" style="633" customWidth="1"/>
    <col min="11007" max="11009" width="10.140625" style="633" customWidth="1"/>
    <col min="11010" max="11010" width="1.7109375" style="633" customWidth="1"/>
    <col min="11011" max="11012" width="10.140625" style="633" customWidth="1"/>
    <col min="11013" max="11013" width="1.140625" style="633" customWidth="1"/>
    <col min="11014" max="11017" width="10.140625" style="633" customWidth="1"/>
    <col min="11018" max="11018" width="1.140625" style="633" customWidth="1"/>
    <col min="11019" max="11020" width="10.140625" style="633" customWidth="1"/>
    <col min="11021" max="11021" width="2" style="633" customWidth="1"/>
    <col min="11022" max="11245" width="11.7109375" style="633" customWidth="1"/>
    <col min="11246" max="11260" width="12.85546875" style="633"/>
    <col min="11261" max="11261" width="27.7109375" style="633" bestFit="1" customWidth="1"/>
    <col min="11262" max="11262" width="22.28515625" style="633" customWidth="1"/>
    <col min="11263" max="11265" width="10.140625" style="633" customWidth="1"/>
    <col min="11266" max="11266" width="1.7109375" style="633" customWidth="1"/>
    <col min="11267" max="11268" width="10.140625" style="633" customWidth="1"/>
    <col min="11269" max="11269" width="1.140625" style="633" customWidth="1"/>
    <col min="11270" max="11273" width="10.140625" style="633" customWidth="1"/>
    <col min="11274" max="11274" width="1.140625" style="633" customWidth="1"/>
    <col min="11275" max="11276" width="10.140625" style="633" customWidth="1"/>
    <col min="11277" max="11277" width="2" style="633" customWidth="1"/>
    <col min="11278" max="11501" width="11.7109375" style="633" customWidth="1"/>
    <col min="11502" max="11516" width="12.85546875" style="633"/>
    <col min="11517" max="11517" width="27.7109375" style="633" bestFit="1" customWidth="1"/>
    <col min="11518" max="11518" width="22.28515625" style="633" customWidth="1"/>
    <col min="11519" max="11521" width="10.140625" style="633" customWidth="1"/>
    <col min="11522" max="11522" width="1.7109375" style="633" customWidth="1"/>
    <col min="11523" max="11524" width="10.140625" style="633" customWidth="1"/>
    <col min="11525" max="11525" width="1.140625" style="633" customWidth="1"/>
    <col min="11526" max="11529" width="10.140625" style="633" customWidth="1"/>
    <col min="11530" max="11530" width="1.140625" style="633" customWidth="1"/>
    <col min="11531" max="11532" width="10.140625" style="633" customWidth="1"/>
    <col min="11533" max="11533" width="2" style="633" customWidth="1"/>
    <col min="11534" max="11757" width="11.7109375" style="633" customWidth="1"/>
    <col min="11758" max="11772" width="12.85546875" style="633"/>
    <col min="11773" max="11773" width="27.7109375" style="633" bestFit="1" customWidth="1"/>
    <col min="11774" max="11774" width="22.28515625" style="633" customWidth="1"/>
    <col min="11775" max="11777" width="10.140625" style="633" customWidth="1"/>
    <col min="11778" max="11778" width="1.7109375" style="633" customWidth="1"/>
    <col min="11779" max="11780" width="10.140625" style="633" customWidth="1"/>
    <col min="11781" max="11781" width="1.140625" style="633" customWidth="1"/>
    <col min="11782" max="11785" width="10.140625" style="633" customWidth="1"/>
    <col min="11786" max="11786" width="1.140625" style="633" customWidth="1"/>
    <col min="11787" max="11788" width="10.140625" style="633" customWidth="1"/>
    <col min="11789" max="11789" width="2" style="633" customWidth="1"/>
    <col min="11790" max="12013" width="11.7109375" style="633" customWidth="1"/>
    <col min="12014" max="12028" width="12.85546875" style="633"/>
    <col min="12029" max="12029" width="27.7109375" style="633" bestFit="1" customWidth="1"/>
    <col min="12030" max="12030" width="22.28515625" style="633" customWidth="1"/>
    <col min="12031" max="12033" width="10.140625" style="633" customWidth="1"/>
    <col min="12034" max="12034" width="1.7109375" style="633" customWidth="1"/>
    <col min="12035" max="12036" width="10.140625" style="633" customWidth="1"/>
    <col min="12037" max="12037" width="1.140625" style="633" customWidth="1"/>
    <col min="12038" max="12041" width="10.140625" style="633" customWidth="1"/>
    <col min="12042" max="12042" width="1.140625" style="633" customWidth="1"/>
    <col min="12043" max="12044" width="10.140625" style="633" customWidth="1"/>
    <col min="12045" max="12045" width="2" style="633" customWidth="1"/>
    <col min="12046" max="12269" width="11.7109375" style="633" customWidth="1"/>
    <col min="12270" max="12284" width="12.85546875" style="633"/>
    <col min="12285" max="12285" width="27.7109375" style="633" bestFit="1" customWidth="1"/>
    <col min="12286" max="12286" width="22.28515625" style="633" customWidth="1"/>
    <col min="12287" max="12289" width="10.140625" style="633" customWidth="1"/>
    <col min="12290" max="12290" width="1.7109375" style="633" customWidth="1"/>
    <col min="12291" max="12292" width="10.140625" style="633" customWidth="1"/>
    <col min="12293" max="12293" width="1.140625" style="633" customWidth="1"/>
    <col min="12294" max="12297" width="10.140625" style="633" customWidth="1"/>
    <col min="12298" max="12298" width="1.140625" style="633" customWidth="1"/>
    <col min="12299" max="12300" width="10.140625" style="633" customWidth="1"/>
    <col min="12301" max="12301" width="2" style="633" customWidth="1"/>
    <col min="12302" max="12525" width="11.7109375" style="633" customWidth="1"/>
    <col min="12526" max="12540" width="12.85546875" style="633"/>
    <col min="12541" max="12541" width="27.7109375" style="633" bestFit="1" customWidth="1"/>
    <col min="12542" max="12542" width="22.28515625" style="633" customWidth="1"/>
    <col min="12543" max="12545" width="10.140625" style="633" customWidth="1"/>
    <col min="12546" max="12546" width="1.7109375" style="633" customWidth="1"/>
    <col min="12547" max="12548" width="10.140625" style="633" customWidth="1"/>
    <col min="12549" max="12549" width="1.140625" style="633" customWidth="1"/>
    <col min="12550" max="12553" width="10.140625" style="633" customWidth="1"/>
    <col min="12554" max="12554" width="1.140625" style="633" customWidth="1"/>
    <col min="12555" max="12556" width="10.140625" style="633" customWidth="1"/>
    <col min="12557" max="12557" width="2" style="633" customWidth="1"/>
    <col min="12558" max="12781" width="11.7109375" style="633" customWidth="1"/>
    <col min="12782" max="12796" width="12.85546875" style="633"/>
    <col min="12797" max="12797" width="27.7109375" style="633" bestFit="1" customWidth="1"/>
    <col min="12798" max="12798" width="22.28515625" style="633" customWidth="1"/>
    <col min="12799" max="12801" width="10.140625" style="633" customWidth="1"/>
    <col min="12802" max="12802" width="1.7109375" style="633" customWidth="1"/>
    <col min="12803" max="12804" width="10.140625" style="633" customWidth="1"/>
    <col min="12805" max="12805" width="1.140625" style="633" customWidth="1"/>
    <col min="12806" max="12809" width="10.140625" style="633" customWidth="1"/>
    <col min="12810" max="12810" width="1.140625" style="633" customWidth="1"/>
    <col min="12811" max="12812" width="10.140625" style="633" customWidth="1"/>
    <col min="12813" max="12813" width="2" style="633" customWidth="1"/>
    <col min="12814" max="13037" width="11.7109375" style="633" customWidth="1"/>
    <col min="13038" max="13052" width="12.85546875" style="633"/>
    <col min="13053" max="13053" width="27.7109375" style="633" bestFit="1" customWidth="1"/>
    <col min="13054" max="13054" width="22.28515625" style="633" customWidth="1"/>
    <col min="13055" max="13057" width="10.140625" style="633" customWidth="1"/>
    <col min="13058" max="13058" width="1.7109375" style="633" customWidth="1"/>
    <col min="13059" max="13060" width="10.140625" style="633" customWidth="1"/>
    <col min="13061" max="13061" width="1.140625" style="633" customWidth="1"/>
    <col min="13062" max="13065" width="10.140625" style="633" customWidth="1"/>
    <col min="13066" max="13066" width="1.140625" style="633" customWidth="1"/>
    <col min="13067" max="13068" width="10.140625" style="633" customWidth="1"/>
    <col min="13069" max="13069" width="2" style="633" customWidth="1"/>
    <col min="13070" max="13293" width="11.7109375" style="633" customWidth="1"/>
    <col min="13294" max="13308" width="12.85546875" style="633"/>
    <col min="13309" max="13309" width="27.7109375" style="633" bestFit="1" customWidth="1"/>
    <col min="13310" max="13310" width="22.28515625" style="633" customWidth="1"/>
    <col min="13311" max="13313" width="10.140625" style="633" customWidth="1"/>
    <col min="13314" max="13314" width="1.7109375" style="633" customWidth="1"/>
    <col min="13315" max="13316" width="10.140625" style="633" customWidth="1"/>
    <col min="13317" max="13317" width="1.140625" style="633" customWidth="1"/>
    <col min="13318" max="13321" width="10.140625" style="633" customWidth="1"/>
    <col min="13322" max="13322" width="1.140625" style="633" customWidth="1"/>
    <col min="13323" max="13324" width="10.140625" style="633" customWidth="1"/>
    <col min="13325" max="13325" width="2" style="633" customWidth="1"/>
    <col min="13326" max="13549" width="11.7109375" style="633" customWidth="1"/>
    <col min="13550" max="13564" width="12.85546875" style="633"/>
    <col min="13565" max="13565" width="27.7109375" style="633" bestFit="1" customWidth="1"/>
    <col min="13566" max="13566" width="22.28515625" style="633" customWidth="1"/>
    <col min="13567" max="13569" width="10.140625" style="633" customWidth="1"/>
    <col min="13570" max="13570" width="1.7109375" style="633" customWidth="1"/>
    <col min="13571" max="13572" width="10.140625" style="633" customWidth="1"/>
    <col min="13573" max="13573" width="1.140625" style="633" customWidth="1"/>
    <col min="13574" max="13577" width="10.140625" style="633" customWidth="1"/>
    <col min="13578" max="13578" width="1.140625" style="633" customWidth="1"/>
    <col min="13579" max="13580" width="10.140625" style="633" customWidth="1"/>
    <col min="13581" max="13581" width="2" style="633" customWidth="1"/>
    <col min="13582" max="13805" width="11.7109375" style="633" customWidth="1"/>
    <col min="13806" max="13820" width="12.85546875" style="633"/>
    <col min="13821" max="13821" width="27.7109375" style="633" bestFit="1" customWidth="1"/>
    <col min="13822" max="13822" width="22.28515625" style="633" customWidth="1"/>
    <col min="13823" max="13825" width="10.140625" style="633" customWidth="1"/>
    <col min="13826" max="13826" width="1.7109375" style="633" customWidth="1"/>
    <col min="13827" max="13828" width="10.140625" style="633" customWidth="1"/>
    <col min="13829" max="13829" width="1.140625" style="633" customWidth="1"/>
    <col min="13830" max="13833" width="10.140625" style="633" customWidth="1"/>
    <col min="13834" max="13834" width="1.140625" style="633" customWidth="1"/>
    <col min="13835" max="13836" width="10.140625" style="633" customWidth="1"/>
    <col min="13837" max="13837" width="2" style="633" customWidth="1"/>
    <col min="13838" max="14061" width="11.7109375" style="633" customWidth="1"/>
    <col min="14062" max="14076" width="12.85546875" style="633"/>
    <col min="14077" max="14077" width="27.7109375" style="633" bestFit="1" customWidth="1"/>
    <col min="14078" max="14078" width="22.28515625" style="633" customWidth="1"/>
    <col min="14079" max="14081" width="10.140625" style="633" customWidth="1"/>
    <col min="14082" max="14082" width="1.7109375" style="633" customWidth="1"/>
    <col min="14083" max="14084" width="10.140625" style="633" customWidth="1"/>
    <col min="14085" max="14085" width="1.140625" style="633" customWidth="1"/>
    <col min="14086" max="14089" width="10.140625" style="633" customWidth="1"/>
    <col min="14090" max="14090" width="1.140625" style="633" customWidth="1"/>
    <col min="14091" max="14092" width="10.140625" style="633" customWidth="1"/>
    <col min="14093" max="14093" width="2" style="633" customWidth="1"/>
    <col min="14094" max="14317" width="11.7109375" style="633" customWidth="1"/>
    <col min="14318" max="14332" width="12.85546875" style="633"/>
    <col min="14333" max="14333" width="27.7109375" style="633" bestFit="1" customWidth="1"/>
    <col min="14334" max="14334" width="22.28515625" style="633" customWidth="1"/>
    <col min="14335" max="14337" width="10.140625" style="633" customWidth="1"/>
    <col min="14338" max="14338" width="1.7109375" style="633" customWidth="1"/>
    <col min="14339" max="14340" width="10.140625" style="633" customWidth="1"/>
    <col min="14341" max="14341" width="1.140625" style="633" customWidth="1"/>
    <col min="14342" max="14345" width="10.140625" style="633" customWidth="1"/>
    <col min="14346" max="14346" width="1.140625" style="633" customWidth="1"/>
    <col min="14347" max="14348" width="10.140625" style="633" customWidth="1"/>
    <col min="14349" max="14349" width="2" style="633" customWidth="1"/>
    <col min="14350" max="14573" width="11.7109375" style="633" customWidth="1"/>
    <col min="14574" max="14588" width="12.85546875" style="633"/>
    <col min="14589" max="14589" width="27.7109375" style="633" bestFit="1" customWidth="1"/>
    <col min="14590" max="14590" width="22.28515625" style="633" customWidth="1"/>
    <col min="14591" max="14593" width="10.140625" style="633" customWidth="1"/>
    <col min="14594" max="14594" width="1.7109375" style="633" customWidth="1"/>
    <col min="14595" max="14596" width="10.140625" style="633" customWidth="1"/>
    <col min="14597" max="14597" width="1.140625" style="633" customWidth="1"/>
    <col min="14598" max="14601" width="10.140625" style="633" customWidth="1"/>
    <col min="14602" max="14602" width="1.140625" style="633" customWidth="1"/>
    <col min="14603" max="14604" width="10.140625" style="633" customWidth="1"/>
    <col min="14605" max="14605" width="2" style="633" customWidth="1"/>
    <col min="14606" max="14829" width="11.7109375" style="633" customWidth="1"/>
    <col min="14830" max="14844" width="12.85546875" style="633"/>
    <col min="14845" max="14845" width="27.7109375" style="633" bestFit="1" customWidth="1"/>
    <col min="14846" max="14846" width="22.28515625" style="633" customWidth="1"/>
    <col min="14847" max="14849" width="10.140625" style="633" customWidth="1"/>
    <col min="14850" max="14850" width="1.7109375" style="633" customWidth="1"/>
    <col min="14851" max="14852" width="10.140625" style="633" customWidth="1"/>
    <col min="14853" max="14853" width="1.140625" style="633" customWidth="1"/>
    <col min="14854" max="14857" width="10.140625" style="633" customWidth="1"/>
    <col min="14858" max="14858" width="1.140625" style="633" customWidth="1"/>
    <col min="14859" max="14860" width="10.140625" style="633" customWidth="1"/>
    <col min="14861" max="14861" width="2" style="633" customWidth="1"/>
    <col min="14862" max="15085" width="11.7109375" style="633" customWidth="1"/>
    <col min="15086" max="15100" width="12.85546875" style="633"/>
    <col min="15101" max="15101" width="27.7109375" style="633" bestFit="1" customWidth="1"/>
    <col min="15102" max="15102" width="22.28515625" style="633" customWidth="1"/>
    <col min="15103" max="15105" width="10.140625" style="633" customWidth="1"/>
    <col min="15106" max="15106" width="1.7109375" style="633" customWidth="1"/>
    <col min="15107" max="15108" width="10.140625" style="633" customWidth="1"/>
    <col min="15109" max="15109" width="1.140625" style="633" customWidth="1"/>
    <col min="15110" max="15113" width="10.140625" style="633" customWidth="1"/>
    <col min="15114" max="15114" width="1.140625" style="633" customWidth="1"/>
    <col min="15115" max="15116" width="10.140625" style="633" customWidth="1"/>
    <col min="15117" max="15117" width="2" style="633" customWidth="1"/>
    <col min="15118" max="15341" width="11.7109375" style="633" customWidth="1"/>
    <col min="15342" max="15356" width="12.85546875" style="633"/>
    <col min="15357" max="15357" width="27.7109375" style="633" bestFit="1" customWidth="1"/>
    <col min="15358" max="15358" width="22.28515625" style="633" customWidth="1"/>
    <col min="15359" max="15361" width="10.140625" style="633" customWidth="1"/>
    <col min="15362" max="15362" width="1.7109375" style="633" customWidth="1"/>
    <col min="15363" max="15364" width="10.140625" style="633" customWidth="1"/>
    <col min="15365" max="15365" width="1.140625" style="633" customWidth="1"/>
    <col min="15366" max="15369" width="10.140625" style="633" customWidth="1"/>
    <col min="15370" max="15370" width="1.140625" style="633" customWidth="1"/>
    <col min="15371" max="15372" width="10.140625" style="633" customWidth="1"/>
    <col min="15373" max="15373" width="2" style="633" customWidth="1"/>
    <col min="15374" max="15597" width="11.7109375" style="633" customWidth="1"/>
    <col min="15598" max="15612" width="12.85546875" style="633"/>
    <col min="15613" max="15613" width="27.7109375" style="633" bestFit="1" customWidth="1"/>
    <col min="15614" max="15614" width="22.28515625" style="633" customWidth="1"/>
    <col min="15615" max="15617" width="10.140625" style="633" customWidth="1"/>
    <col min="15618" max="15618" width="1.7109375" style="633" customWidth="1"/>
    <col min="15619" max="15620" width="10.140625" style="633" customWidth="1"/>
    <col min="15621" max="15621" width="1.140625" style="633" customWidth="1"/>
    <col min="15622" max="15625" width="10.140625" style="633" customWidth="1"/>
    <col min="15626" max="15626" width="1.140625" style="633" customWidth="1"/>
    <col min="15627" max="15628" width="10.140625" style="633" customWidth="1"/>
    <col min="15629" max="15629" width="2" style="633" customWidth="1"/>
    <col min="15630" max="15853" width="11.7109375" style="633" customWidth="1"/>
    <col min="15854" max="15868" width="12.85546875" style="633"/>
    <col min="15869" max="15869" width="27.7109375" style="633" bestFit="1" customWidth="1"/>
    <col min="15870" max="15870" width="22.28515625" style="633" customWidth="1"/>
    <col min="15871" max="15873" width="10.140625" style="633" customWidth="1"/>
    <col min="15874" max="15874" width="1.7109375" style="633" customWidth="1"/>
    <col min="15875" max="15876" width="10.140625" style="633" customWidth="1"/>
    <col min="15877" max="15877" width="1.140625" style="633" customWidth="1"/>
    <col min="15878" max="15881" width="10.140625" style="633" customWidth="1"/>
    <col min="15882" max="15882" width="1.140625" style="633" customWidth="1"/>
    <col min="15883" max="15884" width="10.140625" style="633" customWidth="1"/>
    <col min="15885" max="15885" width="2" style="633" customWidth="1"/>
    <col min="15886" max="16109" width="11.7109375" style="633" customWidth="1"/>
    <col min="16110" max="16124" width="12.85546875" style="633"/>
    <col min="16125" max="16125" width="27.7109375" style="633" bestFit="1" customWidth="1"/>
    <col min="16126" max="16126" width="22.28515625" style="633" customWidth="1"/>
    <col min="16127" max="16129" width="10.140625" style="633" customWidth="1"/>
    <col min="16130" max="16130" width="1.7109375" style="633" customWidth="1"/>
    <col min="16131" max="16132" width="10.140625" style="633" customWidth="1"/>
    <col min="16133" max="16133" width="1.140625" style="633" customWidth="1"/>
    <col min="16134" max="16137" width="10.140625" style="633" customWidth="1"/>
    <col min="16138" max="16138" width="1.140625" style="633" customWidth="1"/>
    <col min="16139" max="16140" width="10.140625" style="633" customWidth="1"/>
    <col min="16141" max="16141" width="2" style="633" customWidth="1"/>
    <col min="16142" max="16365" width="11.7109375" style="633" customWidth="1"/>
    <col min="16366" max="16384" width="12.85546875" style="633"/>
  </cols>
  <sheetData>
    <row r="1" spans="1:245" ht="15" x14ac:dyDescent="0.25"/>
    <row r="2" spans="1:245" s="639" customFormat="1" ht="30" customHeight="1" x14ac:dyDescent="0.35">
      <c r="A2" s="636" t="str">
        <f>Konti_MS!C7</f>
        <v>MS  . . .</v>
      </c>
      <c r="B2" s="637"/>
      <c r="C2" s="637"/>
      <c r="D2" s="633"/>
      <c r="E2" s="633"/>
      <c r="F2" s="633"/>
      <c r="G2" s="633"/>
      <c r="H2" s="633"/>
      <c r="I2" s="633"/>
      <c r="J2" s="633"/>
      <c r="K2" s="633"/>
      <c r="L2" s="633"/>
      <c r="M2" s="633"/>
      <c r="N2" s="633"/>
      <c r="P2" s="633"/>
      <c r="Q2" s="638" t="str">
        <f>"Schuljahr 20"&amp;RIGHT(Konti_MS!H1,5)</f>
        <v>Schuljahr 2024/25</v>
      </c>
      <c r="R2" s="633"/>
      <c r="S2" s="633"/>
    </row>
    <row r="3" spans="1:245" s="644" customFormat="1" ht="33" customHeight="1" x14ac:dyDescent="0.2">
      <c r="A3" s="640"/>
      <c r="B3" s="641"/>
      <c r="C3" s="641"/>
      <c r="D3" s="642"/>
      <c r="E3" s="642"/>
      <c r="F3" s="643"/>
      <c r="G3" s="673"/>
      <c r="H3" s="673"/>
      <c r="I3" s="673"/>
      <c r="J3" s="673"/>
      <c r="K3" s="673"/>
      <c r="L3" s="673"/>
      <c r="M3" s="673"/>
      <c r="N3" s="643"/>
      <c r="O3" s="673"/>
      <c r="P3" s="633"/>
      <c r="Q3" s="642"/>
      <c r="R3" s="633"/>
      <c r="S3" s="633"/>
      <c r="T3" s="643"/>
      <c r="U3" s="643"/>
      <c r="V3" s="643"/>
      <c r="W3" s="643"/>
      <c r="X3" s="643"/>
      <c r="Y3" s="643"/>
      <c r="Z3" s="643"/>
      <c r="AA3" s="643"/>
      <c r="AB3" s="643"/>
      <c r="AC3" s="643"/>
      <c r="AD3" s="643"/>
      <c r="AE3" s="643"/>
      <c r="AF3" s="643"/>
      <c r="AG3" s="643"/>
      <c r="AH3" s="643"/>
      <c r="AI3" s="643"/>
      <c r="AJ3" s="643"/>
      <c r="AK3" s="643"/>
      <c r="AL3" s="643"/>
      <c r="AM3" s="643"/>
      <c r="AN3" s="643"/>
      <c r="AO3" s="643"/>
      <c r="AP3" s="643"/>
      <c r="AQ3" s="643"/>
      <c r="AR3" s="643"/>
      <c r="AS3" s="643"/>
      <c r="AT3" s="643"/>
      <c r="AU3" s="643"/>
      <c r="AV3" s="643"/>
      <c r="AW3" s="643"/>
      <c r="AX3" s="643"/>
      <c r="AY3" s="643"/>
      <c r="AZ3" s="643"/>
      <c r="BA3" s="643"/>
      <c r="BB3" s="643"/>
      <c r="BC3" s="643"/>
      <c r="BD3" s="643"/>
      <c r="BE3" s="643"/>
      <c r="BF3" s="643"/>
      <c r="BG3" s="643"/>
      <c r="BH3" s="643"/>
      <c r="BI3" s="643"/>
      <c r="BJ3" s="643"/>
      <c r="BK3" s="643"/>
      <c r="BL3" s="643"/>
      <c r="BM3" s="643"/>
      <c r="BN3" s="643"/>
      <c r="BO3" s="643"/>
      <c r="BP3" s="643"/>
      <c r="BQ3" s="643"/>
      <c r="BR3" s="643"/>
      <c r="BS3" s="643"/>
      <c r="BT3" s="643"/>
      <c r="BU3" s="643"/>
      <c r="BV3" s="643"/>
      <c r="BW3" s="643"/>
      <c r="BX3" s="643"/>
      <c r="BY3" s="643"/>
      <c r="BZ3" s="643"/>
      <c r="CA3" s="643"/>
      <c r="CB3" s="643"/>
      <c r="CC3" s="643"/>
      <c r="CD3" s="643"/>
      <c r="CE3" s="643"/>
      <c r="CF3" s="643"/>
      <c r="CG3" s="643"/>
      <c r="CH3" s="643"/>
      <c r="CI3" s="643"/>
      <c r="CJ3" s="643"/>
      <c r="CK3" s="643"/>
      <c r="CL3" s="643"/>
      <c r="CM3" s="643"/>
      <c r="CN3" s="643"/>
      <c r="CO3" s="643"/>
      <c r="CP3" s="643"/>
      <c r="CQ3" s="643"/>
      <c r="CR3" s="643"/>
      <c r="CS3" s="643"/>
      <c r="CT3" s="643"/>
      <c r="CU3" s="643"/>
      <c r="CV3" s="643"/>
      <c r="CW3" s="643"/>
      <c r="CX3" s="643"/>
      <c r="CY3" s="643"/>
      <c r="CZ3" s="643"/>
      <c r="DA3" s="643"/>
      <c r="DB3" s="643"/>
      <c r="DC3" s="643"/>
      <c r="DD3" s="643"/>
      <c r="DE3" s="643"/>
      <c r="DF3" s="643"/>
      <c r="DG3" s="643"/>
      <c r="DH3" s="643"/>
      <c r="DI3" s="643"/>
      <c r="DJ3" s="643"/>
      <c r="DK3" s="643"/>
      <c r="DL3" s="643"/>
      <c r="DM3" s="643"/>
      <c r="DN3" s="643"/>
      <c r="DO3" s="643"/>
      <c r="DP3" s="643"/>
      <c r="DQ3" s="643"/>
      <c r="DR3" s="643"/>
      <c r="DS3" s="643"/>
      <c r="DT3" s="643"/>
      <c r="DU3" s="643"/>
      <c r="DV3" s="643"/>
      <c r="DW3" s="643"/>
      <c r="DX3" s="643"/>
      <c r="DY3" s="643"/>
      <c r="DZ3" s="643"/>
      <c r="EA3" s="643"/>
      <c r="EB3" s="643"/>
      <c r="EC3" s="643"/>
      <c r="ED3" s="643"/>
      <c r="EE3" s="643"/>
      <c r="EF3" s="643"/>
      <c r="EG3" s="643"/>
      <c r="EH3" s="643"/>
      <c r="EI3" s="643"/>
      <c r="EJ3" s="643"/>
      <c r="EK3" s="643"/>
      <c r="EL3" s="643"/>
      <c r="EM3" s="643"/>
      <c r="EN3" s="643"/>
      <c r="EO3" s="643"/>
      <c r="EP3" s="643"/>
      <c r="EQ3" s="643"/>
      <c r="ER3" s="643"/>
      <c r="ES3" s="643"/>
      <c r="ET3" s="643"/>
      <c r="EU3" s="643"/>
      <c r="EV3" s="643"/>
      <c r="EW3" s="643"/>
      <c r="EX3" s="643"/>
      <c r="EY3" s="643"/>
      <c r="EZ3" s="643"/>
      <c r="FA3" s="643"/>
      <c r="FB3" s="643"/>
      <c r="FC3" s="643"/>
      <c r="FD3" s="643"/>
      <c r="FE3" s="643"/>
      <c r="FF3" s="643"/>
      <c r="FG3" s="643"/>
      <c r="FH3" s="643"/>
      <c r="FI3" s="643"/>
      <c r="FJ3" s="643"/>
      <c r="FK3" s="643"/>
      <c r="FL3" s="643"/>
      <c r="FM3" s="643"/>
      <c r="FN3" s="643"/>
      <c r="FO3" s="643"/>
      <c r="FP3" s="643"/>
      <c r="FQ3" s="643"/>
      <c r="FR3" s="643"/>
      <c r="FS3" s="643"/>
      <c r="FT3" s="643"/>
      <c r="FU3" s="643"/>
      <c r="FV3" s="643"/>
      <c r="FW3" s="643"/>
      <c r="FX3" s="643"/>
      <c r="FY3" s="643"/>
      <c r="FZ3" s="643"/>
      <c r="GA3" s="643"/>
      <c r="GB3" s="643"/>
      <c r="GC3" s="643"/>
      <c r="GD3" s="643"/>
      <c r="GE3" s="643"/>
      <c r="GF3" s="643"/>
      <c r="GG3" s="643"/>
      <c r="GH3" s="643"/>
      <c r="GI3" s="643"/>
      <c r="GJ3" s="643"/>
      <c r="GK3" s="643"/>
      <c r="GL3" s="643"/>
      <c r="GM3" s="643"/>
      <c r="GN3" s="643"/>
      <c r="GO3" s="643"/>
      <c r="GP3" s="643"/>
      <c r="GQ3" s="643"/>
      <c r="GR3" s="643"/>
      <c r="GS3" s="643"/>
      <c r="GT3" s="643"/>
      <c r="GU3" s="643"/>
      <c r="GV3" s="643"/>
      <c r="GW3" s="643"/>
      <c r="GX3" s="643"/>
      <c r="GY3" s="643"/>
      <c r="GZ3" s="643"/>
      <c r="HA3" s="643"/>
      <c r="HB3" s="643"/>
      <c r="HC3" s="643"/>
      <c r="HD3" s="643"/>
      <c r="HE3" s="643"/>
      <c r="HF3" s="643"/>
      <c r="HG3" s="643"/>
      <c r="HH3" s="643"/>
      <c r="HI3" s="643"/>
      <c r="HJ3" s="643"/>
      <c r="HK3" s="643"/>
      <c r="HL3" s="643"/>
      <c r="HM3" s="643"/>
      <c r="HN3" s="643"/>
      <c r="HO3" s="643"/>
      <c r="HP3" s="643"/>
      <c r="HQ3" s="643"/>
      <c r="HR3" s="643"/>
      <c r="HS3" s="643"/>
      <c r="HT3" s="643"/>
      <c r="HU3" s="643"/>
      <c r="HV3" s="643"/>
      <c r="HW3" s="643"/>
      <c r="HX3" s="643"/>
      <c r="HY3" s="643"/>
      <c r="HZ3" s="643"/>
      <c r="IA3" s="643"/>
      <c r="IB3" s="643"/>
      <c r="IC3" s="643"/>
      <c r="ID3" s="643"/>
      <c r="IE3" s="643"/>
      <c r="IF3" s="643"/>
      <c r="IG3" s="643"/>
      <c r="IH3" s="643"/>
      <c r="II3" s="643"/>
      <c r="IJ3" s="643"/>
      <c r="IK3" s="643"/>
    </row>
    <row r="4" spans="1:245" ht="154.5" customHeight="1" x14ac:dyDescent="0.25">
      <c r="A4" s="940" t="s">
        <v>866</v>
      </c>
      <c r="B4" s="941"/>
      <c r="C4" s="680"/>
      <c r="D4" s="648" t="s">
        <v>669</v>
      </c>
      <c r="E4" s="646" t="s">
        <v>670</v>
      </c>
      <c r="F4" s="647"/>
      <c r="G4" s="864" t="s">
        <v>870</v>
      </c>
      <c r="H4" s="649" t="s">
        <v>672</v>
      </c>
      <c r="I4" s="649" t="s">
        <v>867</v>
      </c>
      <c r="J4" s="650" t="s">
        <v>674</v>
      </c>
      <c r="K4" s="645" t="s">
        <v>675</v>
      </c>
      <c r="L4" s="651" t="s">
        <v>671</v>
      </c>
      <c r="M4" s="652" t="s">
        <v>676</v>
      </c>
      <c r="N4" s="647"/>
      <c r="O4" s="653" t="s">
        <v>677</v>
      </c>
      <c r="Q4" s="682" t="s">
        <v>668</v>
      </c>
    </row>
    <row r="5" spans="1:245" ht="23.25" customHeight="1" x14ac:dyDescent="0.25">
      <c r="A5" s="762"/>
      <c r="B5" s="716"/>
      <c r="C5" s="717"/>
      <c r="D5" s="718"/>
      <c r="E5" s="719"/>
      <c r="F5" s="720"/>
      <c r="G5" s="721"/>
      <c r="H5" s="722"/>
      <c r="I5" s="722"/>
      <c r="J5" s="722"/>
      <c r="K5" s="722"/>
      <c r="L5" s="722"/>
      <c r="M5" s="723"/>
      <c r="N5" s="655"/>
      <c r="O5" s="724"/>
      <c r="P5" s="725"/>
      <c r="Q5" s="839">
        <f t="shared" ref="Q5:Q68" si="0">SUM(G5:O5)</f>
        <v>0</v>
      </c>
    </row>
    <row r="6" spans="1:245" ht="23.25" customHeight="1" x14ac:dyDescent="0.25">
      <c r="A6" s="726"/>
      <c r="B6" s="727"/>
      <c r="C6" s="728"/>
      <c r="D6" s="729"/>
      <c r="E6" s="730"/>
      <c r="F6" s="720"/>
      <c r="G6" s="731"/>
      <c r="H6" s="732"/>
      <c r="I6" s="732"/>
      <c r="J6" s="732"/>
      <c r="K6" s="732"/>
      <c r="L6" s="733"/>
      <c r="M6" s="734"/>
      <c r="N6" s="656"/>
      <c r="O6" s="735"/>
      <c r="P6" s="725"/>
      <c r="Q6" s="838">
        <f t="shared" si="0"/>
        <v>0</v>
      </c>
    </row>
    <row r="7" spans="1:245" ht="23.25" customHeight="1" x14ac:dyDescent="0.25">
      <c r="A7" s="726"/>
      <c r="B7" s="727"/>
      <c r="C7" s="728"/>
      <c r="D7" s="729"/>
      <c r="E7" s="730"/>
      <c r="F7" s="720"/>
      <c r="G7" s="731"/>
      <c r="H7" s="732"/>
      <c r="I7" s="732"/>
      <c r="J7" s="732"/>
      <c r="K7" s="732"/>
      <c r="L7" s="733"/>
      <c r="M7" s="734"/>
      <c r="N7" s="656"/>
      <c r="O7" s="735"/>
      <c r="P7" s="725"/>
      <c r="Q7" s="838">
        <f t="shared" si="0"/>
        <v>0</v>
      </c>
    </row>
    <row r="8" spans="1:245" ht="23.25" customHeight="1" x14ac:dyDescent="0.25">
      <c r="A8" s="726"/>
      <c r="B8" s="727"/>
      <c r="C8" s="728"/>
      <c r="D8" s="729"/>
      <c r="E8" s="730"/>
      <c r="F8" s="720"/>
      <c r="G8" s="731"/>
      <c r="H8" s="732"/>
      <c r="I8" s="732"/>
      <c r="J8" s="732"/>
      <c r="K8" s="732"/>
      <c r="L8" s="733"/>
      <c r="M8" s="734"/>
      <c r="N8" s="656"/>
      <c r="O8" s="735"/>
      <c r="P8" s="725"/>
      <c r="Q8" s="838">
        <f t="shared" si="0"/>
        <v>0</v>
      </c>
    </row>
    <row r="9" spans="1:245" ht="23.25" customHeight="1" x14ac:dyDescent="0.25">
      <c r="A9" s="726"/>
      <c r="B9" s="727"/>
      <c r="C9" s="728"/>
      <c r="D9" s="729"/>
      <c r="E9" s="730"/>
      <c r="F9" s="720"/>
      <c r="G9" s="731"/>
      <c r="H9" s="732"/>
      <c r="I9" s="732"/>
      <c r="J9" s="732"/>
      <c r="K9" s="732"/>
      <c r="L9" s="733"/>
      <c r="M9" s="734"/>
      <c r="N9" s="656"/>
      <c r="O9" s="735"/>
      <c r="P9" s="725"/>
      <c r="Q9" s="838">
        <f t="shared" si="0"/>
        <v>0</v>
      </c>
    </row>
    <row r="10" spans="1:245" ht="23.25" customHeight="1" x14ac:dyDescent="0.25">
      <c r="A10" s="726"/>
      <c r="B10" s="727"/>
      <c r="C10" s="728"/>
      <c r="D10" s="729"/>
      <c r="E10" s="730"/>
      <c r="F10" s="720"/>
      <c r="G10" s="731"/>
      <c r="H10" s="732"/>
      <c r="I10" s="732"/>
      <c r="J10" s="732"/>
      <c r="K10" s="732"/>
      <c r="L10" s="733"/>
      <c r="M10" s="734"/>
      <c r="N10" s="656"/>
      <c r="O10" s="735"/>
      <c r="P10" s="725"/>
      <c r="Q10" s="838">
        <f t="shared" si="0"/>
        <v>0</v>
      </c>
    </row>
    <row r="11" spans="1:245" ht="23.25" customHeight="1" x14ac:dyDescent="0.25">
      <c r="A11" s="726"/>
      <c r="B11" s="727"/>
      <c r="C11" s="728"/>
      <c r="D11" s="729"/>
      <c r="E11" s="730"/>
      <c r="F11" s="720"/>
      <c r="G11" s="731"/>
      <c r="H11" s="732"/>
      <c r="I11" s="732"/>
      <c r="J11" s="732"/>
      <c r="K11" s="732"/>
      <c r="L11" s="733"/>
      <c r="M11" s="734"/>
      <c r="N11" s="656"/>
      <c r="O11" s="735"/>
      <c r="P11" s="725"/>
      <c r="Q11" s="838">
        <f t="shared" si="0"/>
        <v>0</v>
      </c>
    </row>
    <row r="12" spans="1:245" ht="23.25" customHeight="1" x14ac:dyDescent="0.25">
      <c r="A12" s="726"/>
      <c r="B12" s="727"/>
      <c r="C12" s="728"/>
      <c r="D12" s="729"/>
      <c r="E12" s="730"/>
      <c r="F12" s="720"/>
      <c r="G12" s="731"/>
      <c r="H12" s="732"/>
      <c r="I12" s="732"/>
      <c r="J12" s="732"/>
      <c r="K12" s="732"/>
      <c r="L12" s="733"/>
      <c r="M12" s="734"/>
      <c r="N12" s="656"/>
      <c r="O12" s="735"/>
      <c r="P12" s="725"/>
      <c r="Q12" s="838">
        <f t="shared" si="0"/>
        <v>0</v>
      </c>
    </row>
    <row r="13" spans="1:245" ht="23.25" customHeight="1" x14ac:dyDescent="0.25">
      <c r="A13" s="726"/>
      <c r="B13" s="727"/>
      <c r="C13" s="728"/>
      <c r="D13" s="729"/>
      <c r="E13" s="730"/>
      <c r="F13" s="720"/>
      <c r="G13" s="731"/>
      <c r="H13" s="732"/>
      <c r="I13" s="732"/>
      <c r="J13" s="732"/>
      <c r="K13" s="732"/>
      <c r="L13" s="733"/>
      <c r="M13" s="734"/>
      <c r="N13" s="656"/>
      <c r="O13" s="735"/>
      <c r="P13" s="725"/>
      <c r="Q13" s="838">
        <f t="shared" si="0"/>
        <v>0</v>
      </c>
    </row>
    <row r="14" spans="1:245" ht="23.25" customHeight="1" x14ac:dyDescent="0.25">
      <c r="A14" s="726"/>
      <c r="B14" s="727"/>
      <c r="C14" s="728"/>
      <c r="D14" s="729"/>
      <c r="E14" s="736"/>
      <c r="F14" s="720"/>
      <c r="G14" s="731"/>
      <c r="H14" s="732"/>
      <c r="I14" s="732"/>
      <c r="J14" s="732"/>
      <c r="K14" s="732"/>
      <c r="L14" s="733"/>
      <c r="M14" s="734"/>
      <c r="N14" s="656"/>
      <c r="O14" s="735"/>
      <c r="P14" s="725"/>
      <c r="Q14" s="838">
        <f t="shared" si="0"/>
        <v>0</v>
      </c>
    </row>
    <row r="15" spans="1:245" ht="23.25" customHeight="1" x14ac:dyDescent="0.25">
      <c r="A15" s="726"/>
      <c r="B15" s="727"/>
      <c r="C15" s="728"/>
      <c r="D15" s="729"/>
      <c r="E15" s="730"/>
      <c r="F15" s="720"/>
      <c r="G15" s="731"/>
      <c r="H15" s="732"/>
      <c r="I15" s="732"/>
      <c r="J15" s="732"/>
      <c r="K15" s="732"/>
      <c r="L15" s="733"/>
      <c r="M15" s="734"/>
      <c r="N15" s="656"/>
      <c r="O15" s="735"/>
      <c r="P15" s="725"/>
      <c r="Q15" s="838">
        <f t="shared" si="0"/>
        <v>0</v>
      </c>
    </row>
    <row r="16" spans="1:245" ht="23.25" customHeight="1" x14ac:dyDescent="0.25">
      <c r="A16" s="726"/>
      <c r="B16" s="727"/>
      <c r="C16" s="728"/>
      <c r="D16" s="729"/>
      <c r="E16" s="730"/>
      <c r="F16" s="720"/>
      <c r="G16" s="731"/>
      <c r="H16" s="732"/>
      <c r="I16" s="732"/>
      <c r="J16" s="732"/>
      <c r="K16" s="732"/>
      <c r="L16" s="733"/>
      <c r="M16" s="734"/>
      <c r="N16" s="656"/>
      <c r="O16" s="735"/>
      <c r="P16" s="725"/>
      <c r="Q16" s="838">
        <f t="shared" si="0"/>
        <v>0</v>
      </c>
    </row>
    <row r="17" spans="1:17" ht="23.25" customHeight="1" x14ac:dyDescent="0.25">
      <c r="A17" s="726"/>
      <c r="B17" s="727"/>
      <c r="C17" s="728"/>
      <c r="D17" s="729"/>
      <c r="E17" s="730"/>
      <c r="F17" s="720"/>
      <c r="G17" s="731"/>
      <c r="H17" s="732"/>
      <c r="I17" s="732"/>
      <c r="J17" s="732"/>
      <c r="K17" s="732"/>
      <c r="L17" s="733"/>
      <c r="M17" s="734"/>
      <c r="N17" s="656"/>
      <c r="O17" s="735"/>
      <c r="P17" s="725"/>
      <c r="Q17" s="838">
        <f t="shared" si="0"/>
        <v>0</v>
      </c>
    </row>
    <row r="18" spans="1:17" ht="23.25" customHeight="1" x14ac:dyDescent="0.25">
      <c r="A18" s="726"/>
      <c r="B18" s="727"/>
      <c r="C18" s="728"/>
      <c r="D18" s="729"/>
      <c r="E18" s="730"/>
      <c r="F18" s="720"/>
      <c r="G18" s="731"/>
      <c r="H18" s="732"/>
      <c r="I18" s="732"/>
      <c r="J18" s="732"/>
      <c r="K18" s="732"/>
      <c r="L18" s="733"/>
      <c r="M18" s="734"/>
      <c r="N18" s="656"/>
      <c r="O18" s="735"/>
      <c r="P18" s="725"/>
      <c r="Q18" s="838">
        <f t="shared" si="0"/>
        <v>0</v>
      </c>
    </row>
    <row r="19" spans="1:17" ht="23.25" customHeight="1" x14ac:dyDescent="0.25">
      <c r="A19" s="726"/>
      <c r="B19" s="727"/>
      <c r="C19" s="728"/>
      <c r="D19" s="729"/>
      <c r="E19" s="730"/>
      <c r="F19" s="720"/>
      <c r="G19" s="731"/>
      <c r="H19" s="732"/>
      <c r="I19" s="732"/>
      <c r="J19" s="732"/>
      <c r="K19" s="732"/>
      <c r="L19" s="733"/>
      <c r="M19" s="734"/>
      <c r="N19" s="656"/>
      <c r="O19" s="735"/>
      <c r="P19" s="725"/>
      <c r="Q19" s="838">
        <f t="shared" si="0"/>
        <v>0</v>
      </c>
    </row>
    <row r="20" spans="1:17" ht="23.25" customHeight="1" x14ac:dyDescent="0.25">
      <c r="A20" s="726"/>
      <c r="B20" s="727"/>
      <c r="C20" s="728"/>
      <c r="D20" s="729"/>
      <c r="E20" s="730"/>
      <c r="F20" s="720"/>
      <c r="G20" s="731"/>
      <c r="H20" s="732"/>
      <c r="I20" s="732"/>
      <c r="J20" s="732"/>
      <c r="K20" s="732"/>
      <c r="L20" s="733"/>
      <c r="M20" s="734"/>
      <c r="N20" s="656"/>
      <c r="O20" s="735"/>
      <c r="P20" s="725"/>
      <c r="Q20" s="838">
        <f t="shared" si="0"/>
        <v>0</v>
      </c>
    </row>
    <row r="21" spans="1:17" ht="23.25" customHeight="1" x14ac:dyDescent="0.25">
      <c r="A21" s="726"/>
      <c r="B21" s="727"/>
      <c r="C21" s="728"/>
      <c r="D21" s="729"/>
      <c r="E21" s="730"/>
      <c r="F21" s="720"/>
      <c r="G21" s="731"/>
      <c r="H21" s="732"/>
      <c r="I21" s="732"/>
      <c r="J21" s="732"/>
      <c r="K21" s="732"/>
      <c r="L21" s="733"/>
      <c r="M21" s="734"/>
      <c r="N21" s="656"/>
      <c r="O21" s="735"/>
      <c r="P21" s="725"/>
      <c r="Q21" s="838">
        <f t="shared" si="0"/>
        <v>0</v>
      </c>
    </row>
    <row r="22" spans="1:17" ht="23.25" customHeight="1" x14ac:dyDescent="0.25">
      <c r="A22" s="726"/>
      <c r="B22" s="727"/>
      <c r="C22" s="728"/>
      <c r="D22" s="729"/>
      <c r="E22" s="730"/>
      <c r="F22" s="720"/>
      <c r="G22" s="731"/>
      <c r="H22" s="732"/>
      <c r="I22" s="732"/>
      <c r="J22" s="732"/>
      <c r="K22" s="732"/>
      <c r="L22" s="733"/>
      <c r="M22" s="734"/>
      <c r="N22" s="656"/>
      <c r="O22" s="735"/>
      <c r="P22" s="725"/>
      <c r="Q22" s="838">
        <f t="shared" si="0"/>
        <v>0</v>
      </c>
    </row>
    <row r="23" spans="1:17" ht="23.25" customHeight="1" x14ac:dyDescent="0.25">
      <c r="A23" s="726"/>
      <c r="B23" s="727"/>
      <c r="C23" s="728"/>
      <c r="D23" s="729"/>
      <c r="E23" s="730"/>
      <c r="F23" s="720"/>
      <c r="G23" s="731"/>
      <c r="H23" s="732"/>
      <c r="I23" s="732"/>
      <c r="J23" s="732"/>
      <c r="K23" s="732"/>
      <c r="L23" s="733"/>
      <c r="M23" s="734"/>
      <c r="N23" s="656"/>
      <c r="O23" s="735"/>
      <c r="P23" s="725"/>
      <c r="Q23" s="838">
        <f t="shared" si="0"/>
        <v>0</v>
      </c>
    </row>
    <row r="24" spans="1:17" ht="23.25" customHeight="1" x14ac:dyDescent="0.25">
      <c r="A24" s="726"/>
      <c r="B24" s="727"/>
      <c r="C24" s="728"/>
      <c r="D24" s="729"/>
      <c r="E24" s="730"/>
      <c r="F24" s="720"/>
      <c r="G24" s="731"/>
      <c r="H24" s="732"/>
      <c r="I24" s="732"/>
      <c r="J24" s="732"/>
      <c r="K24" s="732"/>
      <c r="L24" s="733"/>
      <c r="M24" s="734"/>
      <c r="N24" s="656"/>
      <c r="O24" s="735"/>
      <c r="P24" s="725"/>
      <c r="Q24" s="838">
        <f t="shared" si="0"/>
        <v>0</v>
      </c>
    </row>
    <row r="25" spans="1:17" ht="23.25" customHeight="1" x14ac:dyDescent="0.25">
      <c r="A25" s="726"/>
      <c r="B25" s="727"/>
      <c r="C25" s="728"/>
      <c r="D25" s="729"/>
      <c r="E25" s="730"/>
      <c r="F25" s="720"/>
      <c r="G25" s="731"/>
      <c r="H25" s="732"/>
      <c r="I25" s="732"/>
      <c r="J25" s="732"/>
      <c r="K25" s="732"/>
      <c r="L25" s="733"/>
      <c r="M25" s="734"/>
      <c r="N25" s="656"/>
      <c r="O25" s="735"/>
      <c r="P25" s="725"/>
      <c r="Q25" s="838">
        <f t="shared" si="0"/>
        <v>0</v>
      </c>
    </row>
    <row r="26" spans="1:17" ht="23.25" customHeight="1" x14ac:dyDescent="0.25">
      <c r="A26" s="726"/>
      <c r="B26" s="727"/>
      <c r="C26" s="728"/>
      <c r="D26" s="729"/>
      <c r="E26" s="730"/>
      <c r="F26" s="720"/>
      <c r="G26" s="731"/>
      <c r="H26" s="732"/>
      <c r="I26" s="732"/>
      <c r="J26" s="732"/>
      <c r="K26" s="732"/>
      <c r="L26" s="733"/>
      <c r="M26" s="734"/>
      <c r="N26" s="656"/>
      <c r="O26" s="735"/>
      <c r="P26" s="725"/>
      <c r="Q26" s="838">
        <f t="shared" si="0"/>
        <v>0</v>
      </c>
    </row>
    <row r="27" spans="1:17" ht="23.25" customHeight="1" x14ac:dyDescent="0.25">
      <c r="A27" s="726"/>
      <c r="B27" s="727"/>
      <c r="C27" s="728"/>
      <c r="D27" s="729"/>
      <c r="E27" s="730"/>
      <c r="F27" s="720"/>
      <c r="G27" s="731"/>
      <c r="H27" s="732"/>
      <c r="I27" s="732"/>
      <c r="J27" s="732"/>
      <c r="K27" s="732"/>
      <c r="L27" s="733"/>
      <c r="M27" s="734"/>
      <c r="N27" s="656"/>
      <c r="O27" s="735"/>
      <c r="P27" s="725"/>
      <c r="Q27" s="838">
        <f t="shared" si="0"/>
        <v>0</v>
      </c>
    </row>
    <row r="28" spans="1:17" ht="23.25" customHeight="1" x14ac:dyDescent="0.25">
      <c r="A28" s="726"/>
      <c r="B28" s="727"/>
      <c r="C28" s="728"/>
      <c r="D28" s="729"/>
      <c r="E28" s="730"/>
      <c r="F28" s="720"/>
      <c r="G28" s="731"/>
      <c r="H28" s="732"/>
      <c r="I28" s="732"/>
      <c r="J28" s="732"/>
      <c r="K28" s="732"/>
      <c r="L28" s="733"/>
      <c r="M28" s="734"/>
      <c r="N28" s="656"/>
      <c r="O28" s="735"/>
      <c r="P28" s="725"/>
      <c r="Q28" s="838">
        <f t="shared" si="0"/>
        <v>0</v>
      </c>
    </row>
    <row r="29" spans="1:17" ht="23.25" customHeight="1" x14ac:dyDescent="0.25">
      <c r="A29" s="726"/>
      <c r="B29" s="727"/>
      <c r="C29" s="728"/>
      <c r="D29" s="729"/>
      <c r="E29" s="730"/>
      <c r="F29" s="720"/>
      <c r="G29" s="731"/>
      <c r="H29" s="732"/>
      <c r="I29" s="732"/>
      <c r="J29" s="732"/>
      <c r="K29" s="732"/>
      <c r="L29" s="733"/>
      <c r="M29" s="734"/>
      <c r="N29" s="656"/>
      <c r="O29" s="735"/>
      <c r="P29" s="725"/>
      <c r="Q29" s="838">
        <f t="shared" si="0"/>
        <v>0</v>
      </c>
    </row>
    <row r="30" spans="1:17" ht="23.25" customHeight="1" x14ac:dyDescent="0.25">
      <c r="A30" s="726"/>
      <c r="B30" s="727"/>
      <c r="C30" s="728"/>
      <c r="D30" s="729"/>
      <c r="E30" s="730"/>
      <c r="F30" s="720"/>
      <c r="G30" s="731"/>
      <c r="H30" s="732"/>
      <c r="I30" s="732"/>
      <c r="J30" s="732"/>
      <c r="K30" s="732"/>
      <c r="L30" s="733"/>
      <c r="M30" s="734"/>
      <c r="N30" s="656"/>
      <c r="O30" s="735"/>
      <c r="P30" s="725"/>
      <c r="Q30" s="838">
        <f t="shared" si="0"/>
        <v>0</v>
      </c>
    </row>
    <row r="31" spans="1:17" ht="23.25" customHeight="1" x14ac:dyDescent="0.25">
      <c r="A31" s="726"/>
      <c r="B31" s="727"/>
      <c r="C31" s="728"/>
      <c r="D31" s="729"/>
      <c r="E31" s="730"/>
      <c r="F31" s="720"/>
      <c r="G31" s="731"/>
      <c r="H31" s="732"/>
      <c r="I31" s="732"/>
      <c r="J31" s="732"/>
      <c r="K31" s="732"/>
      <c r="L31" s="733"/>
      <c r="M31" s="734"/>
      <c r="N31" s="656"/>
      <c r="O31" s="735"/>
      <c r="P31" s="725"/>
      <c r="Q31" s="838">
        <f t="shared" si="0"/>
        <v>0</v>
      </c>
    </row>
    <row r="32" spans="1:17" ht="23.25" customHeight="1" x14ac:dyDescent="0.25">
      <c r="A32" s="726"/>
      <c r="B32" s="727"/>
      <c r="C32" s="728"/>
      <c r="D32" s="729"/>
      <c r="E32" s="730"/>
      <c r="F32" s="720"/>
      <c r="G32" s="731"/>
      <c r="H32" s="732"/>
      <c r="I32" s="732"/>
      <c r="J32" s="732"/>
      <c r="K32" s="732"/>
      <c r="L32" s="733"/>
      <c r="M32" s="734"/>
      <c r="N32" s="656"/>
      <c r="O32" s="735"/>
      <c r="P32" s="725"/>
      <c r="Q32" s="838">
        <f t="shared" si="0"/>
        <v>0</v>
      </c>
    </row>
    <row r="33" spans="1:17" ht="23.25" customHeight="1" x14ac:dyDescent="0.25">
      <c r="A33" s="726"/>
      <c r="B33" s="727"/>
      <c r="C33" s="728"/>
      <c r="D33" s="729"/>
      <c r="E33" s="730"/>
      <c r="F33" s="720"/>
      <c r="G33" s="731"/>
      <c r="H33" s="732"/>
      <c r="I33" s="732"/>
      <c r="J33" s="732"/>
      <c r="K33" s="732"/>
      <c r="L33" s="733"/>
      <c r="M33" s="734"/>
      <c r="N33" s="656"/>
      <c r="O33" s="735"/>
      <c r="P33" s="725"/>
      <c r="Q33" s="838">
        <f t="shared" si="0"/>
        <v>0</v>
      </c>
    </row>
    <row r="34" spans="1:17" ht="23.25" customHeight="1" x14ac:dyDescent="0.25">
      <c r="A34" s="726"/>
      <c r="B34" s="727"/>
      <c r="C34" s="728"/>
      <c r="D34" s="729"/>
      <c r="E34" s="730"/>
      <c r="F34" s="720"/>
      <c r="G34" s="731"/>
      <c r="H34" s="732"/>
      <c r="I34" s="732"/>
      <c r="J34" s="732"/>
      <c r="K34" s="732"/>
      <c r="L34" s="733"/>
      <c r="M34" s="734"/>
      <c r="N34" s="656"/>
      <c r="O34" s="735"/>
      <c r="P34" s="725"/>
      <c r="Q34" s="838">
        <f t="shared" si="0"/>
        <v>0</v>
      </c>
    </row>
    <row r="35" spans="1:17" ht="23.25" customHeight="1" x14ac:dyDescent="0.25">
      <c r="A35" s="726"/>
      <c r="B35" s="727"/>
      <c r="C35" s="728"/>
      <c r="D35" s="729"/>
      <c r="E35" s="730"/>
      <c r="F35" s="720"/>
      <c r="G35" s="731"/>
      <c r="H35" s="732"/>
      <c r="I35" s="732"/>
      <c r="J35" s="732"/>
      <c r="K35" s="732"/>
      <c r="L35" s="733"/>
      <c r="M35" s="734"/>
      <c r="N35" s="656"/>
      <c r="O35" s="735"/>
      <c r="P35" s="725"/>
      <c r="Q35" s="838">
        <f t="shared" si="0"/>
        <v>0</v>
      </c>
    </row>
    <row r="36" spans="1:17" ht="23.25" customHeight="1" x14ac:dyDescent="0.25">
      <c r="A36" s="726"/>
      <c r="B36" s="727"/>
      <c r="C36" s="728"/>
      <c r="D36" s="729"/>
      <c r="E36" s="730"/>
      <c r="F36" s="720"/>
      <c r="G36" s="731"/>
      <c r="H36" s="732"/>
      <c r="I36" s="732"/>
      <c r="J36" s="732"/>
      <c r="K36" s="732"/>
      <c r="L36" s="733"/>
      <c r="M36" s="734"/>
      <c r="N36" s="656"/>
      <c r="O36" s="735"/>
      <c r="P36" s="725"/>
      <c r="Q36" s="838">
        <f t="shared" si="0"/>
        <v>0</v>
      </c>
    </row>
    <row r="37" spans="1:17" ht="23.25" customHeight="1" x14ac:dyDescent="0.25">
      <c r="A37" s="726"/>
      <c r="B37" s="727"/>
      <c r="C37" s="728"/>
      <c r="D37" s="729"/>
      <c r="E37" s="730"/>
      <c r="F37" s="720"/>
      <c r="G37" s="731"/>
      <c r="H37" s="732"/>
      <c r="I37" s="732"/>
      <c r="J37" s="732"/>
      <c r="K37" s="732"/>
      <c r="L37" s="733"/>
      <c r="M37" s="734"/>
      <c r="N37" s="656"/>
      <c r="O37" s="735"/>
      <c r="P37" s="725"/>
      <c r="Q37" s="838">
        <f t="shared" si="0"/>
        <v>0</v>
      </c>
    </row>
    <row r="38" spans="1:17" ht="23.25" customHeight="1" x14ac:dyDescent="0.25">
      <c r="A38" s="726"/>
      <c r="B38" s="727"/>
      <c r="C38" s="728"/>
      <c r="D38" s="729"/>
      <c r="E38" s="730"/>
      <c r="F38" s="720"/>
      <c r="G38" s="731"/>
      <c r="H38" s="732"/>
      <c r="I38" s="732"/>
      <c r="J38" s="732"/>
      <c r="K38" s="732"/>
      <c r="L38" s="733"/>
      <c r="M38" s="734"/>
      <c r="N38" s="656"/>
      <c r="O38" s="735"/>
      <c r="P38" s="725"/>
      <c r="Q38" s="838">
        <f t="shared" si="0"/>
        <v>0</v>
      </c>
    </row>
    <row r="39" spans="1:17" ht="23.25" customHeight="1" x14ac:dyDescent="0.25">
      <c r="A39" s="726"/>
      <c r="B39" s="727"/>
      <c r="C39" s="728"/>
      <c r="D39" s="729"/>
      <c r="E39" s="730"/>
      <c r="F39" s="720"/>
      <c r="G39" s="731"/>
      <c r="H39" s="732"/>
      <c r="I39" s="732"/>
      <c r="J39" s="732"/>
      <c r="K39" s="732"/>
      <c r="L39" s="733"/>
      <c r="M39" s="734"/>
      <c r="N39" s="656"/>
      <c r="O39" s="735"/>
      <c r="P39" s="725"/>
      <c r="Q39" s="838">
        <f t="shared" si="0"/>
        <v>0</v>
      </c>
    </row>
    <row r="40" spans="1:17" ht="23.25" customHeight="1" x14ac:dyDescent="0.25">
      <c r="A40" s="726"/>
      <c r="B40" s="727"/>
      <c r="C40" s="728"/>
      <c r="D40" s="729"/>
      <c r="E40" s="730"/>
      <c r="F40" s="720"/>
      <c r="G40" s="731"/>
      <c r="H40" s="732"/>
      <c r="I40" s="732"/>
      <c r="J40" s="732"/>
      <c r="K40" s="732"/>
      <c r="L40" s="733"/>
      <c r="M40" s="734"/>
      <c r="N40" s="656"/>
      <c r="O40" s="735"/>
      <c r="P40" s="725"/>
      <c r="Q40" s="838">
        <f t="shared" si="0"/>
        <v>0</v>
      </c>
    </row>
    <row r="41" spans="1:17" ht="23.25" customHeight="1" x14ac:dyDescent="0.25">
      <c r="A41" s="726"/>
      <c r="B41" s="727"/>
      <c r="C41" s="728"/>
      <c r="D41" s="729"/>
      <c r="E41" s="730"/>
      <c r="F41" s="720"/>
      <c r="G41" s="731"/>
      <c r="H41" s="732"/>
      <c r="I41" s="732"/>
      <c r="J41" s="732"/>
      <c r="K41" s="732"/>
      <c r="L41" s="733"/>
      <c r="M41" s="734"/>
      <c r="N41" s="656"/>
      <c r="O41" s="735"/>
      <c r="P41" s="725"/>
      <c r="Q41" s="838">
        <f t="shared" si="0"/>
        <v>0</v>
      </c>
    </row>
    <row r="42" spans="1:17" ht="23.25" customHeight="1" x14ac:dyDescent="0.25">
      <c r="A42" s="726"/>
      <c r="B42" s="727"/>
      <c r="C42" s="728"/>
      <c r="D42" s="729"/>
      <c r="E42" s="730"/>
      <c r="F42" s="720"/>
      <c r="G42" s="731"/>
      <c r="H42" s="732"/>
      <c r="I42" s="732"/>
      <c r="J42" s="732"/>
      <c r="K42" s="732"/>
      <c r="L42" s="733"/>
      <c r="M42" s="734"/>
      <c r="N42" s="656"/>
      <c r="O42" s="735"/>
      <c r="P42" s="725"/>
      <c r="Q42" s="838">
        <f t="shared" si="0"/>
        <v>0</v>
      </c>
    </row>
    <row r="43" spans="1:17" ht="23.25" customHeight="1" x14ac:dyDescent="0.25">
      <c r="A43" s="726"/>
      <c r="B43" s="727"/>
      <c r="C43" s="728"/>
      <c r="D43" s="729"/>
      <c r="E43" s="730"/>
      <c r="F43" s="720"/>
      <c r="G43" s="731"/>
      <c r="H43" s="732"/>
      <c r="I43" s="732"/>
      <c r="J43" s="732"/>
      <c r="K43" s="732"/>
      <c r="L43" s="733"/>
      <c r="M43" s="734"/>
      <c r="N43" s="656"/>
      <c r="O43" s="735"/>
      <c r="P43" s="725"/>
      <c r="Q43" s="838">
        <f t="shared" si="0"/>
        <v>0</v>
      </c>
    </row>
    <row r="44" spans="1:17" ht="23.25" customHeight="1" x14ac:dyDescent="0.25">
      <c r="A44" s="726"/>
      <c r="B44" s="727"/>
      <c r="C44" s="728"/>
      <c r="D44" s="729"/>
      <c r="E44" s="730"/>
      <c r="F44" s="720"/>
      <c r="G44" s="731"/>
      <c r="H44" s="732"/>
      <c r="I44" s="732"/>
      <c r="J44" s="732"/>
      <c r="K44" s="732"/>
      <c r="L44" s="733"/>
      <c r="M44" s="734"/>
      <c r="N44" s="656"/>
      <c r="O44" s="735"/>
      <c r="P44" s="725"/>
      <c r="Q44" s="838">
        <f t="shared" si="0"/>
        <v>0</v>
      </c>
    </row>
    <row r="45" spans="1:17" ht="23.25" customHeight="1" x14ac:dyDescent="0.25">
      <c r="A45" s="726"/>
      <c r="B45" s="727"/>
      <c r="C45" s="728"/>
      <c r="D45" s="729"/>
      <c r="E45" s="730"/>
      <c r="F45" s="720"/>
      <c r="G45" s="731"/>
      <c r="H45" s="732"/>
      <c r="I45" s="732"/>
      <c r="J45" s="732"/>
      <c r="K45" s="732"/>
      <c r="L45" s="733"/>
      <c r="M45" s="734"/>
      <c r="N45" s="656"/>
      <c r="O45" s="735"/>
      <c r="P45" s="725"/>
      <c r="Q45" s="838">
        <f t="shared" si="0"/>
        <v>0</v>
      </c>
    </row>
    <row r="46" spans="1:17" ht="23.25" customHeight="1" x14ac:dyDescent="0.25">
      <c r="A46" s="726"/>
      <c r="B46" s="727"/>
      <c r="C46" s="728"/>
      <c r="D46" s="729"/>
      <c r="E46" s="730"/>
      <c r="F46" s="720"/>
      <c r="G46" s="731"/>
      <c r="H46" s="732"/>
      <c r="I46" s="732"/>
      <c r="J46" s="732"/>
      <c r="K46" s="732"/>
      <c r="L46" s="733"/>
      <c r="M46" s="734"/>
      <c r="N46" s="656"/>
      <c r="O46" s="735"/>
      <c r="P46" s="725"/>
      <c r="Q46" s="838">
        <f t="shared" si="0"/>
        <v>0</v>
      </c>
    </row>
    <row r="47" spans="1:17" ht="23.25" customHeight="1" x14ac:dyDescent="0.25">
      <c r="A47" s="726"/>
      <c r="B47" s="727"/>
      <c r="C47" s="728"/>
      <c r="D47" s="729"/>
      <c r="E47" s="730"/>
      <c r="F47" s="720"/>
      <c r="G47" s="731"/>
      <c r="H47" s="732"/>
      <c r="I47" s="732"/>
      <c r="J47" s="732"/>
      <c r="K47" s="732"/>
      <c r="L47" s="733"/>
      <c r="M47" s="734"/>
      <c r="N47" s="656"/>
      <c r="O47" s="735"/>
      <c r="P47" s="725"/>
      <c r="Q47" s="838">
        <f t="shared" si="0"/>
        <v>0</v>
      </c>
    </row>
    <row r="48" spans="1:17" ht="23.25" customHeight="1" x14ac:dyDescent="0.25">
      <c r="A48" s="726"/>
      <c r="B48" s="727"/>
      <c r="C48" s="728"/>
      <c r="D48" s="729"/>
      <c r="E48" s="730"/>
      <c r="F48" s="720"/>
      <c r="G48" s="731"/>
      <c r="H48" s="732"/>
      <c r="I48" s="732"/>
      <c r="J48" s="732"/>
      <c r="K48" s="732"/>
      <c r="L48" s="733"/>
      <c r="M48" s="734"/>
      <c r="N48" s="656"/>
      <c r="O48" s="735"/>
      <c r="P48" s="725"/>
      <c r="Q48" s="838">
        <f t="shared" si="0"/>
        <v>0</v>
      </c>
    </row>
    <row r="49" spans="1:17" ht="23.25" customHeight="1" x14ac:dyDescent="0.25">
      <c r="A49" s="726"/>
      <c r="B49" s="727"/>
      <c r="C49" s="728"/>
      <c r="D49" s="729"/>
      <c r="E49" s="730"/>
      <c r="F49" s="720"/>
      <c r="G49" s="731"/>
      <c r="H49" s="732"/>
      <c r="I49" s="732"/>
      <c r="J49" s="732"/>
      <c r="K49" s="732"/>
      <c r="L49" s="733"/>
      <c r="M49" s="734"/>
      <c r="N49" s="656"/>
      <c r="O49" s="735"/>
      <c r="P49" s="725"/>
      <c r="Q49" s="838">
        <f t="shared" si="0"/>
        <v>0</v>
      </c>
    </row>
    <row r="50" spans="1:17" ht="23.25" customHeight="1" x14ac:dyDescent="0.25">
      <c r="A50" s="726"/>
      <c r="B50" s="727"/>
      <c r="C50" s="728"/>
      <c r="D50" s="729"/>
      <c r="E50" s="730"/>
      <c r="F50" s="720"/>
      <c r="G50" s="731"/>
      <c r="H50" s="732"/>
      <c r="I50" s="732"/>
      <c r="J50" s="732"/>
      <c r="K50" s="732"/>
      <c r="L50" s="733"/>
      <c r="M50" s="734"/>
      <c r="N50" s="656"/>
      <c r="O50" s="735"/>
      <c r="P50" s="725"/>
      <c r="Q50" s="838">
        <f t="shared" si="0"/>
        <v>0</v>
      </c>
    </row>
    <row r="51" spans="1:17" ht="23.25" customHeight="1" x14ac:dyDescent="0.25">
      <c r="A51" s="726"/>
      <c r="B51" s="727"/>
      <c r="C51" s="728"/>
      <c r="D51" s="729"/>
      <c r="E51" s="730"/>
      <c r="F51" s="720"/>
      <c r="G51" s="731"/>
      <c r="H51" s="732"/>
      <c r="I51" s="732"/>
      <c r="J51" s="732"/>
      <c r="K51" s="732"/>
      <c r="L51" s="733"/>
      <c r="M51" s="734"/>
      <c r="N51" s="656"/>
      <c r="O51" s="735"/>
      <c r="P51" s="725"/>
      <c r="Q51" s="838">
        <f t="shared" si="0"/>
        <v>0</v>
      </c>
    </row>
    <row r="52" spans="1:17" ht="23.25" customHeight="1" x14ac:dyDescent="0.25">
      <c r="A52" s="726"/>
      <c r="B52" s="727"/>
      <c r="C52" s="728"/>
      <c r="D52" s="729"/>
      <c r="E52" s="730"/>
      <c r="F52" s="720"/>
      <c r="G52" s="731"/>
      <c r="H52" s="732"/>
      <c r="I52" s="732"/>
      <c r="J52" s="732"/>
      <c r="K52" s="732"/>
      <c r="L52" s="733"/>
      <c r="M52" s="734"/>
      <c r="N52" s="656"/>
      <c r="O52" s="735"/>
      <c r="P52" s="725"/>
      <c r="Q52" s="838">
        <f t="shared" si="0"/>
        <v>0</v>
      </c>
    </row>
    <row r="53" spans="1:17" ht="23.25" customHeight="1" x14ac:dyDescent="0.25">
      <c r="A53" s="726"/>
      <c r="B53" s="727"/>
      <c r="C53" s="728"/>
      <c r="D53" s="729"/>
      <c r="E53" s="730"/>
      <c r="F53" s="720"/>
      <c r="G53" s="731"/>
      <c r="H53" s="732"/>
      <c r="I53" s="732"/>
      <c r="J53" s="732"/>
      <c r="K53" s="732"/>
      <c r="L53" s="733"/>
      <c r="M53" s="734"/>
      <c r="N53" s="656"/>
      <c r="O53" s="735"/>
      <c r="P53" s="725"/>
      <c r="Q53" s="838">
        <f t="shared" si="0"/>
        <v>0</v>
      </c>
    </row>
    <row r="54" spans="1:17" ht="23.25" customHeight="1" x14ac:dyDescent="0.25">
      <c r="A54" s="726"/>
      <c r="B54" s="727"/>
      <c r="C54" s="728"/>
      <c r="D54" s="729"/>
      <c r="E54" s="730"/>
      <c r="F54" s="720"/>
      <c r="G54" s="731"/>
      <c r="H54" s="732"/>
      <c r="I54" s="732"/>
      <c r="J54" s="732"/>
      <c r="K54" s="732"/>
      <c r="L54" s="733"/>
      <c r="M54" s="734"/>
      <c r="N54" s="656"/>
      <c r="O54" s="735"/>
      <c r="P54" s="725"/>
      <c r="Q54" s="838">
        <f t="shared" si="0"/>
        <v>0</v>
      </c>
    </row>
    <row r="55" spans="1:17" ht="23.25" customHeight="1" x14ac:dyDescent="0.25">
      <c r="A55" s="726"/>
      <c r="B55" s="727"/>
      <c r="C55" s="728"/>
      <c r="D55" s="729"/>
      <c r="E55" s="730"/>
      <c r="F55" s="720"/>
      <c r="G55" s="731"/>
      <c r="H55" s="732"/>
      <c r="I55" s="732"/>
      <c r="J55" s="732"/>
      <c r="K55" s="732"/>
      <c r="L55" s="733"/>
      <c r="M55" s="734"/>
      <c r="N55" s="656"/>
      <c r="O55" s="735"/>
      <c r="P55" s="725"/>
      <c r="Q55" s="838">
        <f t="shared" si="0"/>
        <v>0</v>
      </c>
    </row>
    <row r="56" spans="1:17" ht="23.25" customHeight="1" x14ac:dyDescent="0.25">
      <c r="A56" s="726"/>
      <c r="B56" s="727"/>
      <c r="C56" s="728"/>
      <c r="D56" s="729"/>
      <c r="E56" s="730"/>
      <c r="F56" s="720"/>
      <c r="G56" s="731"/>
      <c r="H56" s="732"/>
      <c r="I56" s="732"/>
      <c r="J56" s="732"/>
      <c r="K56" s="732"/>
      <c r="L56" s="733"/>
      <c r="M56" s="734"/>
      <c r="N56" s="656"/>
      <c r="O56" s="735"/>
      <c r="P56" s="725"/>
      <c r="Q56" s="838">
        <f t="shared" si="0"/>
        <v>0</v>
      </c>
    </row>
    <row r="57" spans="1:17" ht="23.25" customHeight="1" x14ac:dyDescent="0.25">
      <c r="A57" s="726"/>
      <c r="B57" s="727"/>
      <c r="C57" s="728"/>
      <c r="D57" s="729"/>
      <c r="E57" s="730"/>
      <c r="F57" s="720"/>
      <c r="G57" s="731"/>
      <c r="H57" s="732"/>
      <c r="I57" s="732"/>
      <c r="J57" s="732"/>
      <c r="K57" s="732"/>
      <c r="L57" s="733"/>
      <c r="M57" s="734"/>
      <c r="N57" s="656"/>
      <c r="O57" s="735"/>
      <c r="P57" s="725"/>
      <c r="Q57" s="838">
        <f t="shared" si="0"/>
        <v>0</v>
      </c>
    </row>
    <row r="58" spans="1:17" ht="23.25" customHeight="1" x14ac:dyDescent="0.25">
      <c r="A58" s="726"/>
      <c r="B58" s="727"/>
      <c r="C58" s="728"/>
      <c r="D58" s="729"/>
      <c r="E58" s="730"/>
      <c r="F58" s="720"/>
      <c r="G58" s="731"/>
      <c r="H58" s="732"/>
      <c r="I58" s="732"/>
      <c r="J58" s="732"/>
      <c r="K58" s="732"/>
      <c r="L58" s="733"/>
      <c r="M58" s="734"/>
      <c r="N58" s="656"/>
      <c r="O58" s="735"/>
      <c r="P58" s="725"/>
      <c r="Q58" s="838">
        <f t="shared" si="0"/>
        <v>0</v>
      </c>
    </row>
    <row r="59" spans="1:17" ht="23.25" customHeight="1" x14ac:dyDescent="0.25">
      <c r="A59" s="726"/>
      <c r="B59" s="727"/>
      <c r="C59" s="728"/>
      <c r="D59" s="729"/>
      <c r="E59" s="730"/>
      <c r="F59" s="720"/>
      <c r="G59" s="731"/>
      <c r="H59" s="732"/>
      <c r="I59" s="732"/>
      <c r="J59" s="732"/>
      <c r="K59" s="732"/>
      <c r="L59" s="733"/>
      <c r="M59" s="734"/>
      <c r="N59" s="656"/>
      <c r="O59" s="735"/>
      <c r="P59" s="725"/>
      <c r="Q59" s="838">
        <f t="shared" si="0"/>
        <v>0</v>
      </c>
    </row>
    <row r="60" spans="1:17" ht="23.25" customHeight="1" x14ac:dyDescent="0.25">
      <c r="A60" s="726"/>
      <c r="B60" s="727"/>
      <c r="C60" s="728"/>
      <c r="D60" s="729"/>
      <c r="E60" s="730"/>
      <c r="F60" s="720"/>
      <c r="G60" s="731"/>
      <c r="H60" s="732"/>
      <c r="I60" s="732"/>
      <c r="J60" s="732"/>
      <c r="K60" s="732"/>
      <c r="L60" s="733"/>
      <c r="M60" s="734"/>
      <c r="N60" s="656"/>
      <c r="O60" s="735"/>
      <c r="P60" s="725"/>
      <c r="Q60" s="838">
        <f t="shared" si="0"/>
        <v>0</v>
      </c>
    </row>
    <row r="61" spans="1:17" ht="23.25" customHeight="1" x14ac:dyDescent="0.25">
      <c r="A61" s="726"/>
      <c r="B61" s="727"/>
      <c r="C61" s="728"/>
      <c r="D61" s="729"/>
      <c r="E61" s="730"/>
      <c r="F61" s="720"/>
      <c r="G61" s="731"/>
      <c r="H61" s="732"/>
      <c r="I61" s="732"/>
      <c r="J61" s="732"/>
      <c r="K61" s="732"/>
      <c r="L61" s="733"/>
      <c r="M61" s="734"/>
      <c r="N61" s="656"/>
      <c r="O61" s="735"/>
      <c r="P61" s="725"/>
      <c r="Q61" s="838">
        <f t="shared" si="0"/>
        <v>0</v>
      </c>
    </row>
    <row r="62" spans="1:17" ht="23.25" customHeight="1" x14ac:dyDescent="0.25">
      <c r="A62" s="726"/>
      <c r="B62" s="727"/>
      <c r="C62" s="728"/>
      <c r="D62" s="729"/>
      <c r="E62" s="730"/>
      <c r="F62" s="720"/>
      <c r="G62" s="731"/>
      <c r="H62" s="732"/>
      <c r="I62" s="732"/>
      <c r="J62" s="732"/>
      <c r="K62" s="732"/>
      <c r="L62" s="733"/>
      <c r="M62" s="734"/>
      <c r="N62" s="656"/>
      <c r="O62" s="735"/>
      <c r="P62" s="725"/>
      <c r="Q62" s="838">
        <f t="shared" si="0"/>
        <v>0</v>
      </c>
    </row>
    <row r="63" spans="1:17" ht="23.25" customHeight="1" x14ac:dyDescent="0.25">
      <c r="A63" s="726"/>
      <c r="B63" s="727"/>
      <c r="C63" s="728"/>
      <c r="D63" s="729"/>
      <c r="E63" s="730"/>
      <c r="F63" s="720"/>
      <c r="G63" s="731"/>
      <c r="H63" s="732"/>
      <c r="I63" s="732"/>
      <c r="J63" s="732"/>
      <c r="K63" s="732"/>
      <c r="L63" s="733"/>
      <c r="M63" s="734"/>
      <c r="N63" s="656"/>
      <c r="O63" s="735"/>
      <c r="P63" s="725"/>
      <c r="Q63" s="838">
        <f t="shared" si="0"/>
        <v>0</v>
      </c>
    </row>
    <row r="64" spans="1:17" ht="23.25" customHeight="1" x14ac:dyDescent="0.25">
      <c r="A64" s="726"/>
      <c r="B64" s="727"/>
      <c r="C64" s="728"/>
      <c r="D64" s="729"/>
      <c r="E64" s="730"/>
      <c r="F64" s="720"/>
      <c r="G64" s="731"/>
      <c r="H64" s="732"/>
      <c r="I64" s="732"/>
      <c r="J64" s="732"/>
      <c r="K64" s="732"/>
      <c r="L64" s="733"/>
      <c r="M64" s="734"/>
      <c r="N64" s="656"/>
      <c r="O64" s="735"/>
      <c r="P64" s="725"/>
      <c r="Q64" s="838">
        <f t="shared" si="0"/>
        <v>0</v>
      </c>
    </row>
    <row r="65" spans="1:17" ht="23.25" customHeight="1" x14ac:dyDescent="0.25">
      <c r="A65" s="726"/>
      <c r="B65" s="727"/>
      <c r="C65" s="728"/>
      <c r="D65" s="729"/>
      <c r="E65" s="730"/>
      <c r="F65" s="720"/>
      <c r="G65" s="731"/>
      <c r="H65" s="732"/>
      <c r="I65" s="732"/>
      <c r="J65" s="732"/>
      <c r="K65" s="732"/>
      <c r="L65" s="733"/>
      <c r="M65" s="734"/>
      <c r="N65" s="656"/>
      <c r="O65" s="735"/>
      <c r="P65" s="725"/>
      <c r="Q65" s="838">
        <f t="shared" si="0"/>
        <v>0</v>
      </c>
    </row>
    <row r="66" spans="1:17" ht="23.25" customHeight="1" x14ac:dyDescent="0.25">
      <c r="A66" s="726"/>
      <c r="B66" s="727"/>
      <c r="C66" s="728"/>
      <c r="D66" s="729"/>
      <c r="E66" s="730"/>
      <c r="F66" s="720"/>
      <c r="G66" s="731"/>
      <c r="H66" s="732"/>
      <c r="I66" s="732"/>
      <c r="J66" s="732"/>
      <c r="K66" s="732"/>
      <c r="L66" s="733"/>
      <c r="M66" s="734"/>
      <c r="N66" s="656"/>
      <c r="O66" s="735"/>
      <c r="P66" s="725"/>
      <c r="Q66" s="838">
        <f t="shared" si="0"/>
        <v>0</v>
      </c>
    </row>
    <row r="67" spans="1:17" ht="23.25" customHeight="1" x14ac:dyDescent="0.25">
      <c r="A67" s="726"/>
      <c r="B67" s="727"/>
      <c r="C67" s="728"/>
      <c r="D67" s="729"/>
      <c r="E67" s="730"/>
      <c r="F67" s="720"/>
      <c r="G67" s="731"/>
      <c r="H67" s="732"/>
      <c r="I67" s="732"/>
      <c r="J67" s="732"/>
      <c r="K67" s="732"/>
      <c r="L67" s="733"/>
      <c r="M67" s="734"/>
      <c r="N67" s="656"/>
      <c r="O67" s="735"/>
      <c r="P67" s="725"/>
      <c r="Q67" s="838">
        <f t="shared" si="0"/>
        <v>0</v>
      </c>
    </row>
    <row r="68" spans="1:17" ht="23.25" customHeight="1" x14ac:dyDescent="0.25">
      <c r="A68" s="726"/>
      <c r="B68" s="727"/>
      <c r="C68" s="728"/>
      <c r="D68" s="729"/>
      <c r="E68" s="730"/>
      <c r="F68" s="720"/>
      <c r="G68" s="731"/>
      <c r="H68" s="732"/>
      <c r="I68" s="732"/>
      <c r="J68" s="732"/>
      <c r="K68" s="732"/>
      <c r="L68" s="733"/>
      <c r="M68" s="734"/>
      <c r="N68" s="656"/>
      <c r="O68" s="735"/>
      <c r="P68" s="725"/>
      <c r="Q68" s="838">
        <f t="shared" si="0"/>
        <v>0</v>
      </c>
    </row>
    <row r="69" spans="1:17" ht="23.25" customHeight="1" x14ac:dyDescent="0.25">
      <c r="A69" s="726"/>
      <c r="B69" s="727"/>
      <c r="C69" s="728"/>
      <c r="D69" s="729"/>
      <c r="E69" s="730"/>
      <c r="F69" s="720"/>
      <c r="G69" s="731"/>
      <c r="H69" s="732"/>
      <c r="I69" s="732"/>
      <c r="J69" s="732"/>
      <c r="K69" s="732"/>
      <c r="L69" s="733"/>
      <c r="M69" s="734"/>
      <c r="N69" s="656"/>
      <c r="O69" s="735"/>
      <c r="P69" s="725"/>
      <c r="Q69" s="838">
        <f t="shared" ref="Q69:Q84" si="1">SUM(G69:O69)</f>
        <v>0</v>
      </c>
    </row>
    <row r="70" spans="1:17" ht="23.25" customHeight="1" x14ac:dyDescent="0.25">
      <c r="A70" s="726"/>
      <c r="B70" s="727"/>
      <c r="C70" s="728"/>
      <c r="D70" s="729"/>
      <c r="E70" s="730"/>
      <c r="F70" s="720"/>
      <c r="G70" s="731"/>
      <c r="H70" s="732"/>
      <c r="I70" s="732"/>
      <c r="J70" s="732"/>
      <c r="K70" s="732"/>
      <c r="L70" s="733"/>
      <c r="M70" s="734"/>
      <c r="N70" s="656"/>
      <c r="O70" s="735"/>
      <c r="P70" s="725"/>
      <c r="Q70" s="838">
        <f t="shared" si="1"/>
        <v>0</v>
      </c>
    </row>
    <row r="71" spans="1:17" ht="23.25" customHeight="1" x14ac:dyDescent="0.25">
      <c r="A71" s="726"/>
      <c r="B71" s="727"/>
      <c r="C71" s="728"/>
      <c r="D71" s="729"/>
      <c r="E71" s="730"/>
      <c r="F71" s="720"/>
      <c r="G71" s="731"/>
      <c r="H71" s="732"/>
      <c r="I71" s="732"/>
      <c r="J71" s="732"/>
      <c r="K71" s="732"/>
      <c r="L71" s="733"/>
      <c r="M71" s="734"/>
      <c r="N71" s="656"/>
      <c r="O71" s="735"/>
      <c r="P71" s="725"/>
      <c r="Q71" s="838">
        <f t="shared" si="1"/>
        <v>0</v>
      </c>
    </row>
    <row r="72" spans="1:17" ht="23.25" customHeight="1" x14ac:dyDescent="0.25">
      <c r="A72" s="726"/>
      <c r="B72" s="727"/>
      <c r="C72" s="728"/>
      <c r="D72" s="729"/>
      <c r="E72" s="730"/>
      <c r="F72" s="720"/>
      <c r="G72" s="731"/>
      <c r="H72" s="732"/>
      <c r="I72" s="732"/>
      <c r="J72" s="732"/>
      <c r="K72" s="732"/>
      <c r="L72" s="733"/>
      <c r="M72" s="734"/>
      <c r="N72" s="656"/>
      <c r="O72" s="735"/>
      <c r="P72" s="725"/>
      <c r="Q72" s="838">
        <f t="shared" si="1"/>
        <v>0</v>
      </c>
    </row>
    <row r="73" spans="1:17" ht="23.25" customHeight="1" x14ac:dyDescent="0.25">
      <c r="A73" s="726"/>
      <c r="B73" s="727"/>
      <c r="C73" s="728"/>
      <c r="D73" s="729"/>
      <c r="E73" s="730"/>
      <c r="F73" s="720"/>
      <c r="G73" s="731"/>
      <c r="H73" s="732"/>
      <c r="I73" s="732"/>
      <c r="J73" s="732"/>
      <c r="K73" s="732"/>
      <c r="L73" s="733"/>
      <c r="M73" s="734"/>
      <c r="N73" s="656"/>
      <c r="O73" s="735"/>
      <c r="P73" s="725"/>
      <c r="Q73" s="838">
        <f t="shared" si="1"/>
        <v>0</v>
      </c>
    </row>
    <row r="74" spans="1:17" ht="23.25" customHeight="1" x14ac:dyDescent="0.25">
      <c r="A74" s="726"/>
      <c r="B74" s="727"/>
      <c r="C74" s="728"/>
      <c r="D74" s="729"/>
      <c r="E74" s="730"/>
      <c r="F74" s="720"/>
      <c r="G74" s="731"/>
      <c r="H74" s="732"/>
      <c r="I74" s="732"/>
      <c r="J74" s="732"/>
      <c r="K74" s="732"/>
      <c r="L74" s="733"/>
      <c r="M74" s="734"/>
      <c r="N74" s="656"/>
      <c r="O74" s="735"/>
      <c r="P74" s="725"/>
      <c r="Q74" s="838">
        <f t="shared" si="1"/>
        <v>0</v>
      </c>
    </row>
    <row r="75" spans="1:17" ht="23.25" customHeight="1" x14ac:dyDescent="0.25">
      <c r="A75" s="726"/>
      <c r="B75" s="727"/>
      <c r="C75" s="728"/>
      <c r="D75" s="729"/>
      <c r="E75" s="730"/>
      <c r="F75" s="720"/>
      <c r="G75" s="731"/>
      <c r="H75" s="732"/>
      <c r="I75" s="732"/>
      <c r="J75" s="732"/>
      <c r="K75" s="732"/>
      <c r="L75" s="733"/>
      <c r="M75" s="734"/>
      <c r="N75" s="656"/>
      <c r="O75" s="735"/>
      <c r="P75" s="725"/>
      <c r="Q75" s="838">
        <f t="shared" si="1"/>
        <v>0</v>
      </c>
    </row>
    <row r="76" spans="1:17" ht="23.25" customHeight="1" x14ac:dyDescent="0.25">
      <c r="A76" s="726"/>
      <c r="B76" s="727"/>
      <c r="C76" s="728"/>
      <c r="D76" s="729"/>
      <c r="E76" s="730"/>
      <c r="F76" s="720"/>
      <c r="G76" s="731"/>
      <c r="H76" s="732"/>
      <c r="I76" s="732"/>
      <c r="J76" s="732"/>
      <c r="K76" s="732"/>
      <c r="L76" s="733"/>
      <c r="M76" s="734"/>
      <c r="N76" s="656"/>
      <c r="O76" s="735"/>
      <c r="P76" s="725"/>
      <c r="Q76" s="838">
        <f t="shared" si="1"/>
        <v>0</v>
      </c>
    </row>
    <row r="77" spans="1:17" ht="23.25" customHeight="1" x14ac:dyDescent="0.25">
      <c r="A77" s="726"/>
      <c r="B77" s="727"/>
      <c r="C77" s="728"/>
      <c r="D77" s="729"/>
      <c r="E77" s="730"/>
      <c r="F77" s="720"/>
      <c r="G77" s="731"/>
      <c r="H77" s="732"/>
      <c r="I77" s="732"/>
      <c r="J77" s="732"/>
      <c r="K77" s="732"/>
      <c r="L77" s="733"/>
      <c r="M77" s="734"/>
      <c r="N77" s="656"/>
      <c r="O77" s="735"/>
      <c r="P77" s="725"/>
      <c r="Q77" s="838">
        <f t="shared" si="1"/>
        <v>0</v>
      </c>
    </row>
    <row r="78" spans="1:17" ht="23.25" customHeight="1" x14ac:dyDescent="0.25">
      <c r="A78" s="726"/>
      <c r="B78" s="727"/>
      <c r="C78" s="728"/>
      <c r="D78" s="729"/>
      <c r="E78" s="730"/>
      <c r="F78" s="720"/>
      <c r="G78" s="731"/>
      <c r="H78" s="732"/>
      <c r="I78" s="732"/>
      <c r="J78" s="732"/>
      <c r="K78" s="732"/>
      <c r="L78" s="733"/>
      <c r="M78" s="734"/>
      <c r="N78" s="656"/>
      <c r="O78" s="735"/>
      <c r="P78" s="725"/>
      <c r="Q78" s="838">
        <f t="shared" si="1"/>
        <v>0</v>
      </c>
    </row>
    <row r="79" spans="1:17" ht="23.25" customHeight="1" x14ac:dyDescent="0.25">
      <c r="A79" s="726"/>
      <c r="B79" s="727"/>
      <c r="C79" s="728"/>
      <c r="D79" s="729"/>
      <c r="E79" s="730"/>
      <c r="F79" s="720"/>
      <c r="G79" s="731"/>
      <c r="H79" s="732"/>
      <c r="I79" s="732"/>
      <c r="J79" s="732"/>
      <c r="K79" s="732"/>
      <c r="L79" s="733"/>
      <c r="M79" s="734"/>
      <c r="N79" s="656"/>
      <c r="O79" s="735"/>
      <c r="P79" s="725"/>
      <c r="Q79" s="838">
        <f t="shared" si="1"/>
        <v>0</v>
      </c>
    </row>
    <row r="80" spans="1:17" ht="23.25" customHeight="1" x14ac:dyDescent="0.25">
      <c r="A80" s="726"/>
      <c r="B80" s="727"/>
      <c r="C80" s="728"/>
      <c r="D80" s="729"/>
      <c r="E80" s="730"/>
      <c r="F80" s="720"/>
      <c r="G80" s="731"/>
      <c r="H80" s="732"/>
      <c r="I80" s="732"/>
      <c r="J80" s="732"/>
      <c r="K80" s="732"/>
      <c r="L80" s="733"/>
      <c r="M80" s="734"/>
      <c r="N80" s="656"/>
      <c r="O80" s="735"/>
      <c r="P80" s="725"/>
      <c r="Q80" s="838">
        <f t="shared" si="1"/>
        <v>0</v>
      </c>
    </row>
    <row r="81" spans="1:17" ht="23.25" customHeight="1" x14ac:dyDescent="0.25">
      <c r="A81" s="726"/>
      <c r="B81" s="727"/>
      <c r="C81" s="728"/>
      <c r="D81" s="729"/>
      <c r="E81" s="730"/>
      <c r="F81" s="720"/>
      <c r="G81" s="731"/>
      <c r="H81" s="732"/>
      <c r="I81" s="732"/>
      <c r="J81" s="732"/>
      <c r="K81" s="732"/>
      <c r="L81" s="733"/>
      <c r="M81" s="734"/>
      <c r="N81" s="656"/>
      <c r="O81" s="735"/>
      <c r="P81" s="725"/>
      <c r="Q81" s="838">
        <f t="shared" si="1"/>
        <v>0</v>
      </c>
    </row>
    <row r="82" spans="1:17" ht="23.25" customHeight="1" x14ac:dyDescent="0.25">
      <c r="A82" s="726"/>
      <c r="B82" s="727"/>
      <c r="C82" s="728"/>
      <c r="D82" s="729"/>
      <c r="E82" s="730"/>
      <c r="F82" s="720"/>
      <c r="G82" s="731"/>
      <c r="H82" s="732"/>
      <c r="I82" s="732"/>
      <c r="J82" s="732"/>
      <c r="K82" s="732"/>
      <c r="L82" s="733"/>
      <c r="M82" s="734"/>
      <c r="N82" s="656"/>
      <c r="O82" s="735"/>
      <c r="P82" s="725"/>
      <c r="Q82" s="838">
        <f t="shared" si="1"/>
        <v>0</v>
      </c>
    </row>
    <row r="83" spans="1:17" ht="23.25" customHeight="1" x14ac:dyDescent="0.25">
      <c r="A83" s="726"/>
      <c r="B83" s="727"/>
      <c r="C83" s="728"/>
      <c r="D83" s="729"/>
      <c r="E83" s="730"/>
      <c r="F83" s="720"/>
      <c r="G83" s="731"/>
      <c r="H83" s="732"/>
      <c r="I83" s="732"/>
      <c r="J83" s="732"/>
      <c r="K83" s="732"/>
      <c r="L83" s="733"/>
      <c r="M83" s="734"/>
      <c r="N83" s="656"/>
      <c r="O83" s="735"/>
      <c r="P83" s="725"/>
      <c r="Q83" s="838">
        <f t="shared" si="1"/>
        <v>0</v>
      </c>
    </row>
    <row r="84" spans="1:17" ht="23.25" customHeight="1" thickBot="1" x14ac:dyDescent="0.3">
      <c r="A84" s="737"/>
      <c r="B84" s="738"/>
      <c r="C84" s="739"/>
      <c r="D84" s="740"/>
      <c r="E84" s="741"/>
      <c r="F84" s="720"/>
      <c r="G84" s="742"/>
      <c r="H84" s="743"/>
      <c r="I84" s="743"/>
      <c r="J84" s="743"/>
      <c r="K84" s="743"/>
      <c r="L84" s="744"/>
      <c r="M84" s="745"/>
      <c r="N84" s="656"/>
      <c r="O84" s="746"/>
      <c r="P84" s="725"/>
      <c r="Q84" s="862">
        <f t="shared" si="1"/>
        <v>0</v>
      </c>
    </row>
    <row r="85" spans="1:17" s="708" customFormat="1" ht="16.5" thickTop="1" thickBot="1" x14ac:dyDescent="0.3">
      <c r="B85" s="709"/>
      <c r="C85" s="758"/>
      <c r="D85" s="759"/>
      <c r="E85" s="709" t="s">
        <v>730</v>
      </c>
      <c r="F85" s="701"/>
      <c r="G85" s="748">
        <f t="shared" ref="G85:M85" si="2">SUM(G5:G84)</f>
        <v>0</v>
      </c>
      <c r="H85" s="747">
        <f t="shared" si="2"/>
        <v>0</v>
      </c>
      <c r="I85" s="747">
        <f t="shared" si="2"/>
        <v>0</v>
      </c>
      <c r="J85" s="748">
        <f t="shared" si="2"/>
        <v>0</v>
      </c>
      <c r="K85" s="748">
        <f t="shared" si="2"/>
        <v>0</v>
      </c>
      <c r="L85" s="749">
        <f t="shared" si="2"/>
        <v>0</v>
      </c>
      <c r="M85" s="750">
        <f t="shared" si="2"/>
        <v>0</v>
      </c>
      <c r="N85" s="751"/>
      <c r="O85" s="752">
        <f>SUM(O5:O84)</f>
        <v>0</v>
      </c>
      <c r="P85" s="753"/>
      <c r="Q85" s="857">
        <f>SUM(Q5:Q84)</f>
        <v>0</v>
      </c>
    </row>
    <row r="86" spans="1:17" s="549" customFormat="1" ht="3.75" customHeight="1" thickTop="1" x14ac:dyDescent="0.25">
      <c r="F86" s="684"/>
      <c r="L86" s="633"/>
      <c r="M86" s="633"/>
      <c r="O86" s="633"/>
      <c r="P86" s="633"/>
    </row>
    <row r="87" spans="1:17" s="549" customFormat="1" ht="15" x14ac:dyDescent="0.25">
      <c r="B87" s="709"/>
      <c r="C87" s="710"/>
      <c r="D87" s="710"/>
      <c r="E87" s="709" t="s">
        <v>731</v>
      </c>
      <c r="F87" s="684"/>
      <c r="G87" s="754">
        <f>SUM(Konti_MS!E43,Konti_MS!F46,Konti_MS!E50:E51,Konti_MS!B85)</f>
        <v>0</v>
      </c>
      <c r="H87" s="760">
        <f>Religion!H38</f>
        <v>0</v>
      </c>
      <c r="I87" s="756"/>
      <c r="J87" s="710"/>
      <c r="K87" s="710"/>
      <c r="L87" s="757">
        <f>Assistenz!L63</f>
        <v>0</v>
      </c>
      <c r="M87" s="755">
        <f>Konti_MS!L71</f>
        <v>0</v>
      </c>
      <c r="N87" s="586"/>
      <c r="O87" s="635"/>
      <c r="P87" s="635"/>
    </row>
    <row r="88" spans="1:17" s="549" customFormat="1" ht="3.75" customHeight="1" x14ac:dyDescent="0.25">
      <c r="F88" s="684"/>
      <c r="L88" s="633"/>
      <c r="M88" s="633"/>
      <c r="O88" s="633"/>
      <c r="P88" s="633"/>
    </row>
    <row r="89" spans="1:17" s="549" customFormat="1" ht="15" x14ac:dyDescent="0.25">
      <c r="B89" s="709"/>
      <c r="C89" s="710"/>
      <c r="D89" s="710"/>
      <c r="E89" s="709" t="s">
        <v>732</v>
      </c>
      <c r="F89" s="684"/>
      <c r="G89" s="754">
        <f>G87-G85-J85-K85</f>
        <v>0</v>
      </c>
      <c r="H89" s="760">
        <f>H87-H85</f>
        <v>0</v>
      </c>
      <c r="I89" s="756"/>
      <c r="J89" s="710"/>
      <c r="K89" s="710"/>
      <c r="L89" s="757">
        <f>L87-L85</f>
        <v>0</v>
      </c>
      <c r="M89" s="757">
        <f>M87-M85</f>
        <v>0</v>
      </c>
      <c r="N89" s="586"/>
      <c r="O89" s="635"/>
      <c r="P89" s="635"/>
    </row>
    <row r="90" spans="1:17" ht="23.25" customHeight="1" x14ac:dyDescent="0.25">
      <c r="D90" s="635"/>
      <c r="O90" s="657"/>
    </row>
    <row r="91" spans="1:17" ht="23.25" customHeight="1" x14ac:dyDescent="0.25">
      <c r="D91" s="635"/>
      <c r="O91" s="657"/>
    </row>
    <row r="92" spans="1:17" ht="23.25" customHeight="1" x14ac:dyDescent="0.25">
      <c r="D92" s="635"/>
      <c r="O92" s="657"/>
    </row>
    <row r="93" spans="1:17" ht="23.25" customHeight="1" x14ac:dyDescent="0.25">
      <c r="D93" s="635"/>
      <c r="O93" s="657"/>
    </row>
    <row r="94" spans="1:17" ht="23.25" customHeight="1" x14ac:dyDescent="0.25">
      <c r="D94" s="635"/>
      <c r="O94" s="657"/>
    </row>
    <row r="95" spans="1:17" ht="23.25" customHeight="1" x14ac:dyDescent="0.25">
      <c r="D95" s="635"/>
      <c r="O95" s="657"/>
    </row>
    <row r="96" spans="1:17" ht="23.25" customHeight="1" x14ac:dyDescent="0.25">
      <c r="D96" s="635"/>
      <c r="O96" s="657"/>
    </row>
    <row r="97" spans="4:15" ht="23.25" customHeight="1" x14ac:dyDescent="0.25">
      <c r="D97" s="635"/>
      <c r="O97" s="657"/>
    </row>
    <row r="98" spans="4:15" ht="23.25" customHeight="1" x14ac:dyDescent="0.25">
      <c r="D98" s="635"/>
      <c r="O98" s="657"/>
    </row>
    <row r="99" spans="4:15" ht="23.25" customHeight="1" x14ac:dyDescent="0.25">
      <c r="D99" s="635"/>
      <c r="O99" s="657"/>
    </row>
    <row r="100" spans="4:15" ht="23.25" customHeight="1" x14ac:dyDescent="0.25">
      <c r="D100" s="635"/>
      <c r="O100" s="657"/>
    </row>
    <row r="101" spans="4:15" ht="23.25" customHeight="1" x14ac:dyDescent="0.25">
      <c r="D101" s="635"/>
      <c r="O101" s="657"/>
    </row>
    <row r="102" spans="4:15" ht="23.25" customHeight="1" x14ac:dyDescent="0.25">
      <c r="D102" s="635"/>
      <c r="O102" s="657"/>
    </row>
    <row r="103" spans="4:15" ht="23.25" customHeight="1" x14ac:dyDescent="0.25">
      <c r="D103" s="635"/>
      <c r="O103" s="657"/>
    </row>
    <row r="104" spans="4:15" ht="23.25" customHeight="1" x14ac:dyDescent="0.25">
      <c r="D104" s="635"/>
      <c r="O104" s="657"/>
    </row>
    <row r="105" spans="4:15" ht="23.25" customHeight="1" x14ac:dyDescent="0.25">
      <c r="D105" s="635"/>
      <c r="O105" s="657"/>
    </row>
    <row r="106" spans="4:15" ht="23.25" customHeight="1" x14ac:dyDescent="0.25">
      <c r="D106" s="635"/>
      <c r="O106" s="657"/>
    </row>
    <row r="107" spans="4:15" ht="23.25" customHeight="1" x14ac:dyDescent="0.25">
      <c r="D107" s="635"/>
      <c r="O107" s="657"/>
    </row>
    <row r="108" spans="4:15" ht="23.25" customHeight="1" x14ac:dyDescent="0.25">
      <c r="D108" s="635"/>
      <c r="O108" s="657"/>
    </row>
    <row r="109" spans="4:15" ht="23.25" customHeight="1" x14ac:dyDescent="0.25">
      <c r="D109" s="635"/>
      <c r="O109" s="657"/>
    </row>
    <row r="110" spans="4:15" ht="23.25" customHeight="1" x14ac:dyDescent="0.25">
      <c r="D110" s="635"/>
      <c r="O110" s="657"/>
    </row>
    <row r="111" spans="4:15" ht="23.25" customHeight="1" x14ac:dyDescent="0.25">
      <c r="D111" s="635"/>
      <c r="O111" s="657"/>
    </row>
    <row r="112" spans="4:15" ht="23.25" customHeight="1" x14ac:dyDescent="0.25">
      <c r="D112" s="635"/>
      <c r="O112" s="657"/>
    </row>
    <row r="113" spans="1:17" ht="23.25" customHeight="1" x14ac:dyDescent="0.25">
      <c r="D113" s="635"/>
      <c r="O113" s="657"/>
    </row>
    <row r="114" spans="1:17" ht="23.25" customHeight="1" x14ac:dyDescent="0.25">
      <c r="D114" s="635"/>
      <c r="O114" s="657"/>
    </row>
    <row r="115" spans="1:17" ht="23.25" customHeight="1" x14ac:dyDescent="0.25">
      <c r="D115" s="635"/>
      <c r="O115" s="657"/>
    </row>
    <row r="116" spans="1:17" ht="23.25" customHeight="1" x14ac:dyDescent="0.25">
      <c r="D116" s="635"/>
      <c r="O116" s="657"/>
    </row>
    <row r="117" spans="1:17" ht="23.25" customHeight="1" x14ac:dyDescent="0.25">
      <c r="D117" s="635"/>
      <c r="O117" s="657"/>
    </row>
    <row r="118" spans="1:17" ht="23.25" customHeight="1" x14ac:dyDescent="0.25">
      <c r="D118" s="635"/>
      <c r="O118" s="657"/>
    </row>
    <row r="119" spans="1:17" ht="23.25" customHeight="1" x14ac:dyDescent="0.25">
      <c r="D119" s="635"/>
      <c r="O119" s="657"/>
    </row>
    <row r="120" spans="1:17" ht="23.25" customHeight="1" x14ac:dyDescent="0.25">
      <c r="D120" s="635"/>
      <c r="O120" s="657"/>
    </row>
    <row r="121" spans="1:17" ht="23.25" customHeight="1" x14ac:dyDescent="0.25">
      <c r="D121" s="635"/>
      <c r="O121" s="657"/>
    </row>
    <row r="122" spans="1:17" ht="23.25" customHeight="1" x14ac:dyDescent="0.25">
      <c r="D122" s="635"/>
      <c r="O122" s="657"/>
    </row>
    <row r="123" spans="1:17" ht="23.25" customHeight="1" x14ac:dyDescent="0.25">
      <c r="D123" s="635"/>
      <c r="O123" s="657"/>
    </row>
    <row r="124" spans="1:17" ht="23.25" customHeight="1" x14ac:dyDescent="0.25">
      <c r="D124" s="635"/>
      <c r="O124" s="657"/>
    </row>
    <row r="125" spans="1:17" ht="23.25" customHeight="1" x14ac:dyDescent="0.25">
      <c r="D125" s="635"/>
      <c r="O125" s="657"/>
    </row>
    <row r="126" spans="1:17" ht="23.25" customHeight="1" x14ac:dyDescent="0.25">
      <c r="D126" s="635"/>
      <c r="O126" s="657"/>
    </row>
    <row r="127" spans="1:17" ht="15" x14ac:dyDescent="0.25">
      <c r="D127" s="635"/>
      <c r="O127" s="657"/>
    </row>
    <row r="128" spans="1:17" s="658" customFormat="1" ht="18.75" x14ac:dyDescent="0.25">
      <c r="A128" s="633"/>
      <c r="B128" s="633"/>
      <c r="C128" s="633"/>
      <c r="D128" s="635"/>
      <c r="E128" s="633"/>
      <c r="F128" s="634"/>
      <c r="G128" s="633"/>
      <c r="H128" s="633"/>
      <c r="I128" s="633"/>
      <c r="J128" s="633"/>
      <c r="K128" s="633"/>
      <c r="L128" s="633"/>
      <c r="M128" s="633"/>
      <c r="N128" s="633"/>
      <c r="O128" s="657"/>
      <c r="Q128" s="633"/>
    </row>
    <row r="129" spans="1:17" s="659" customFormat="1" ht="15" x14ac:dyDescent="0.25">
      <c r="A129" s="633"/>
      <c r="B129" s="633"/>
      <c r="C129" s="633"/>
      <c r="D129" s="635"/>
      <c r="E129" s="633"/>
      <c r="F129" s="634"/>
      <c r="G129" s="633"/>
      <c r="H129" s="633"/>
      <c r="I129" s="633"/>
      <c r="J129" s="633"/>
      <c r="K129" s="633"/>
      <c r="L129" s="633"/>
      <c r="M129" s="633"/>
      <c r="N129" s="633"/>
      <c r="O129" s="657"/>
      <c r="Q129" s="633"/>
    </row>
    <row r="130" spans="1:17" ht="15" x14ac:dyDescent="0.25">
      <c r="D130" s="635"/>
      <c r="O130" s="657"/>
    </row>
    <row r="131" spans="1:17" ht="15" hidden="1" customHeight="1" x14ac:dyDescent="0.25">
      <c r="D131" s="635"/>
      <c r="O131" s="657"/>
    </row>
    <row r="132" spans="1:17" ht="15" hidden="1" customHeight="1" x14ac:dyDescent="0.25">
      <c r="D132" s="635"/>
      <c r="O132" s="657"/>
    </row>
    <row r="133" spans="1:17" ht="15" hidden="1" customHeight="1" x14ac:dyDescent="0.25">
      <c r="D133" s="635"/>
      <c r="O133" s="657"/>
    </row>
    <row r="134" spans="1:17" ht="15" hidden="1" customHeight="1" x14ac:dyDescent="0.25">
      <c r="D134" s="635"/>
      <c r="O134" s="657"/>
    </row>
    <row r="135" spans="1:17" ht="15" hidden="1" x14ac:dyDescent="0.25">
      <c r="D135" s="635"/>
      <c r="O135" s="657"/>
    </row>
    <row r="136" spans="1:17" ht="15" hidden="1" x14ac:dyDescent="0.25">
      <c r="D136" s="635"/>
      <c r="O136" s="657"/>
    </row>
    <row r="137" spans="1:17" ht="15" hidden="1" x14ac:dyDescent="0.25">
      <c r="D137" s="635"/>
      <c r="O137" s="657"/>
    </row>
    <row r="138" spans="1:17" ht="15" hidden="1" x14ac:dyDescent="0.25">
      <c r="D138" s="635"/>
      <c r="O138" s="657"/>
    </row>
    <row r="139" spans="1:17" ht="15" hidden="1" x14ac:dyDescent="0.25">
      <c r="D139" s="635"/>
      <c r="O139" s="657"/>
    </row>
    <row r="140" spans="1:17" ht="15" hidden="1" x14ac:dyDescent="0.25">
      <c r="D140" s="635"/>
      <c r="O140" s="657"/>
    </row>
    <row r="141" spans="1:17" ht="15" hidden="1" x14ac:dyDescent="0.25">
      <c r="D141" s="635"/>
      <c r="O141" s="657"/>
    </row>
    <row r="142" spans="1:17" ht="15" hidden="1" x14ac:dyDescent="0.25">
      <c r="D142" s="635"/>
      <c r="O142" s="657"/>
    </row>
    <row r="143" spans="1:17" ht="15" hidden="1" x14ac:dyDescent="0.25">
      <c r="D143" s="635"/>
      <c r="O143" s="657"/>
    </row>
    <row r="144" spans="1:17" ht="15" hidden="1" x14ac:dyDescent="0.25">
      <c r="D144" s="635"/>
      <c r="O144" s="657"/>
    </row>
    <row r="145" spans="4:15" ht="15" hidden="1" x14ac:dyDescent="0.25">
      <c r="D145" s="635"/>
      <c r="O145" s="657"/>
    </row>
    <row r="146" spans="4:15" ht="15" hidden="1" x14ac:dyDescent="0.25">
      <c r="D146" s="635"/>
      <c r="O146" s="657"/>
    </row>
    <row r="147" spans="4:15" ht="15" hidden="1" x14ac:dyDescent="0.25">
      <c r="D147" s="635"/>
      <c r="O147" s="657"/>
    </row>
    <row r="148" spans="4:15" ht="15" hidden="1" x14ac:dyDescent="0.25">
      <c r="D148" s="635"/>
      <c r="O148" s="657"/>
    </row>
    <row r="149" spans="4:15" ht="15" hidden="1" x14ac:dyDescent="0.25">
      <c r="D149" s="635"/>
      <c r="O149" s="657"/>
    </row>
    <row r="150" spans="4:15" ht="15" hidden="1" x14ac:dyDescent="0.25">
      <c r="D150" s="635"/>
      <c r="O150" s="657"/>
    </row>
    <row r="151" spans="4:15" ht="15" hidden="1" x14ac:dyDescent="0.25">
      <c r="D151" s="635"/>
      <c r="O151" s="657"/>
    </row>
    <row r="152" spans="4:15" ht="15" hidden="1" x14ac:dyDescent="0.25">
      <c r="D152" s="635"/>
      <c r="O152" s="657"/>
    </row>
    <row r="153" spans="4:15" ht="15" hidden="1" x14ac:dyDescent="0.25">
      <c r="D153" s="635"/>
      <c r="O153" s="657"/>
    </row>
    <row r="154" spans="4:15" ht="15" hidden="1" x14ac:dyDescent="0.25">
      <c r="D154" s="635"/>
      <c r="O154" s="657"/>
    </row>
    <row r="155" spans="4:15" ht="15" hidden="1" x14ac:dyDescent="0.25">
      <c r="D155" s="635"/>
      <c r="O155" s="657"/>
    </row>
    <row r="156" spans="4:15" ht="15" hidden="1" x14ac:dyDescent="0.25">
      <c r="D156" s="635"/>
      <c r="O156" s="657"/>
    </row>
    <row r="157" spans="4:15" ht="15" hidden="1" x14ac:dyDescent="0.25">
      <c r="D157" s="635"/>
      <c r="O157" s="657"/>
    </row>
    <row r="158" spans="4:15" ht="15" hidden="1" x14ac:dyDescent="0.25">
      <c r="D158" s="635"/>
      <c r="O158" s="657"/>
    </row>
    <row r="159" spans="4:15" ht="15" hidden="1" x14ac:dyDescent="0.25">
      <c r="D159" s="635"/>
      <c r="O159" s="657"/>
    </row>
    <row r="160" spans="4:15" ht="15" hidden="1" x14ac:dyDescent="0.25">
      <c r="D160" s="635"/>
      <c r="O160" s="657"/>
    </row>
    <row r="161" spans="4:15" ht="15" hidden="1" x14ac:dyDescent="0.25">
      <c r="D161" s="635"/>
      <c r="O161" s="657"/>
    </row>
    <row r="162" spans="4:15" ht="15" hidden="1" x14ac:dyDescent="0.25">
      <c r="D162" s="635"/>
      <c r="O162" s="657"/>
    </row>
    <row r="163" spans="4:15" ht="15" hidden="1" x14ac:dyDescent="0.25">
      <c r="D163" s="635"/>
      <c r="O163" s="657"/>
    </row>
    <row r="164" spans="4:15" ht="15" hidden="1" x14ac:dyDescent="0.25">
      <c r="D164" s="635"/>
      <c r="O164" s="657"/>
    </row>
    <row r="165" spans="4:15" ht="15" hidden="1" x14ac:dyDescent="0.25">
      <c r="D165" s="635"/>
      <c r="O165" s="657"/>
    </row>
    <row r="166" spans="4:15" ht="15" hidden="1" x14ac:dyDescent="0.25">
      <c r="D166" s="635"/>
      <c r="O166" s="657"/>
    </row>
    <row r="167" spans="4:15" ht="15" hidden="1" x14ac:dyDescent="0.25">
      <c r="D167" s="635"/>
      <c r="O167" s="657"/>
    </row>
    <row r="168" spans="4:15" ht="15" hidden="1" x14ac:dyDescent="0.25">
      <c r="D168" s="635"/>
      <c r="O168" s="657"/>
    </row>
    <row r="169" spans="4:15" ht="15" hidden="1" x14ac:dyDescent="0.25">
      <c r="D169" s="635"/>
      <c r="O169" s="657"/>
    </row>
    <row r="170" spans="4:15" ht="15" hidden="1" x14ac:dyDescent="0.25">
      <c r="D170" s="635"/>
      <c r="O170" s="657"/>
    </row>
    <row r="171" spans="4:15" ht="15" hidden="1" x14ac:dyDescent="0.25">
      <c r="D171" s="635"/>
      <c r="O171" s="657"/>
    </row>
    <row r="172" spans="4:15" ht="15" hidden="1" x14ac:dyDescent="0.25">
      <c r="D172" s="635"/>
      <c r="O172" s="657"/>
    </row>
    <row r="173" spans="4:15" ht="15" hidden="1" x14ac:dyDescent="0.25">
      <c r="D173" s="635"/>
      <c r="O173" s="657"/>
    </row>
    <row r="174" spans="4:15" ht="15" hidden="1" x14ac:dyDescent="0.25">
      <c r="D174" s="635"/>
      <c r="O174" s="657"/>
    </row>
    <row r="175" spans="4:15" ht="15" hidden="1" x14ac:dyDescent="0.25">
      <c r="D175" s="635"/>
      <c r="O175" s="657"/>
    </row>
    <row r="176" spans="4:15" ht="15" hidden="1" x14ac:dyDescent="0.25">
      <c r="D176" s="635"/>
      <c r="O176" s="657"/>
    </row>
    <row r="177" spans="4:15" ht="15" hidden="1" x14ac:dyDescent="0.25">
      <c r="D177" s="635"/>
      <c r="O177" s="657"/>
    </row>
    <row r="178" spans="4:15" ht="15" hidden="1" x14ac:dyDescent="0.25">
      <c r="D178" s="635"/>
      <c r="O178" s="657"/>
    </row>
    <row r="179" spans="4:15" ht="15" hidden="1" x14ac:dyDescent="0.25">
      <c r="D179" s="635"/>
      <c r="O179" s="657"/>
    </row>
    <row r="180" spans="4:15" ht="15" hidden="1" x14ac:dyDescent="0.25">
      <c r="D180" s="635"/>
      <c r="O180" s="657"/>
    </row>
    <row r="181" spans="4:15" ht="15" hidden="1" x14ac:dyDescent="0.25">
      <c r="D181" s="635"/>
      <c r="O181" s="657"/>
    </row>
    <row r="182" spans="4:15" ht="15" hidden="1" x14ac:dyDescent="0.25">
      <c r="D182" s="635"/>
      <c r="O182" s="657"/>
    </row>
    <row r="183" spans="4:15" ht="15" hidden="1" x14ac:dyDescent="0.25">
      <c r="D183" s="635"/>
      <c r="O183" s="657"/>
    </row>
    <row r="184" spans="4:15" ht="15" hidden="1" x14ac:dyDescent="0.25">
      <c r="D184" s="635"/>
      <c r="O184" s="657"/>
    </row>
    <row r="185" spans="4:15" ht="15" hidden="1" x14ac:dyDescent="0.25">
      <c r="D185" s="635"/>
      <c r="O185" s="657"/>
    </row>
    <row r="186" spans="4:15" ht="15" hidden="1" x14ac:dyDescent="0.25">
      <c r="D186" s="635"/>
      <c r="O186" s="657"/>
    </row>
    <row r="187" spans="4:15" ht="15" hidden="1" x14ac:dyDescent="0.25">
      <c r="D187" s="635"/>
      <c r="O187" s="657"/>
    </row>
    <row r="188" spans="4:15" ht="15" hidden="1" x14ac:dyDescent="0.25">
      <c r="D188" s="635"/>
      <c r="O188" s="657"/>
    </row>
    <row r="189" spans="4:15" ht="15" hidden="1" x14ac:dyDescent="0.25">
      <c r="D189" s="635"/>
      <c r="O189" s="657"/>
    </row>
    <row r="190" spans="4:15" ht="15" x14ac:dyDescent="0.25">
      <c r="D190" s="635"/>
      <c r="O190" s="657"/>
    </row>
    <row r="191" spans="4:15" ht="15" x14ac:dyDescent="0.25">
      <c r="D191" s="635"/>
      <c r="O191" s="657"/>
    </row>
    <row r="192" spans="4:15" ht="15" x14ac:dyDescent="0.25">
      <c r="D192" s="635"/>
      <c r="O192" s="657"/>
    </row>
    <row r="193" spans="4:15" ht="15" x14ac:dyDescent="0.25">
      <c r="D193" s="635"/>
      <c r="O193" s="657"/>
    </row>
    <row r="194" spans="4:15" ht="15" x14ac:dyDescent="0.25">
      <c r="D194" s="635"/>
      <c r="O194" s="657"/>
    </row>
    <row r="195" spans="4:15" ht="15" x14ac:dyDescent="0.25">
      <c r="D195" s="635"/>
      <c r="O195" s="657"/>
    </row>
    <row r="196" spans="4:15" ht="15" x14ac:dyDescent="0.25">
      <c r="D196" s="635"/>
      <c r="O196" s="657"/>
    </row>
    <row r="197" spans="4:15" ht="15" x14ac:dyDescent="0.25">
      <c r="D197" s="635"/>
      <c r="O197" s="657"/>
    </row>
    <row r="198" spans="4:15" ht="15" x14ac:dyDescent="0.25">
      <c r="D198" s="635"/>
      <c r="O198" s="657"/>
    </row>
    <row r="199" spans="4:15" ht="15" x14ac:dyDescent="0.25">
      <c r="D199" s="635"/>
      <c r="O199" s="657"/>
    </row>
    <row r="200" spans="4:15" ht="15" x14ac:dyDescent="0.25">
      <c r="D200" s="635"/>
      <c r="O200" s="657"/>
    </row>
    <row r="201" spans="4:15" ht="15" x14ac:dyDescent="0.25">
      <c r="D201" s="635"/>
      <c r="O201" s="657"/>
    </row>
    <row r="202" spans="4:15" ht="15" x14ac:dyDescent="0.25">
      <c r="D202" s="635"/>
      <c r="O202" s="657"/>
    </row>
    <row r="203" spans="4:15" ht="15" x14ac:dyDescent="0.25">
      <c r="D203" s="635"/>
      <c r="O203" s="657"/>
    </row>
    <row r="204" spans="4:15" ht="15" x14ac:dyDescent="0.25">
      <c r="D204" s="635"/>
      <c r="O204" s="657"/>
    </row>
    <row r="205" spans="4:15" ht="15" x14ac:dyDescent="0.25">
      <c r="D205" s="635"/>
      <c r="O205" s="657"/>
    </row>
    <row r="206" spans="4:15" ht="15" x14ac:dyDescent="0.25">
      <c r="D206" s="635"/>
      <c r="O206" s="657"/>
    </row>
    <row r="207" spans="4:15" ht="15" x14ac:dyDescent="0.25">
      <c r="D207" s="635"/>
      <c r="O207" s="657"/>
    </row>
    <row r="208" spans="4:15" ht="15" x14ac:dyDescent="0.25">
      <c r="D208" s="635"/>
      <c r="O208" s="657"/>
    </row>
    <row r="209" spans="4:15" ht="15" x14ac:dyDescent="0.25">
      <c r="D209" s="635"/>
      <c r="O209" s="657"/>
    </row>
    <row r="210" spans="4:15" ht="15" x14ac:dyDescent="0.25">
      <c r="D210" s="635"/>
      <c r="O210" s="657"/>
    </row>
    <row r="211" spans="4:15" ht="15" x14ac:dyDescent="0.25">
      <c r="D211" s="635"/>
      <c r="O211" s="657"/>
    </row>
    <row r="212" spans="4:15" ht="15" x14ac:dyDescent="0.25">
      <c r="D212" s="635"/>
      <c r="O212" s="657"/>
    </row>
    <row r="213" spans="4:15" ht="15" x14ac:dyDescent="0.25">
      <c r="D213" s="635"/>
      <c r="O213" s="657"/>
    </row>
    <row r="214" spans="4:15" ht="15" x14ac:dyDescent="0.25">
      <c r="D214" s="635"/>
      <c r="O214" s="657"/>
    </row>
    <row r="215" spans="4:15" ht="15" x14ac:dyDescent="0.25">
      <c r="D215" s="635"/>
      <c r="O215" s="657"/>
    </row>
    <row r="216" spans="4:15" ht="15" x14ac:dyDescent="0.25">
      <c r="D216" s="635"/>
      <c r="O216" s="657"/>
    </row>
    <row r="217" spans="4:15" ht="15" x14ac:dyDescent="0.25">
      <c r="D217" s="635"/>
      <c r="O217" s="657"/>
    </row>
    <row r="218" spans="4:15" ht="15" x14ac:dyDescent="0.25">
      <c r="D218" s="635"/>
      <c r="O218" s="657"/>
    </row>
    <row r="219" spans="4:15" ht="15" x14ac:dyDescent="0.25">
      <c r="D219" s="635"/>
      <c r="O219" s="657"/>
    </row>
    <row r="220" spans="4:15" ht="15" x14ac:dyDescent="0.25">
      <c r="D220" s="635"/>
      <c r="O220" s="657"/>
    </row>
    <row r="221" spans="4:15" ht="15" x14ac:dyDescent="0.25">
      <c r="D221" s="635"/>
      <c r="O221" s="657"/>
    </row>
    <row r="222" spans="4:15" ht="15" x14ac:dyDescent="0.25">
      <c r="D222" s="635"/>
      <c r="O222" s="657"/>
    </row>
    <row r="223" spans="4:15" ht="15" x14ac:dyDescent="0.25">
      <c r="D223" s="635"/>
      <c r="O223" s="657"/>
    </row>
    <row r="224" spans="4:15" ht="15" x14ac:dyDescent="0.25">
      <c r="D224" s="635"/>
      <c r="O224" s="657"/>
    </row>
    <row r="225" spans="4:15" ht="15" x14ac:dyDescent="0.25">
      <c r="D225" s="635"/>
      <c r="O225" s="657"/>
    </row>
    <row r="226" spans="4:15" ht="15" x14ac:dyDescent="0.25">
      <c r="D226" s="635"/>
      <c r="O226" s="657"/>
    </row>
    <row r="227" spans="4:15" ht="15" x14ac:dyDescent="0.25">
      <c r="D227" s="635"/>
      <c r="O227" s="657"/>
    </row>
    <row r="228" spans="4:15" ht="15" x14ac:dyDescent="0.25">
      <c r="D228" s="635"/>
      <c r="O228" s="657"/>
    </row>
    <row r="229" spans="4:15" ht="15" x14ac:dyDescent="0.25">
      <c r="D229" s="635"/>
      <c r="O229" s="657"/>
    </row>
    <row r="230" spans="4:15" ht="15" x14ac:dyDescent="0.25">
      <c r="D230" s="635"/>
      <c r="O230" s="657"/>
    </row>
    <row r="231" spans="4:15" ht="15" x14ac:dyDescent="0.25">
      <c r="D231" s="635"/>
      <c r="O231" s="657"/>
    </row>
    <row r="232" spans="4:15" ht="15" x14ac:dyDescent="0.25">
      <c r="D232" s="635"/>
      <c r="O232" s="657"/>
    </row>
    <row r="233" spans="4:15" ht="15" x14ac:dyDescent="0.25">
      <c r="D233" s="635"/>
      <c r="O233" s="657"/>
    </row>
    <row r="234" spans="4:15" ht="15" x14ac:dyDescent="0.25">
      <c r="D234" s="635"/>
      <c r="O234" s="657"/>
    </row>
    <row r="235" spans="4:15" ht="15" x14ac:dyDescent="0.25">
      <c r="D235" s="635"/>
      <c r="O235" s="657"/>
    </row>
    <row r="236" spans="4:15" ht="15" x14ac:dyDescent="0.25">
      <c r="D236" s="635"/>
      <c r="O236" s="657"/>
    </row>
    <row r="237" spans="4:15" ht="15" x14ac:dyDescent="0.25">
      <c r="D237" s="635"/>
      <c r="O237" s="657"/>
    </row>
    <row r="238" spans="4:15" ht="15" x14ac:dyDescent="0.25">
      <c r="D238" s="635"/>
      <c r="O238" s="657"/>
    </row>
    <row r="239" spans="4:15" ht="15" x14ac:dyDescent="0.25">
      <c r="D239" s="635"/>
      <c r="O239" s="657"/>
    </row>
    <row r="240" spans="4:15" ht="15" x14ac:dyDescent="0.25">
      <c r="D240" s="635"/>
      <c r="O240" s="657"/>
    </row>
    <row r="241" spans="4:15" ht="15" x14ac:dyDescent="0.25">
      <c r="D241" s="635"/>
      <c r="O241" s="657"/>
    </row>
    <row r="242" spans="4:15" ht="15" x14ac:dyDescent="0.25">
      <c r="D242" s="635"/>
      <c r="O242" s="657"/>
    </row>
    <row r="243" spans="4:15" ht="15" x14ac:dyDescent="0.25">
      <c r="D243" s="635"/>
      <c r="O243" s="657"/>
    </row>
    <row r="244" spans="4:15" ht="15" x14ac:dyDescent="0.25">
      <c r="D244" s="635"/>
      <c r="O244" s="657"/>
    </row>
    <row r="245" spans="4:15" ht="15" x14ac:dyDescent="0.25">
      <c r="D245" s="635"/>
      <c r="O245" s="657"/>
    </row>
    <row r="246" spans="4:15" ht="15" x14ac:dyDescent="0.25">
      <c r="D246" s="635"/>
      <c r="O246" s="657"/>
    </row>
    <row r="247" spans="4:15" ht="15" x14ac:dyDescent="0.25">
      <c r="D247" s="635"/>
      <c r="O247" s="657"/>
    </row>
    <row r="248" spans="4:15" ht="15" x14ac:dyDescent="0.25">
      <c r="D248" s="635"/>
      <c r="O248" s="657"/>
    </row>
    <row r="249" spans="4:15" ht="15" x14ac:dyDescent="0.25">
      <c r="D249" s="635"/>
      <c r="O249" s="657"/>
    </row>
  </sheetData>
  <sheetProtection algorithmName="SHA-512" hashValue="vEujSghNQQXwldAfjyjfEo1xuj/ebgw32Ji3qvmFsy0g7+d8ckbGPQ4UKLep+lqIaW6wWBtSDFAp5wHJOUkEgw==" saltValue="ZA5d61LTkClzgdI7dgSKlA==" spinCount="100000" sheet="1" formatRows="0"/>
  <mergeCells count="1">
    <mergeCell ref="A4:B4"/>
  </mergeCells>
  <conditionalFormatting sqref="G89:H89 L89:M89">
    <cfRule type="cellIs" dxfId="1" priority="1" operator="lessThan">
      <formula>0</formula>
    </cfRule>
  </conditionalFormatting>
  <dataValidations xWindow="920" yWindow="682" count="11">
    <dataValidation type="decimal" allowBlank="1" showInputMessage="1" showErrorMessage="1" sqref="WVS983088:WVT983124 JG5:JH84 TC5:TD84 ACY5:ACZ84 AMU5:AMV84 AWQ5:AWR84 BGM5:BGN84 BQI5:BQJ84 CAE5:CAF84 CKA5:CKB84 CTW5:CTX84 DDS5:DDT84 DNO5:DNP84 DXK5:DXL84 EHG5:EHH84 ERC5:ERD84 FAY5:FAZ84 FKU5:FKV84 FUQ5:FUR84 GEM5:GEN84 GOI5:GOJ84 GYE5:GYF84 HIA5:HIB84 HRW5:HRX84 IBS5:IBT84 ILO5:ILP84 IVK5:IVL84 JFG5:JFH84 JPC5:JPD84 JYY5:JYZ84 KIU5:KIV84 KSQ5:KSR84 LCM5:LCN84 LMI5:LMJ84 LWE5:LWF84 MGA5:MGB84 MPW5:MPX84 MZS5:MZT84 NJO5:NJP84 NTK5:NTL84 ODG5:ODH84 ONC5:OND84 OWY5:OWZ84 PGU5:PGV84 PQQ5:PQR84 QAM5:QAN84 QKI5:QKJ84 QUE5:QUF84 REA5:REB84 RNW5:RNX84 RXS5:RXT84 SHO5:SHP84 SRK5:SRL84 TBG5:TBH84 TLC5:TLD84 TUY5:TUZ84 UEU5:UEV84 UOQ5:UOR84 UYM5:UYN84 VII5:VIJ84 VSE5:VSF84 WCA5:WCB84 WLW5:WLX84 WVS5:WVT84 M65584:O65620 JG65584:JH65620 TC65584:TD65620 ACY65584:ACZ65620 AMU65584:AMV65620 AWQ65584:AWR65620 BGM65584:BGN65620 BQI65584:BQJ65620 CAE65584:CAF65620 CKA65584:CKB65620 CTW65584:CTX65620 DDS65584:DDT65620 DNO65584:DNP65620 DXK65584:DXL65620 EHG65584:EHH65620 ERC65584:ERD65620 FAY65584:FAZ65620 FKU65584:FKV65620 FUQ65584:FUR65620 GEM65584:GEN65620 GOI65584:GOJ65620 GYE65584:GYF65620 HIA65584:HIB65620 HRW65584:HRX65620 IBS65584:IBT65620 ILO65584:ILP65620 IVK65584:IVL65620 JFG65584:JFH65620 JPC65584:JPD65620 JYY65584:JYZ65620 KIU65584:KIV65620 KSQ65584:KSR65620 LCM65584:LCN65620 LMI65584:LMJ65620 LWE65584:LWF65620 MGA65584:MGB65620 MPW65584:MPX65620 MZS65584:MZT65620 NJO65584:NJP65620 NTK65584:NTL65620 ODG65584:ODH65620 ONC65584:OND65620 OWY65584:OWZ65620 PGU65584:PGV65620 PQQ65584:PQR65620 QAM65584:QAN65620 QKI65584:QKJ65620 QUE65584:QUF65620 REA65584:REB65620 RNW65584:RNX65620 RXS65584:RXT65620 SHO65584:SHP65620 SRK65584:SRL65620 TBG65584:TBH65620 TLC65584:TLD65620 TUY65584:TUZ65620 UEU65584:UEV65620 UOQ65584:UOR65620 UYM65584:UYN65620 VII65584:VIJ65620 VSE65584:VSF65620 WCA65584:WCB65620 WLW65584:WLX65620 WVS65584:WVT65620 M131120:O131156 JG131120:JH131156 TC131120:TD131156 ACY131120:ACZ131156 AMU131120:AMV131156 AWQ131120:AWR131156 BGM131120:BGN131156 BQI131120:BQJ131156 CAE131120:CAF131156 CKA131120:CKB131156 CTW131120:CTX131156 DDS131120:DDT131156 DNO131120:DNP131156 DXK131120:DXL131156 EHG131120:EHH131156 ERC131120:ERD131156 FAY131120:FAZ131156 FKU131120:FKV131156 FUQ131120:FUR131156 GEM131120:GEN131156 GOI131120:GOJ131156 GYE131120:GYF131156 HIA131120:HIB131156 HRW131120:HRX131156 IBS131120:IBT131156 ILO131120:ILP131156 IVK131120:IVL131156 JFG131120:JFH131156 JPC131120:JPD131156 JYY131120:JYZ131156 KIU131120:KIV131156 KSQ131120:KSR131156 LCM131120:LCN131156 LMI131120:LMJ131156 LWE131120:LWF131156 MGA131120:MGB131156 MPW131120:MPX131156 MZS131120:MZT131156 NJO131120:NJP131156 NTK131120:NTL131156 ODG131120:ODH131156 ONC131120:OND131156 OWY131120:OWZ131156 PGU131120:PGV131156 PQQ131120:PQR131156 QAM131120:QAN131156 QKI131120:QKJ131156 QUE131120:QUF131156 REA131120:REB131156 RNW131120:RNX131156 RXS131120:RXT131156 SHO131120:SHP131156 SRK131120:SRL131156 TBG131120:TBH131156 TLC131120:TLD131156 TUY131120:TUZ131156 UEU131120:UEV131156 UOQ131120:UOR131156 UYM131120:UYN131156 VII131120:VIJ131156 VSE131120:VSF131156 WCA131120:WCB131156 WLW131120:WLX131156 WVS131120:WVT131156 M196656:O196692 JG196656:JH196692 TC196656:TD196692 ACY196656:ACZ196692 AMU196656:AMV196692 AWQ196656:AWR196692 BGM196656:BGN196692 BQI196656:BQJ196692 CAE196656:CAF196692 CKA196656:CKB196692 CTW196656:CTX196692 DDS196656:DDT196692 DNO196656:DNP196692 DXK196656:DXL196692 EHG196656:EHH196692 ERC196656:ERD196692 FAY196656:FAZ196692 FKU196656:FKV196692 FUQ196656:FUR196692 GEM196656:GEN196692 GOI196656:GOJ196692 GYE196656:GYF196692 HIA196656:HIB196692 HRW196656:HRX196692 IBS196656:IBT196692 ILO196656:ILP196692 IVK196656:IVL196692 JFG196656:JFH196692 JPC196656:JPD196692 JYY196656:JYZ196692 KIU196656:KIV196692 KSQ196656:KSR196692 LCM196656:LCN196692 LMI196656:LMJ196692 LWE196656:LWF196692 MGA196656:MGB196692 MPW196656:MPX196692 MZS196656:MZT196692 NJO196656:NJP196692 NTK196656:NTL196692 ODG196656:ODH196692 ONC196656:OND196692 OWY196656:OWZ196692 PGU196656:PGV196692 PQQ196656:PQR196692 QAM196656:QAN196692 QKI196656:QKJ196692 QUE196656:QUF196692 REA196656:REB196692 RNW196656:RNX196692 RXS196656:RXT196692 SHO196656:SHP196692 SRK196656:SRL196692 TBG196656:TBH196692 TLC196656:TLD196692 TUY196656:TUZ196692 UEU196656:UEV196692 UOQ196656:UOR196692 UYM196656:UYN196692 VII196656:VIJ196692 VSE196656:VSF196692 WCA196656:WCB196692 WLW196656:WLX196692 WVS196656:WVT196692 M262192:O262228 JG262192:JH262228 TC262192:TD262228 ACY262192:ACZ262228 AMU262192:AMV262228 AWQ262192:AWR262228 BGM262192:BGN262228 BQI262192:BQJ262228 CAE262192:CAF262228 CKA262192:CKB262228 CTW262192:CTX262228 DDS262192:DDT262228 DNO262192:DNP262228 DXK262192:DXL262228 EHG262192:EHH262228 ERC262192:ERD262228 FAY262192:FAZ262228 FKU262192:FKV262228 FUQ262192:FUR262228 GEM262192:GEN262228 GOI262192:GOJ262228 GYE262192:GYF262228 HIA262192:HIB262228 HRW262192:HRX262228 IBS262192:IBT262228 ILO262192:ILP262228 IVK262192:IVL262228 JFG262192:JFH262228 JPC262192:JPD262228 JYY262192:JYZ262228 KIU262192:KIV262228 KSQ262192:KSR262228 LCM262192:LCN262228 LMI262192:LMJ262228 LWE262192:LWF262228 MGA262192:MGB262228 MPW262192:MPX262228 MZS262192:MZT262228 NJO262192:NJP262228 NTK262192:NTL262228 ODG262192:ODH262228 ONC262192:OND262228 OWY262192:OWZ262228 PGU262192:PGV262228 PQQ262192:PQR262228 QAM262192:QAN262228 QKI262192:QKJ262228 QUE262192:QUF262228 REA262192:REB262228 RNW262192:RNX262228 RXS262192:RXT262228 SHO262192:SHP262228 SRK262192:SRL262228 TBG262192:TBH262228 TLC262192:TLD262228 TUY262192:TUZ262228 UEU262192:UEV262228 UOQ262192:UOR262228 UYM262192:UYN262228 VII262192:VIJ262228 VSE262192:VSF262228 WCA262192:WCB262228 WLW262192:WLX262228 WVS262192:WVT262228 M327728:O327764 JG327728:JH327764 TC327728:TD327764 ACY327728:ACZ327764 AMU327728:AMV327764 AWQ327728:AWR327764 BGM327728:BGN327764 BQI327728:BQJ327764 CAE327728:CAF327764 CKA327728:CKB327764 CTW327728:CTX327764 DDS327728:DDT327764 DNO327728:DNP327764 DXK327728:DXL327764 EHG327728:EHH327764 ERC327728:ERD327764 FAY327728:FAZ327764 FKU327728:FKV327764 FUQ327728:FUR327764 GEM327728:GEN327764 GOI327728:GOJ327764 GYE327728:GYF327764 HIA327728:HIB327764 HRW327728:HRX327764 IBS327728:IBT327764 ILO327728:ILP327764 IVK327728:IVL327764 JFG327728:JFH327764 JPC327728:JPD327764 JYY327728:JYZ327764 KIU327728:KIV327764 KSQ327728:KSR327764 LCM327728:LCN327764 LMI327728:LMJ327764 LWE327728:LWF327764 MGA327728:MGB327764 MPW327728:MPX327764 MZS327728:MZT327764 NJO327728:NJP327764 NTK327728:NTL327764 ODG327728:ODH327764 ONC327728:OND327764 OWY327728:OWZ327764 PGU327728:PGV327764 PQQ327728:PQR327764 QAM327728:QAN327764 QKI327728:QKJ327764 QUE327728:QUF327764 REA327728:REB327764 RNW327728:RNX327764 RXS327728:RXT327764 SHO327728:SHP327764 SRK327728:SRL327764 TBG327728:TBH327764 TLC327728:TLD327764 TUY327728:TUZ327764 UEU327728:UEV327764 UOQ327728:UOR327764 UYM327728:UYN327764 VII327728:VIJ327764 VSE327728:VSF327764 WCA327728:WCB327764 WLW327728:WLX327764 WVS327728:WVT327764 M393264:O393300 JG393264:JH393300 TC393264:TD393300 ACY393264:ACZ393300 AMU393264:AMV393300 AWQ393264:AWR393300 BGM393264:BGN393300 BQI393264:BQJ393300 CAE393264:CAF393300 CKA393264:CKB393300 CTW393264:CTX393300 DDS393264:DDT393300 DNO393264:DNP393300 DXK393264:DXL393300 EHG393264:EHH393300 ERC393264:ERD393300 FAY393264:FAZ393300 FKU393264:FKV393300 FUQ393264:FUR393300 GEM393264:GEN393300 GOI393264:GOJ393300 GYE393264:GYF393300 HIA393264:HIB393300 HRW393264:HRX393300 IBS393264:IBT393300 ILO393264:ILP393300 IVK393264:IVL393300 JFG393264:JFH393300 JPC393264:JPD393300 JYY393264:JYZ393300 KIU393264:KIV393300 KSQ393264:KSR393300 LCM393264:LCN393300 LMI393264:LMJ393300 LWE393264:LWF393300 MGA393264:MGB393300 MPW393264:MPX393300 MZS393264:MZT393300 NJO393264:NJP393300 NTK393264:NTL393300 ODG393264:ODH393300 ONC393264:OND393300 OWY393264:OWZ393300 PGU393264:PGV393300 PQQ393264:PQR393300 QAM393264:QAN393300 QKI393264:QKJ393300 QUE393264:QUF393300 REA393264:REB393300 RNW393264:RNX393300 RXS393264:RXT393300 SHO393264:SHP393300 SRK393264:SRL393300 TBG393264:TBH393300 TLC393264:TLD393300 TUY393264:TUZ393300 UEU393264:UEV393300 UOQ393264:UOR393300 UYM393264:UYN393300 VII393264:VIJ393300 VSE393264:VSF393300 WCA393264:WCB393300 WLW393264:WLX393300 WVS393264:WVT393300 M458800:O458836 JG458800:JH458836 TC458800:TD458836 ACY458800:ACZ458836 AMU458800:AMV458836 AWQ458800:AWR458836 BGM458800:BGN458836 BQI458800:BQJ458836 CAE458800:CAF458836 CKA458800:CKB458836 CTW458800:CTX458836 DDS458800:DDT458836 DNO458800:DNP458836 DXK458800:DXL458836 EHG458800:EHH458836 ERC458800:ERD458836 FAY458800:FAZ458836 FKU458800:FKV458836 FUQ458800:FUR458836 GEM458800:GEN458836 GOI458800:GOJ458836 GYE458800:GYF458836 HIA458800:HIB458836 HRW458800:HRX458836 IBS458800:IBT458836 ILO458800:ILP458836 IVK458800:IVL458836 JFG458800:JFH458836 JPC458800:JPD458836 JYY458800:JYZ458836 KIU458800:KIV458836 KSQ458800:KSR458836 LCM458800:LCN458836 LMI458800:LMJ458836 LWE458800:LWF458836 MGA458800:MGB458836 MPW458800:MPX458836 MZS458800:MZT458836 NJO458800:NJP458836 NTK458800:NTL458836 ODG458800:ODH458836 ONC458800:OND458836 OWY458800:OWZ458836 PGU458800:PGV458836 PQQ458800:PQR458836 QAM458800:QAN458836 QKI458800:QKJ458836 QUE458800:QUF458836 REA458800:REB458836 RNW458800:RNX458836 RXS458800:RXT458836 SHO458800:SHP458836 SRK458800:SRL458836 TBG458800:TBH458836 TLC458800:TLD458836 TUY458800:TUZ458836 UEU458800:UEV458836 UOQ458800:UOR458836 UYM458800:UYN458836 VII458800:VIJ458836 VSE458800:VSF458836 WCA458800:WCB458836 WLW458800:WLX458836 WVS458800:WVT458836 M524336:O524372 JG524336:JH524372 TC524336:TD524372 ACY524336:ACZ524372 AMU524336:AMV524372 AWQ524336:AWR524372 BGM524336:BGN524372 BQI524336:BQJ524372 CAE524336:CAF524372 CKA524336:CKB524372 CTW524336:CTX524372 DDS524336:DDT524372 DNO524336:DNP524372 DXK524336:DXL524372 EHG524336:EHH524372 ERC524336:ERD524372 FAY524336:FAZ524372 FKU524336:FKV524372 FUQ524336:FUR524372 GEM524336:GEN524372 GOI524336:GOJ524372 GYE524336:GYF524372 HIA524336:HIB524372 HRW524336:HRX524372 IBS524336:IBT524372 ILO524336:ILP524372 IVK524336:IVL524372 JFG524336:JFH524372 JPC524336:JPD524372 JYY524336:JYZ524372 KIU524336:KIV524372 KSQ524336:KSR524372 LCM524336:LCN524372 LMI524336:LMJ524372 LWE524336:LWF524372 MGA524336:MGB524372 MPW524336:MPX524372 MZS524336:MZT524372 NJO524336:NJP524372 NTK524336:NTL524372 ODG524336:ODH524372 ONC524336:OND524372 OWY524336:OWZ524372 PGU524336:PGV524372 PQQ524336:PQR524372 QAM524336:QAN524372 QKI524336:QKJ524372 QUE524336:QUF524372 REA524336:REB524372 RNW524336:RNX524372 RXS524336:RXT524372 SHO524336:SHP524372 SRK524336:SRL524372 TBG524336:TBH524372 TLC524336:TLD524372 TUY524336:TUZ524372 UEU524336:UEV524372 UOQ524336:UOR524372 UYM524336:UYN524372 VII524336:VIJ524372 VSE524336:VSF524372 WCA524336:WCB524372 WLW524336:WLX524372 WVS524336:WVT524372 M589872:O589908 JG589872:JH589908 TC589872:TD589908 ACY589872:ACZ589908 AMU589872:AMV589908 AWQ589872:AWR589908 BGM589872:BGN589908 BQI589872:BQJ589908 CAE589872:CAF589908 CKA589872:CKB589908 CTW589872:CTX589908 DDS589872:DDT589908 DNO589872:DNP589908 DXK589872:DXL589908 EHG589872:EHH589908 ERC589872:ERD589908 FAY589872:FAZ589908 FKU589872:FKV589908 FUQ589872:FUR589908 GEM589872:GEN589908 GOI589872:GOJ589908 GYE589872:GYF589908 HIA589872:HIB589908 HRW589872:HRX589908 IBS589872:IBT589908 ILO589872:ILP589908 IVK589872:IVL589908 JFG589872:JFH589908 JPC589872:JPD589908 JYY589872:JYZ589908 KIU589872:KIV589908 KSQ589872:KSR589908 LCM589872:LCN589908 LMI589872:LMJ589908 LWE589872:LWF589908 MGA589872:MGB589908 MPW589872:MPX589908 MZS589872:MZT589908 NJO589872:NJP589908 NTK589872:NTL589908 ODG589872:ODH589908 ONC589872:OND589908 OWY589872:OWZ589908 PGU589872:PGV589908 PQQ589872:PQR589908 QAM589872:QAN589908 QKI589872:QKJ589908 QUE589872:QUF589908 REA589872:REB589908 RNW589872:RNX589908 RXS589872:RXT589908 SHO589872:SHP589908 SRK589872:SRL589908 TBG589872:TBH589908 TLC589872:TLD589908 TUY589872:TUZ589908 UEU589872:UEV589908 UOQ589872:UOR589908 UYM589872:UYN589908 VII589872:VIJ589908 VSE589872:VSF589908 WCA589872:WCB589908 WLW589872:WLX589908 WVS589872:WVT589908 M655408:O655444 JG655408:JH655444 TC655408:TD655444 ACY655408:ACZ655444 AMU655408:AMV655444 AWQ655408:AWR655444 BGM655408:BGN655444 BQI655408:BQJ655444 CAE655408:CAF655444 CKA655408:CKB655444 CTW655408:CTX655444 DDS655408:DDT655444 DNO655408:DNP655444 DXK655408:DXL655444 EHG655408:EHH655444 ERC655408:ERD655444 FAY655408:FAZ655444 FKU655408:FKV655444 FUQ655408:FUR655444 GEM655408:GEN655444 GOI655408:GOJ655444 GYE655408:GYF655444 HIA655408:HIB655444 HRW655408:HRX655444 IBS655408:IBT655444 ILO655408:ILP655444 IVK655408:IVL655444 JFG655408:JFH655444 JPC655408:JPD655444 JYY655408:JYZ655444 KIU655408:KIV655444 KSQ655408:KSR655444 LCM655408:LCN655444 LMI655408:LMJ655444 LWE655408:LWF655444 MGA655408:MGB655444 MPW655408:MPX655444 MZS655408:MZT655444 NJO655408:NJP655444 NTK655408:NTL655444 ODG655408:ODH655444 ONC655408:OND655444 OWY655408:OWZ655444 PGU655408:PGV655444 PQQ655408:PQR655444 QAM655408:QAN655444 QKI655408:QKJ655444 QUE655408:QUF655444 REA655408:REB655444 RNW655408:RNX655444 RXS655408:RXT655444 SHO655408:SHP655444 SRK655408:SRL655444 TBG655408:TBH655444 TLC655408:TLD655444 TUY655408:TUZ655444 UEU655408:UEV655444 UOQ655408:UOR655444 UYM655408:UYN655444 VII655408:VIJ655444 VSE655408:VSF655444 WCA655408:WCB655444 WLW655408:WLX655444 WVS655408:WVT655444 M720944:O720980 JG720944:JH720980 TC720944:TD720980 ACY720944:ACZ720980 AMU720944:AMV720980 AWQ720944:AWR720980 BGM720944:BGN720980 BQI720944:BQJ720980 CAE720944:CAF720980 CKA720944:CKB720980 CTW720944:CTX720980 DDS720944:DDT720980 DNO720944:DNP720980 DXK720944:DXL720980 EHG720944:EHH720980 ERC720944:ERD720980 FAY720944:FAZ720980 FKU720944:FKV720980 FUQ720944:FUR720980 GEM720944:GEN720980 GOI720944:GOJ720980 GYE720944:GYF720980 HIA720944:HIB720980 HRW720944:HRX720980 IBS720944:IBT720980 ILO720944:ILP720980 IVK720944:IVL720980 JFG720944:JFH720980 JPC720944:JPD720980 JYY720944:JYZ720980 KIU720944:KIV720980 KSQ720944:KSR720980 LCM720944:LCN720980 LMI720944:LMJ720980 LWE720944:LWF720980 MGA720944:MGB720980 MPW720944:MPX720980 MZS720944:MZT720980 NJO720944:NJP720980 NTK720944:NTL720980 ODG720944:ODH720980 ONC720944:OND720980 OWY720944:OWZ720980 PGU720944:PGV720980 PQQ720944:PQR720980 QAM720944:QAN720980 QKI720944:QKJ720980 QUE720944:QUF720980 REA720944:REB720980 RNW720944:RNX720980 RXS720944:RXT720980 SHO720944:SHP720980 SRK720944:SRL720980 TBG720944:TBH720980 TLC720944:TLD720980 TUY720944:TUZ720980 UEU720944:UEV720980 UOQ720944:UOR720980 UYM720944:UYN720980 VII720944:VIJ720980 VSE720944:VSF720980 WCA720944:WCB720980 WLW720944:WLX720980 WVS720944:WVT720980 M786480:O786516 JG786480:JH786516 TC786480:TD786516 ACY786480:ACZ786516 AMU786480:AMV786516 AWQ786480:AWR786516 BGM786480:BGN786516 BQI786480:BQJ786516 CAE786480:CAF786516 CKA786480:CKB786516 CTW786480:CTX786516 DDS786480:DDT786516 DNO786480:DNP786516 DXK786480:DXL786516 EHG786480:EHH786516 ERC786480:ERD786516 FAY786480:FAZ786516 FKU786480:FKV786516 FUQ786480:FUR786516 GEM786480:GEN786516 GOI786480:GOJ786516 GYE786480:GYF786516 HIA786480:HIB786516 HRW786480:HRX786516 IBS786480:IBT786516 ILO786480:ILP786516 IVK786480:IVL786516 JFG786480:JFH786516 JPC786480:JPD786516 JYY786480:JYZ786516 KIU786480:KIV786516 KSQ786480:KSR786516 LCM786480:LCN786516 LMI786480:LMJ786516 LWE786480:LWF786516 MGA786480:MGB786516 MPW786480:MPX786516 MZS786480:MZT786516 NJO786480:NJP786516 NTK786480:NTL786516 ODG786480:ODH786516 ONC786480:OND786516 OWY786480:OWZ786516 PGU786480:PGV786516 PQQ786480:PQR786516 QAM786480:QAN786516 QKI786480:QKJ786516 QUE786480:QUF786516 REA786480:REB786516 RNW786480:RNX786516 RXS786480:RXT786516 SHO786480:SHP786516 SRK786480:SRL786516 TBG786480:TBH786516 TLC786480:TLD786516 TUY786480:TUZ786516 UEU786480:UEV786516 UOQ786480:UOR786516 UYM786480:UYN786516 VII786480:VIJ786516 VSE786480:VSF786516 WCA786480:WCB786516 WLW786480:WLX786516 WVS786480:WVT786516 M852016:O852052 JG852016:JH852052 TC852016:TD852052 ACY852016:ACZ852052 AMU852016:AMV852052 AWQ852016:AWR852052 BGM852016:BGN852052 BQI852016:BQJ852052 CAE852016:CAF852052 CKA852016:CKB852052 CTW852016:CTX852052 DDS852016:DDT852052 DNO852016:DNP852052 DXK852016:DXL852052 EHG852016:EHH852052 ERC852016:ERD852052 FAY852016:FAZ852052 FKU852016:FKV852052 FUQ852016:FUR852052 GEM852016:GEN852052 GOI852016:GOJ852052 GYE852016:GYF852052 HIA852016:HIB852052 HRW852016:HRX852052 IBS852016:IBT852052 ILO852016:ILP852052 IVK852016:IVL852052 JFG852016:JFH852052 JPC852016:JPD852052 JYY852016:JYZ852052 KIU852016:KIV852052 KSQ852016:KSR852052 LCM852016:LCN852052 LMI852016:LMJ852052 LWE852016:LWF852052 MGA852016:MGB852052 MPW852016:MPX852052 MZS852016:MZT852052 NJO852016:NJP852052 NTK852016:NTL852052 ODG852016:ODH852052 ONC852016:OND852052 OWY852016:OWZ852052 PGU852016:PGV852052 PQQ852016:PQR852052 QAM852016:QAN852052 QKI852016:QKJ852052 QUE852016:QUF852052 REA852016:REB852052 RNW852016:RNX852052 RXS852016:RXT852052 SHO852016:SHP852052 SRK852016:SRL852052 TBG852016:TBH852052 TLC852016:TLD852052 TUY852016:TUZ852052 UEU852016:UEV852052 UOQ852016:UOR852052 UYM852016:UYN852052 VII852016:VIJ852052 VSE852016:VSF852052 WCA852016:WCB852052 WLW852016:WLX852052 WVS852016:WVT852052 M917552:O917588 JG917552:JH917588 TC917552:TD917588 ACY917552:ACZ917588 AMU917552:AMV917588 AWQ917552:AWR917588 BGM917552:BGN917588 BQI917552:BQJ917588 CAE917552:CAF917588 CKA917552:CKB917588 CTW917552:CTX917588 DDS917552:DDT917588 DNO917552:DNP917588 DXK917552:DXL917588 EHG917552:EHH917588 ERC917552:ERD917588 FAY917552:FAZ917588 FKU917552:FKV917588 FUQ917552:FUR917588 GEM917552:GEN917588 GOI917552:GOJ917588 GYE917552:GYF917588 HIA917552:HIB917588 HRW917552:HRX917588 IBS917552:IBT917588 ILO917552:ILP917588 IVK917552:IVL917588 JFG917552:JFH917588 JPC917552:JPD917588 JYY917552:JYZ917588 KIU917552:KIV917588 KSQ917552:KSR917588 LCM917552:LCN917588 LMI917552:LMJ917588 LWE917552:LWF917588 MGA917552:MGB917588 MPW917552:MPX917588 MZS917552:MZT917588 NJO917552:NJP917588 NTK917552:NTL917588 ODG917552:ODH917588 ONC917552:OND917588 OWY917552:OWZ917588 PGU917552:PGV917588 PQQ917552:PQR917588 QAM917552:QAN917588 QKI917552:QKJ917588 QUE917552:QUF917588 REA917552:REB917588 RNW917552:RNX917588 RXS917552:RXT917588 SHO917552:SHP917588 SRK917552:SRL917588 TBG917552:TBH917588 TLC917552:TLD917588 TUY917552:TUZ917588 UEU917552:UEV917588 UOQ917552:UOR917588 UYM917552:UYN917588 VII917552:VIJ917588 VSE917552:VSF917588 WCA917552:WCB917588 WLW917552:WLX917588 WVS917552:WVT917588 M983088:O983124 JG983088:JH983124 TC983088:TD983124 ACY983088:ACZ983124 AMU983088:AMV983124 AWQ983088:AWR983124 BGM983088:BGN983124 BQI983088:BQJ983124 CAE983088:CAF983124 CKA983088:CKB983124 CTW983088:CTX983124 DDS983088:DDT983124 DNO983088:DNP983124 DXK983088:DXL983124 EHG983088:EHH983124 ERC983088:ERD983124 FAY983088:FAZ983124 FKU983088:FKV983124 FUQ983088:FUR983124 GEM983088:GEN983124 GOI983088:GOJ983124 GYE983088:GYF983124 HIA983088:HIB983124 HRW983088:HRX983124 IBS983088:IBT983124 ILO983088:ILP983124 IVK983088:IVL983124 JFG983088:JFH983124 JPC983088:JPD983124 JYY983088:JYZ983124 KIU983088:KIV983124 KSQ983088:KSR983124 LCM983088:LCN983124 LMI983088:LMJ983124 LWE983088:LWF983124 MGA983088:MGB983124 MPW983088:MPX983124 MZS983088:MZT983124 NJO983088:NJP983124 NTK983088:NTL983124 ODG983088:ODH983124 ONC983088:OND983124 OWY983088:OWZ983124 PGU983088:PGV983124 PQQ983088:PQR983124 QAM983088:QAN983124 QKI983088:QKJ983124 QUE983088:QUF983124 REA983088:REB983124 RNW983088:RNX983124 RXS983088:RXT983124 SHO983088:SHP983124 SRK983088:SRL983124 TBG983088:TBH983124 TLC983088:TLD983124 TUY983088:TUZ983124 UEU983088:UEV983124 UOQ983088:UOR983124 UYM983088:UYN983124 VII983088:VIJ983124 VSE983088:VSF983124 WCA983088:WCB983124 WLW983088:WLX983124 N5:N84">
      <formula1>0</formula1>
      <formula2>33</formula2>
    </dataValidation>
    <dataValidation type="decimal" allowBlank="1" showInputMessage="1" showErrorMessage="1" sqref="WVG983088:WVG983124 IU5:IU84 SQ5:SQ84 ACM5:ACM84 AMI5:AMI84 AWE5:AWE84 BGA5:BGA84 BPW5:BPW84 BZS5:BZS84 CJO5:CJO84 CTK5:CTK84 DDG5:DDG84 DNC5:DNC84 DWY5:DWY84 EGU5:EGU84 EQQ5:EQQ84 FAM5:FAM84 FKI5:FKI84 FUE5:FUE84 GEA5:GEA84 GNW5:GNW84 GXS5:GXS84 HHO5:HHO84 HRK5:HRK84 IBG5:IBG84 ILC5:ILC84 IUY5:IUY84 JEU5:JEU84 JOQ5:JOQ84 JYM5:JYM84 KII5:KII84 KSE5:KSE84 LCA5:LCA84 LLW5:LLW84 LVS5:LVS84 MFO5:MFO84 MPK5:MPK84 MZG5:MZG84 NJC5:NJC84 NSY5:NSY84 OCU5:OCU84 OMQ5:OMQ84 OWM5:OWM84 PGI5:PGI84 PQE5:PQE84 QAA5:QAA84 QJW5:QJW84 QTS5:QTS84 RDO5:RDO84 RNK5:RNK84 RXG5:RXG84 SHC5:SHC84 SQY5:SQY84 TAU5:TAU84 TKQ5:TKQ84 TUM5:TUM84 UEI5:UEI84 UOE5:UOE84 UYA5:UYA84 VHW5:VHW84 VRS5:VRS84 WBO5:WBO84 WLK5:WLK84 WVG5:WVG84 Q65584:Q65620 IU65584:IU65620 SQ65584:SQ65620 ACM65584:ACM65620 AMI65584:AMI65620 AWE65584:AWE65620 BGA65584:BGA65620 BPW65584:BPW65620 BZS65584:BZS65620 CJO65584:CJO65620 CTK65584:CTK65620 DDG65584:DDG65620 DNC65584:DNC65620 DWY65584:DWY65620 EGU65584:EGU65620 EQQ65584:EQQ65620 FAM65584:FAM65620 FKI65584:FKI65620 FUE65584:FUE65620 GEA65584:GEA65620 GNW65584:GNW65620 GXS65584:GXS65620 HHO65584:HHO65620 HRK65584:HRK65620 IBG65584:IBG65620 ILC65584:ILC65620 IUY65584:IUY65620 JEU65584:JEU65620 JOQ65584:JOQ65620 JYM65584:JYM65620 KII65584:KII65620 KSE65584:KSE65620 LCA65584:LCA65620 LLW65584:LLW65620 LVS65584:LVS65620 MFO65584:MFO65620 MPK65584:MPK65620 MZG65584:MZG65620 NJC65584:NJC65620 NSY65584:NSY65620 OCU65584:OCU65620 OMQ65584:OMQ65620 OWM65584:OWM65620 PGI65584:PGI65620 PQE65584:PQE65620 QAA65584:QAA65620 QJW65584:QJW65620 QTS65584:QTS65620 RDO65584:RDO65620 RNK65584:RNK65620 RXG65584:RXG65620 SHC65584:SHC65620 SQY65584:SQY65620 TAU65584:TAU65620 TKQ65584:TKQ65620 TUM65584:TUM65620 UEI65584:UEI65620 UOE65584:UOE65620 UYA65584:UYA65620 VHW65584:VHW65620 VRS65584:VRS65620 WBO65584:WBO65620 WLK65584:WLK65620 WVG65584:WVG65620 Q131120:Q131156 IU131120:IU131156 SQ131120:SQ131156 ACM131120:ACM131156 AMI131120:AMI131156 AWE131120:AWE131156 BGA131120:BGA131156 BPW131120:BPW131156 BZS131120:BZS131156 CJO131120:CJO131156 CTK131120:CTK131156 DDG131120:DDG131156 DNC131120:DNC131156 DWY131120:DWY131156 EGU131120:EGU131156 EQQ131120:EQQ131156 FAM131120:FAM131156 FKI131120:FKI131156 FUE131120:FUE131156 GEA131120:GEA131156 GNW131120:GNW131156 GXS131120:GXS131156 HHO131120:HHO131156 HRK131120:HRK131156 IBG131120:IBG131156 ILC131120:ILC131156 IUY131120:IUY131156 JEU131120:JEU131156 JOQ131120:JOQ131156 JYM131120:JYM131156 KII131120:KII131156 KSE131120:KSE131156 LCA131120:LCA131156 LLW131120:LLW131156 LVS131120:LVS131156 MFO131120:MFO131156 MPK131120:MPK131156 MZG131120:MZG131156 NJC131120:NJC131156 NSY131120:NSY131156 OCU131120:OCU131156 OMQ131120:OMQ131156 OWM131120:OWM131156 PGI131120:PGI131156 PQE131120:PQE131156 QAA131120:QAA131156 QJW131120:QJW131156 QTS131120:QTS131156 RDO131120:RDO131156 RNK131120:RNK131156 RXG131120:RXG131156 SHC131120:SHC131156 SQY131120:SQY131156 TAU131120:TAU131156 TKQ131120:TKQ131156 TUM131120:TUM131156 UEI131120:UEI131156 UOE131120:UOE131156 UYA131120:UYA131156 VHW131120:VHW131156 VRS131120:VRS131156 WBO131120:WBO131156 WLK131120:WLK131156 WVG131120:WVG131156 Q196656:Q196692 IU196656:IU196692 SQ196656:SQ196692 ACM196656:ACM196692 AMI196656:AMI196692 AWE196656:AWE196692 BGA196656:BGA196692 BPW196656:BPW196692 BZS196656:BZS196692 CJO196656:CJO196692 CTK196656:CTK196692 DDG196656:DDG196692 DNC196656:DNC196692 DWY196656:DWY196692 EGU196656:EGU196692 EQQ196656:EQQ196692 FAM196656:FAM196692 FKI196656:FKI196692 FUE196656:FUE196692 GEA196656:GEA196692 GNW196656:GNW196692 GXS196656:GXS196692 HHO196656:HHO196692 HRK196656:HRK196692 IBG196656:IBG196692 ILC196656:ILC196692 IUY196656:IUY196692 JEU196656:JEU196692 JOQ196656:JOQ196692 JYM196656:JYM196692 KII196656:KII196692 KSE196656:KSE196692 LCA196656:LCA196692 LLW196656:LLW196692 LVS196656:LVS196692 MFO196656:MFO196692 MPK196656:MPK196692 MZG196656:MZG196692 NJC196656:NJC196692 NSY196656:NSY196692 OCU196656:OCU196692 OMQ196656:OMQ196692 OWM196656:OWM196692 PGI196656:PGI196692 PQE196656:PQE196692 QAA196656:QAA196692 QJW196656:QJW196692 QTS196656:QTS196692 RDO196656:RDO196692 RNK196656:RNK196692 RXG196656:RXG196692 SHC196656:SHC196692 SQY196656:SQY196692 TAU196656:TAU196692 TKQ196656:TKQ196692 TUM196656:TUM196692 UEI196656:UEI196692 UOE196656:UOE196692 UYA196656:UYA196692 VHW196656:VHW196692 VRS196656:VRS196692 WBO196656:WBO196692 WLK196656:WLK196692 WVG196656:WVG196692 Q262192:Q262228 IU262192:IU262228 SQ262192:SQ262228 ACM262192:ACM262228 AMI262192:AMI262228 AWE262192:AWE262228 BGA262192:BGA262228 BPW262192:BPW262228 BZS262192:BZS262228 CJO262192:CJO262228 CTK262192:CTK262228 DDG262192:DDG262228 DNC262192:DNC262228 DWY262192:DWY262228 EGU262192:EGU262228 EQQ262192:EQQ262228 FAM262192:FAM262228 FKI262192:FKI262228 FUE262192:FUE262228 GEA262192:GEA262228 GNW262192:GNW262228 GXS262192:GXS262228 HHO262192:HHO262228 HRK262192:HRK262228 IBG262192:IBG262228 ILC262192:ILC262228 IUY262192:IUY262228 JEU262192:JEU262228 JOQ262192:JOQ262228 JYM262192:JYM262228 KII262192:KII262228 KSE262192:KSE262228 LCA262192:LCA262228 LLW262192:LLW262228 LVS262192:LVS262228 MFO262192:MFO262228 MPK262192:MPK262228 MZG262192:MZG262228 NJC262192:NJC262228 NSY262192:NSY262228 OCU262192:OCU262228 OMQ262192:OMQ262228 OWM262192:OWM262228 PGI262192:PGI262228 PQE262192:PQE262228 QAA262192:QAA262228 QJW262192:QJW262228 QTS262192:QTS262228 RDO262192:RDO262228 RNK262192:RNK262228 RXG262192:RXG262228 SHC262192:SHC262228 SQY262192:SQY262228 TAU262192:TAU262228 TKQ262192:TKQ262228 TUM262192:TUM262228 UEI262192:UEI262228 UOE262192:UOE262228 UYA262192:UYA262228 VHW262192:VHW262228 VRS262192:VRS262228 WBO262192:WBO262228 WLK262192:WLK262228 WVG262192:WVG262228 Q327728:Q327764 IU327728:IU327764 SQ327728:SQ327764 ACM327728:ACM327764 AMI327728:AMI327764 AWE327728:AWE327764 BGA327728:BGA327764 BPW327728:BPW327764 BZS327728:BZS327764 CJO327728:CJO327764 CTK327728:CTK327764 DDG327728:DDG327764 DNC327728:DNC327764 DWY327728:DWY327764 EGU327728:EGU327764 EQQ327728:EQQ327764 FAM327728:FAM327764 FKI327728:FKI327764 FUE327728:FUE327764 GEA327728:GEA327764 GNW327728:GNW327764 GXS327728:GXS327764 HHO327728:HHO327764 HRK327728:HRK327764 IBG327728:IBG327764 ILC327728:ILC327764 IUY327728:IUY327764 JEU327728:JEU327764 JOQ327728:JOQ327764 JYM327728:JYM327764 KII327728:KII327764 KSE327728:KSE327764 LCA327728:LCA327764 LLW327728:LLW327764 LVS327728:LVS327764 MFO327728:MFO327764 MPK327728:MPK327764 MZG327728:MZG327764 NJC327728:NJC327764 NSY327728:NSY327764 OCU327728:OCU327764 OMQ327728:OMQ327764 OWM327728:OWM327764 PGI327728:PGI327764 PQE327728:PQE327764 QAA327728:QAA327764 QJW327728:QJW327764 QTS327728:QTS327764 RDO327728:RDO327764 RNK327728:RNK327764 RXG327728:RXG327764 SHC327728:SHC327764 SQY327728:SQY327764 TAU327728:TAU327764 TKQ327728:TKQ327764 TUM327728:TUM327764 UEI327728:UEI327764 UOE327728:UOE327764 UYA327728:UYA327764 VHW327728:VHW327764 VRS327728:VRS327764 WBO327728:WBO327764 WLK327728:WLK327764 WVG327728:WVG327764 Q393264:Q393300 IU393264:IU393300 SQ393264:SQ393300 ACM393264:ACM393300 AMI393264:AMI393300 AWE393264:AWE393300 BGA393264:BGA393300 BPW393264:BPW393300 BZS393264:BZS393300 CJO393264:CJO393300 CTK393264:CTK393300 DDG393264:DDG393300 DNC393264:DNC393300 DWY393264:DWY393300 EGU393264:EGU393300 EQQ393264:EQQ393300 FAM393264:FAM393300 FKI393264:FKI393300 FUE393264:FUE393300 GEA393264:GEA393300 GNW393264:GNW393300 GXS393264:GXS393300 HHO393264:HHO393300 HRK393264:HRK393300 IBG393264:IBG393300 ILC393264:ILC393300 IUY393264:IUY393300 JEU393264:JEU393300 JOQ393264:JOQ393300 JYM393264:JYM393300 KII393264:KII393300 KSE393264:KSE393300 LCA393264:LCA393300 LLW393264:LLW393300 LVS393264:LVS393300 MFO393264:MFO393300 MPK393264:MPK393300 MZG393264:MZG393300 NJC393264:NJC393300 NSY393264:NSY393300 OCU393264:OCU393300 OMQ393264:OMQ393300 OWM393264:OWM393300 PGI393264:PGI393300 PQE393264:PQE393300 QAA393264:QAA393300 QJW393264:QJW393300 QTS393264:QTS393300 RDO393264:RDO393300 RNK393264:RNK393300 RXG393264:RXG393300 SHC393264:SHC393300 SQY393264:SQY393300 TAU393264:TAU393300 TKQ393264:TKQ393300 TUM393264:TUM393300 UEI393264:UEI393300 UOE393264:UOE393300 UYA393264:UYA393300 VHW393264:VHW393300 VRS393264:VRS393300 WBO393264:WBO393300 WLK393264:WLK393300 WVG393264:WVG393300 Q458800:Q458836 IU458800:IU458836 SQ458800:SQ458836 ACM458800:ACM458836 AMI458800:AMI458836 AWE458800:AWE458836 BGA458800:BGA458836 BPW458800:BPW458836 BZS458800:BZS458836 CJO458800:CJO458836 CTK458800:CTK458836 DDG458800:DDG458836 DNC458800:DNC458836 DWY458800:DWY458836 EGU458800:EGU458836 EQQ458800:EQQ458836 FAM458800:FAM458836 FKI458800:FKI458836 FUE458800:FUE458836 GEA458800:GEA458836 GNW458800:GNW458836 GXS458800:GXS458836 HHO458800:HHO458836 HRK458800:HRK458836 IBG458800:IBG458836 ILC458800:ILC458836 IUY458800:IUY458836 JEU458800:JEU458836 JOQ458800:JOQ458836 JYM458800:JYM458836 KII458800:KII458836 KSE458800:KSE458836 LCA458800:LCA458836 LLW458800:LLW458836 LVS458800:LVS458836 MFO458800:MFO458836 MPK458800:MPK458836 MZG458800:MZG458836 NJC458800:NJC458836 NSY458800:NSY458836 OCU458800:OCU458836 OMQ458800:OMQ458836 OWM458800:OWM458836 PGI458800:PGI458836 PQE458800:PQE458836 QAA458800:QAA458836 QJW458800:QJW458836 QTS458800:QTS458836 RDO458800:RDO458836 RNK458800:RNK458836 RXG458800:RXG458836 SHC458800:SHC458836 SQY458800:SQY458836 TAU458800:TAU458836 TKQ458800:TKQ458836 TUM458800:TUM458836 UEI458800:UEI458836 UOE458800:UOE458836 UYA458800:UYA458836 VHW458800:VHW458836 VRS458800:VRS458836 WBO458800:WBO458836 WLK458800:WLK458836 WVG458800:WVG458836 Q524336:Q524372 IU524336:IU524372 SQ524336:SQ524372 ACM524336:ACM524372 AMI524336:AMI524372 AWE524336:AWE524372 BGA524336:BGA524372 BPW524336:BPW524372 BZS524336:BZS524372 CJO524336:CJO524372 CTK524336:CTK524372 DDG524336:DDG524372 DNC524336:DNC524372 DWY524336:DWY524372 EGU524336:EGU524372 EQQ524336:EQQ524372 FAM524336:FAM524372 FKI524336:FKI524372 FUE524336:FUE524372 GEA524336:GEA524372 GNW524336:GNW524372 GXS524336:GXS524372 HHO524336:HHO524372 HRK524336:HRK524372 IBG524336:IBG524372 ILC524336:ILC524372 IUY524336:IUY524372 JEU524336:JEU524372 JOQ524336:JOQ524372 JYM524336:JYM524372 KII524336:KII524372 KSE524336:KSE524372 LCA524336:LCA524372 LLW524336:LLW524372 LVS524336:LVS524372 MFO524336:MFO524372 MPK524336:MPK524372 MZG524336:MZG524372 NJC524336:NJC524372 NSY524336:NSY524372 OCU524336:OCU524372 OMQ524336:OMQ524372 OWM524336:OWM524372 PGI524336:PGI524372 PQE524336:PQE524372 QAA524336:QAA524372 QJW524336:QJW524372 QTS524336:QTS524372 RDO524336:RDO524372 RNK524336:RNK524372 RXG524336:RXG524372 SHC524336:SHC524372 SQY524336:SQY524372 TAU524336:TAU524372 TKQ524336:TKQ524372 TUM524336:TUM524372 UEI524336:UEI524372 UOE524336:UOE524372 UYA524336:UYA524372 VHW524336:VHW524372 VRS524336:VRS524372 WBO524336:WBO524372 WLK524336:WLK524372 WVG524336:WVG524372 Q589872:Q589908 IU589872:IU589908 SQ589872:SQ589908 ACM589872:ACM589908 AMI589872:AMI589908 AWE589872:AWE589908 BGA589872:BGA589908 BPW589872:BPW589908 BZS589872:BZS589908 CJO589872:CJO589908 CTK589872:CTK589908 DDG589872:DDG589908 DNC589872:DNC589908 DWY589872:DWY589908 EGU589872:EGU589908 EQQ589872:EQQ589908 FAM589872:FAM589908 FKI589872:FKI589908 FUE589872:FUE589908 GEA589872:GEA589908 GNW589872:GNW589908 GXS589872:GXS589908 HHO589872:HHO589908 HRK589872:HRK589908 IBG589872:IBG589908 ILC589872:ILC589908 IUY589872:IUY589908 JEU589872:JEU589908 JOQ589872:JOQ589908 JYM589872:JYM589908 KII589872:KII589908 KSE589872:KSE589908 LCA589872:LCA589908 LLW589872:LLW589908 LVS589872:LVS589908 MFO589872:MFO589908 MPK589872:MPK589908 MZG589872:MZG589908 NJC589872:NJC589908 NSY589872:NSY589908 OCU589872:OCU589908 OMQ589872:OMQ589908 OWM589872:OWM589908 PGI589872:PGI589908 PQE589872:PQE589908 QAA589872:QAA589908 QJW589872:QJW589908 QTS589872:QTS589908 RDO589872:RDO589908 RNK589872:RNK589908 RXG589872:RXG589908 SHC589872:SHC589908 SQY589872:SQY589908 TAU589872:TAU589908 TKQ589872:TKQ589908 TUM589872:TUM589908 UEI589872:UEI589908 UOE589872:UOE589908 UYA589872:UYA589908 VHW589872:VHW589908 VRS589872:VRS589908 WBO589872:WBO589908 WLK589872:WLK589908 WVG589872:WVG589908 Q655408:Q655444 IU655408:IU655444 SQ655408:SQ655444 ACM655408:ACM655444 AMI655408:AMI655444 AWE655408:AWE655444 BGA655408:BGA655444 BPW655408:BPW655444 BZS655408:BZS655444 CJO655408:CJO655444 CTK655408:CTK655444 DDG655408:DDG655444 DNC655408:DNC655444 DWY655408:DWY655444 EGU655408:EGU655444 EQQ655408:EQQ655444 FAM655408:FAM655444 FKI655408:FKI655444 FUE655408:FUE655444 GEA655408:GEA655444 GNW655408:GNW655444 GXS655408:GXS655444 HHO655408:HHO655444 HRK655408:HRK655444 IBG655408:IBG655444 ILC655408:ILC655444 IUY655408:IUY655444 JEU655408:JEU655444 JOQ655408:JOQ655444 JYM655408:JYM655444 KII655408:KII655444 KSE655408:KSE655444 LCA655408:LCA655444 LLW655408:LLW655444 LVS655408:LVS655444 MFO655408:MFO655444 MPK655408:MPK655444 MZG655408:MZG655444 NJC655408:NJC655444 NSY655408:NSY655444 OCU655408:OCU655444 OMQ655408:OMQ655444 OWM655408:OWM655444 PGI655408:PGI655444 PQE655408:PQE655444 QAA655408:QAA655444 QJW655408:QJW655444 QTS655408:QTS655444 RDO655408:RDO655444 RNK655408:RNK655444 RXG655408:RXG655444 SHC655408:SHC655444 SQY655408:SQY655444 TAU655408:TAU655444 TKQ655408:TKQ655444 TUM655408:TUM655444 UEI655408:UEI655444 UOE655408:UOE655444 UYA655408:UYA655444 VHW655408:VHW655444 VRS655408:VRS655444 WBO655408:WBO655444 WLK655408:WLK655444 WVG655408:WVG655444 Q720944:Q720980 IU720944:IU720980 SQ720944:SQ720980 ACM720944:ACM720980 AMI720944:AMI720980 AWE720944:AWE720980 BGA720944:BGA720980 BPW720944:BPW720980 BZS720944:BZS720980 CJO720944:CJO720980 CTK720944:CTK720980 DDG720944:DDG720980 DNC720944:DNC720980 DWY720944:DWY720980 EGU720944:EGU720980 EQQ720944:EQQ720980 FAM720944:FAM720980 FKI720944:FKI720980 FUE720944:FUE720980 GEA720944:GEA720980 GNW720944:GNW720980 GXS720944:GXS720980 HHO720944:HHO720980 HRK720944:HRK720980 IBG720944:IBG720980 ILC720944:ILC720980 IUY720944:IUY720980 JEU720944:JEU720980 JOQ720944:JOQ720980 JYM720944:JYM720980 KII720944:KII720980 KSE720944:KSE720980 LCA720944:LCA720980 LLW720944:LLW720980 LVS720944:LVS720980 MFO720944:MFO720980 MPK720944:MPK720980 MZG720944:MZG720980 NJC720944:NJC720980 NSY720944:NSY720980 OCU720944:OCU720980 OMQ720944:OMQ720980 OWM720944:OWM720980 PGI720944:PGI720980 PQE720944:PQE720980 QAA720944:QAA720980 QJW720944:QJW720980 QTS720944:QTS720980 RDO720944:RDO720980 RNK720944:RNK720980 RXG720944:RXG720980 SHC720944:SHC720980 SQY720944:SQY720980 TAU720944:TAU720980 TKQ720944:TKQ720980 TUM720944:TUM720980 UEI720944:UEI720980 UOE720944:UOE720980 UYA720944:UYA720980 VHW720944:VHW720980 VRS720944:VRS720980 WBO720944:WBO720980 WLK720944:WLK720980 WVG720944:WVG720980 Q786480:Q786516 IU786480:IU786516 SQ786480:SQ786516 ACM786480:ACM786516 AMI786480:AMI786516 AWE786480:AWE786516 BGA786480:BGA786516 BPW786480:BPW786516 BZS786480:BZS786516 CJO786480:CJO786516 CTK786480:CTK786516 DDG786480:DDG786516 DNC786480:DNC786516 DWY786480:DWY786516 EGU786480:EGU786516 EQQ786480:EQQ786516 FAM786480:FAM786516 FKI786480:FKI786516 FUE786480:FUE786516 GEA786480:GEA786516 GNW786480:GNW786516 GXS786480:GXS786516 HHO786480:HHO786516 HRK786480:HRK786516 IBG786480:IBG786516 ILC786480:ILC786516 IUY786480:IUY786516 JEU786480:JEU786516 JOQ786480:JOQ786516 JYM786480:JYM786516 KII786480:KII786516 KSE786480:KSE786516 LCA786480:LCA786516 LLW786480:LLW786516 LVS786480:LVS786516 MFO786480:MFO786516 MPK786480:MPK786516 MZG786480:MZG786516 NJC786480:NJC786516 NSY786480:NSY786516 OCU786480:OCU786516 OMQ786480:OMQ786516 OWM786480:OWM786516 PGI786480:PGI786516 PQE786480:PQE786516 QAA786480:QAA786516 QJW786480:QJW786516 QTS786480:QTS786516 RDO786480:RDO786516 RNK786480:RNK786516 RXG786480:RXG786516 SHC786480:SHC786516 SQY786480:SQY786516 TAU786480:TAU786516 TKQ786480:TKQ786516 TUM786480:TUM786516 UEI786480:UEI786516 UOE786480:UOE786516 UYA786480:UYA786516 VHW786480:VHW786516 VRS786480:VRS786516 WBO786480:WBO786516 WLK786480:WLK786516 WVG786480:WVG786516 Q852016:Q852052 IU852016:IU852052 SQ852016:SQ852052 ACM852016:ACM852052 AMI852016:AMI852052 AWE852016:AWE852052 BGA852016:BGA852052 BPW852016:BPW852052 BZS852016:BZS852052 CJO852016:CJO852052 CTK852016:CTK852052 DDG852016:DDG852052 DNC852016:DNC852052 DWY852016:DWY852052 EGU852016:EGU852052 EQQ852016:EQQ852052 FAM852016:FAM852052 FKI852016:FKI852052 FUE852016:FUE852052 GEA852016:GEA852052 GNW852016:GNW852052 GXS852016:GXS852052 HHO852016:HHO852052 HRK852016:HRK852052 IBG852016:IBG852052 ILC852016:ILC852052 IUY852016:IUY852052 JEU852016:JEU852052 JOQ852016:JOQ852052 JYM852016:JYM852052 KII852016:KII852052 KSE852016:KSE852052 LCA852016:LCA852052 LLW852016:LLW852052 LVS852016:LVS852052 MFO852016:MFO852052 MPK852016:MPK852052 MZG852016:MZG852052 NJC852016:NJC852052 NSY852016:NSY852052 OCU852016:OCU852052 OMQ852016:OMQ852052 OWM852016:OWM852052 PGI852016:PGI852052 PQE852016:PQE852052 QAA852016:QAA852052 QJW852016:QJW852052 QTS852016:QTS852052 RDO852016:RDO852052 RNK852016:RNK852052 RXG852016:RXG852052 SHC852016:SHC852052 SQY852016:SQY852052 TAU852016:TAU852052 TKQ852016:TKQ852052 TUM852016:TUM852052 UEI852016:UEI852052 UOE852016:UOE852052 UYA852016:UYA852052 VHW852016:VHW852052 VRS852016:VRS852052 WBO852016:WBO852052 WLK852016:WLK852052 WVG852016:WVG852052 Q917552:Q917588 IU917552:IU917588 SQ917552:SQ917588 ACM917552:ACM917588 AMI917552:AMI917588 AWE917552:AWE917588 BGA917552:BGA917588 BPW917552:BPW917588 BZS917552:BZS917588 CJO917552:CJO917588 CTK917552:CTK917588 DDG917552:DDG917588 DNC917552:DNC917588 DWY917552:DWY917588 EGU917552:EGU917588 EQQ917552:EQQ917588 FAM917552:FAM917588 FKI917552:FKI917588 FUE917552:FUE917588 GEA917552:GEA917588 GNW917552:GNW917588 GXS917552:GXS917588 HHO917552:HHO917588 HRK917552:HRK917588 IBG917552:IBG917588 ILC917552:ILC917588 IUY917552:IUY917588 JEU917552:JEU917588 JOQ917552:JOQ917588 JYM917552:JYM917588 KII917552:KII917588 KSE917552:KSE917588 LCA917552:LCA917588 LLW917552:LLW917588 LVS917552:LVS917588 MFO917552:MFO917588 MPK917552:MPK917588 MZG917552:MZG917588 NJC917552:NJC917588 NSY917552:NSY917588 OCU917552:OCU917588 OMQ917552:OMQ917588 OWM917552:OWM917588 PGI917552:PGI917588 PQE917552:PQE917588 QAA917552:QAA917588 QJW917552:QJW917588 QTS917552:QTS917588 RDO917552:RDO917588 RNK917552:RNK917588 RXG917552:RXG917588 SHC917552:SHC917588 SQY917552:SQY917588 TAU917552:TAU917588 TKQ917552:TKQ917588 TUM917552:TUM917588 UEI917552:UEI917588 UOE917552:UOE917588 UYA917552:UYA917588 VHW917552:VHW917588 VRS917552:VRS917588 WBO917552:WBO917588 WLK917552:WLK917588 WVG917552:WVG917588 Q983088:Q983124 IU983088:IU983124 SQ983088:SQ983124 ACM983088:ACM983124 AMI983088:AMI983124 AWE983088:AWE983124 BGA983088:BGA983124 BPW983088:BPW983124 BZS983088:BZS983124 CJO983088:CJO983124 CTK983088:CTK983124 DDG983088:DDG983124 DNC983088:DNC983124 DWY983088:DWY983124 EGU983088:EGU983124 EQQ983088:EQQ983124 FAM983088:FAM983124 FKI983088:FKI983124 FUE983088:FUE983124 GEA983088:GEA983124 GNW983088:GNW983124 GXS983088:GXS983124 HHO983088:HHO983124 HRK983088:HRK983124 IBG983088:IBG983124 ILC983088:ILC983124 IUY983088:IUY983124 JEU983088:JEU983124 JOQ983088:JOQ983124 JYM983088:JYM983124 KII983088:KII983124 KSE983088:KSE983124 LCA983088:LCA983124 LLW983088:LLW983124 LVS983088:LVS983124 MFO983088:MFO983124 MPK983088:MPK983124 MZG983088:MZG983124 NJC983088:NJC983124 NSY983088:NSY983124 OCU983088:OCU983124 OMQ983088:OMQ983124 OWM983088:OWM983124 PGI983088:PGI983124 PQE983088:PQE983124 QAA983088:QAA983124 QJW983088:QJW983124 QTS983088:QTS983124 RDO983088:RDO983124 RNK983088:RNK983124 RXG983088:RXG983124 SHC983088:SHC983124 SQY983088:SQY983124 TAU983088:TAU983124 TKQ983088:TKQ983124 TUM983088:TUM983124 UEI983088:UEI983124 UOE983088:UOE983124 UYA983088:UYA983124 VHW983088:VHW983124 VRS983088:VRS983124 WBO983088:WBO983124 WLK983088:WLK983124 H5:K84 O5:O84 M5:M84">
      <formula1>0</formula1>
      <formula2>40</formula2>
    </dataValidation>
    <dataValidation type="decimal" allowBlank="1" showInputMessage="1" showErrorMessage="1" error="bitte Stundenzahl eingeben!" sqref="WVN983088:WVQ983124 JB5:JE84 SX5:TA84 ACT5:ACW84 AMP5:AMS84 AWL5:AWO84 BGH5:BGK84 BQD5:BQG84 BZZ5:CAC84 CJV5:CJY84 CTR5:CTU84 DDN5:DDQ84 DNJ5:DNM84 DXF5:DXI84 EHB5:EHE84 EQX5:ERA84 FAT5:FAW84 FKP5:FKS84 FUL5:FUO84 GEH5:GEK84 GOD5:GOG84 GXZ5:GYC84 HHV5:HHY84 HRR5:HRU84 IBN5:IBQ84 ILJ5:ILM84 IVF5:IVI84 JFB5:JFE84 JOX5:JPA84 JYT5:JYW84 KIP5:KIS84 KSL5:KSO84 LCH5:LCK84 LMD5:LMG84 LVZ5:LWC84 MFV5:MFY84 MPR5:MPU84 MZN5:MZQ84 NJJ5:NJM84 NTF5:NTI84 ODB5:ODE84 OMX5:ONA84 OWT5:OWW84 PGP5:PGS84 PQL5:PQO84 QAH5:QAK84 QKD5:QKG84 QTZ5:QUC84 RDV5:RDY84 RNR5:RNU84 RXN5:RXQ84 SHJ5:SHM84 SRF5:SRI84 TBB5:TBE84 TKX5:TLA84 TUT5:TUW84 UEP5:UES84 UOL5:UOO84 UYH5:UYK84 VID5:VIG84 VRZ5:VSC84 WBV5:WBY84 WLR5:WLU84 WVN5:WVQ84 H131120:K131156 JB65584:JE65620 SX65584:TA65620 ACT65584:ACW65620 AMP65584:AMS65620 AWL65584:AWO65620 BGH65584:BGK65620 BQD65584:BQG65620 BZZ65584:CAC65620 CJV65584:CJY65620 CTR65584:CTU65620 DDN65584:DDQ65620 DNJ65584:DNM65620 DXF65584:DXI65620 EHB65584:EHE65620 EQX65584:ERA65620 FAT65584:FAW65620 FKP65584:FKS65620 FUL65584:FUO65620 GEH65584:GEK65620 GOD65584:GOG65620 GXZ65584:GYC65620 HHV65584:HHY65620 HRR65584:HRU65620 IBN65584:IBQ65620 ILJ65584:ILM65620 IVF65584:IVI65620 JFB65584:JFE65620 JOX65584:JPA65620 JYT65584:JYW65620 KIP65584:KIS65620 KSL65584:KSO65620 LCH65584:LCK65620 LMD65584:LMG65620 LVZ65584:LWC65620 MFV65584:MFY65620 MPR65584:MPU65620 MZN65584:MZQ65620 NJJ65584:NJM65620 NTF65584:NTI65620 ODB65584:ODE65620 OMX65584:ONA65620 OWT65584:OWW65620 PGP65584:PGS65620 PQL65584:PQO65620 QAH65584:QAK65620 QKD65584:QKG65620 QTZ65584:QUC65620 RDV65584:RDY65620 RNR65584:RNU65620 RXN65584:RXQ65620 SHJ65584:SHM65620 SRF65584:SRI65620 TBB65584:TBE65620 TKX65584:TLA65620 TUT65584:TUW65620 UEP65584:UES65620 UOL65584:UOO65620 UYH65584:UYK65620 VID65584:VIG65620 VRZ65584:VSC65620 WBV65584:WBY65620 WLR65584:WLU65620 WVN65584:WVQ65620 H196656:K196692 JB131120:JE131156 SX131120:TA131156 ACT131120:ACW131156 AMP131120:AMS131156 AWL131120:AWO131156 BGH131120:BGK131156 BQD131120:BQG131156 BZZ131120:CAC131156 CJV131120:CJY131156 CTR131120:CTU131156 DDN131120:DDQ131156 DNJ131120:DNM131156 DXF131120:DXI131156 EHB131120:EHE131156 EQX131120:ERA131156 FAT131120:FAW131156 FKP131120:FKS131156 FUL131120:FUO131156 GEH131120:GEK131156 GOD131120:GOG131156 GXZ131120:GYC131156 HHV131120:HHY131156 HRR131120:HRU131156 IBN131120:IBQ131156 ILJ131120:ILM131156 IVF131120:IVI131156 JFB131120:JFE131156 JOX131120:JPA131156 JYT131120:JYW131156 KIP131120:KIS131156 KSL131120:KSO131156 LCH131120:LCK131156 LMD131120:LMG131156 LVZ131120:LWC131156 MFV131120:MFY131156 MPR131120:MPU131156 MZN131120:MZQ131156 NJJ131120:NJM131156 NTF131120:NTI131156 ODB131120:ODE131156 OMX131120:ONA131156 OWT131120:OWW131156 PGP131120:PGS131156 PQL131120:PQO131156 QAH131120:QAK131156 QKD131120:QKG131156 QTZ131120:QUC131156 RDV131120:RDY131156 RNR131120:RNU131156 RXN131120:RXQ131156 SHJ131120:SHM131156 SRF131120:SRI131156 TBB131120:TBE131156 TKX131120:TLA131156 TUT131120:TUW131156 UEP131120:UES131156 UOL131120:UOO131156 UYH131120:UYK131156 VID131120:VIG131156 VRZ131120:VSC131156 WBV131120:WBY131156 WLR131120:WLU131156 WVN131120:WVQ131156 H262192:K262228 JB196656:JE196692 SX196656:TA196692 ACT196656:ACW196692 AMP196656:AMS196692 AWL196656:AWO196692 BGH196656:BGK196692 BQD196656:BQG196692 BZZ196656:CAC196692 CJV196656:CJY196692 CTR196656:CTU196692 DDN196656:DDQ196692 DNJ196656:DNM196692 DXF196656:DXI196692 EHB196656:EHE196692 EQX196656:ERA196692 FAT196656:FAW196692 FKP196656:FKS196692 FUL196656:FUO196692 GEH196656:GEK196692 GOD196656:GOG196692 GXZ196656:GYC196692 HHV196656:HHY196692 HRR196656:HRU196692 IBN196656:IBQ196692 ILJ196656:ILM196692 IVF196656:IVI196692 JFB196656:JFE196692 JOX196656:JPA196692 JYT196656:JYW196692 KIP196656:KIS196692 KSL196656:KSO196692 LCH196656:LCK196692 LMD196656:LMG196692 LVZ196656:LWC196692 MFV196656:MFY196692 MPR196656:MPU196692 MZN196656:MZQ196692 NJJ196656:NJM196692 NTF196656:NTI196692 ODB196656:ODE196692 OMX196656:ONA196692 OWT196656:OWW196692 PGP196656:PGS196692 PQL196656:PQO196692 QAH196656:QAK196692 QKD196656:QKG196692 QTZ196656:QUC196692 RDV196656:RDY196692 RNR196656:RNU196692 RXN196656:RXQ196692 SHJ196656:SHM196692 SRF196656:SRI196692 TBB196656:TBE196692 TKX196656:TLA196692 TUT196656:TUW196692 UEP196656:UES196692 UOL196656:UOO196692 UYH196656:UYK196692 VID196656:VIG196692 VRZ196656:VSC196692 WBV196656:WBY196692 WLR196656:WLU196692 WVN196656:WVQ196692 H327728:K327764 JB262192:JE262228 SX262192:TA262228 ACT262192:ACW262228 AMP262192:AMS262228 AWL262192:AWO262228 BGH262192:BGK262228 BQD262192:BQG262228 BZZ262192:CAC262228 CJV262192:CJY262228 CTR262192:CTU262228 DDN262192:DDQ262228 DNJ262192:DNM262228 DXF262192:DXI262228 EHB262192:EHE262228 EQX262192:ERA262228 FAT262192:FAW262228 FKP262192:FKS262228 FUL262192:FUO262228 GEH262192:GEK262228 GOD262192:GOG262228 GXZ262192:GYC262228 HHV262192:HHY262228 HRR262192:HRU262228 IBN262192:IBQ262228 ILJ262192:ILM262228 IVF262192:IVI262228 JFB262192:JFE262228 JOX262192:JPA262228 JYT262192:JYW262228 KIP262192:KIS262228 KSL262192:KSO262228 LCH262192:LCK262228 LMD262192:LMG262228 LVZ262192:LWC262228 MFV262192:MFY262228 MPR262192:MPU262228 MZN262192:MZQ262228 NJJ262192:NJM262228 NTF262192:NTI262228 ODB262192:ODE262228 OMX262192:ONA262228 OWT262192:OWW262228 PGP262192:PGS262228 PQL262192:PQO262228 QAH262192:QAK262228 QKD262192:QKG262228 QTZ262192:QUC262228 RDV262192:RDY262228 RNR262192:RNU262228 RXN262192:RXQ262228 SHJ262192:SHM262228 SRF262192:SRI262228 TBB262192:TBE262228 TKX262192:TLA262228 TUT262192:TUW262228 UEP262192:UES262228 UOL262192:UOO262228 UYH262192:UYK262228 VID262192:VIG262228 VRZ262192:VSC262228 WBV262192:WBY262228 WLR262192:WLU262228 WVN262192:WVQ262228 H393264:K393300 JB327728:JE327764 SX327728:TA327764 ACT327728:ACW327764 AMP327728:AMS327764 AWL327728:AWO327764 BGH327728:BGK327764 BQD327728:BQG327764 BZZ327728:CAC327764 CJV327728:CJY327764 CTR327728:CTU327764 DDN327728:DDQ327764 DNJ327728:DNM327764 DXF327728:DXI327764 EHB327728:EHE327764 EQX327728:ERA327764 FAT327728:FAW327764 FKP327728:FKS327764 FUL327728:FUO327764 GEH327728:GEK327764 GOD327728:GOG327764 GXZ327728:GYC327764 HHV327728:HHY327764 HRR327728:HRU327764 IBN327728:IBQ327764 ILJ327728:ILM327764 IVF327728:IVI327764 JFB327728:JFE327764 JOX327728:JPA327764 JYT327728:JYW327764 KIP327728:KIS327764 KSL327728:KSO327764 LCH327728:LCK327764 LMD327728:LMG327764 LVZ327728:LWC327764 MFV327728:MFY327764 MPR327728:MPU327764 MZN327728:MZQ327764 NJJ327728:NJM327764 NTF327728:NTI327764 ODB327728:ODE327764 OMX327728:ONA327764 OWT327728:OWW327764 PGP327728:PGS327764 PQL327728:PQO327764 QAH327728:QAK327764 QKD327728:QKG327764 QTZ327728:QUC327764 RDV327728:RDY327764 RNR327728:RNU327764 RXN327728:RXQ327764 SHJ327728:SHM327764 SRF327728:SRI327764 TBB327728:TBE327764 TKX327728:TLA327764 TUT327728:TUW327764 UEP327728:UES327764 UOL327728:UOO327764 UYH327728:UYK327764 VID327728:VIG327764 VRZ327728:VSC327764 WBV327728:WBY327764 WLR327728:WLU327764 WVN327728:WVQ327764 H458800:K458836 JB393264:JE393300 SX393264:TA393300 ACT393264:ACW393300 AMP393264:AMS393300 AWL393264:AWO393300 BGH393264:BGK393300 BQD393264:BQG393300 BZZ393264:CAC393300 CJV393264:CJY393300 CTR393264:CTU393300 DDN393264:DDQ393300 DNJ393264:DNM393300 DXF393264:DXI393300 EHB393264:EHE393300 EQX393264:ERA393300 FAT393264:FAW393300 FKP393264:FKS393300 FUL393264:FUO393300 GEH393264:GEK393300 GOD393264:GOG393300 GXZ393264:GYC393300 HHV393264:HHY393300 HRR393264:HRU393300 IBN393264:IBQ393300 ILJ393264:ILM393300 IVF393264:IVI393300 JFB393264:JFE393300 JOX393264:JPA393300 JYT393264:JYW393300 KIP393264:KIS393300 KSL393264:KSO393300 LCH393264:LCK393300 LMD393264:LMG393300 LVZ393264:LWC393300 MFV393264:MFY393300 MPR393264:MPU393300 MZN393264:MZQ393300 NJJ393264:NJM393300 NTF393264:NTI393300 ODB393264:ODE393300 OMX393264:ONA393300 OWT393264:OWW393300 PGP393264:PGS393300 PQL393264:PQO393300 QAH393264:QAK393300 QKD393264:QKG393300 QTZ393264:QUC393300 RDV393264:RDY393300 RNR393264:RNU393300 RXN393264:RXQ393300 SHJ393264:SHM393300 SRF393264:SRI393300 TBB393264:TBE393300 TKX393264:TLA393300 TUT393264:TUW393300 UEP393264:UES393300 UOL393264:UOO393300 UYH393264:UYK393300 VID393264:VIG393300 VRZ393264:VSC393300 WBV393264:WBY393300 WLR393264:WLU393300 WVN393264:WVQ393300 H524336:K524372 JB458800:JE458836 SX458800:TA458836 ACT458800:ACW458836 AMP458800:AMS458836 AWL458800:AWO458836 BGH458800:BGK458836 BQD458800:BQG458836 BZZ458800:CAC458836 CJV458800:CJY458836 CTR458800:CTU458836 DDN458800:DDQ458836 DNJ458800:DNM458836 DXF458800:DXI458836 EHB458800:EHE458836 EQX458800:ERA458836 FAT458800:FAW458836 FKP458800:FKS458836 FUL458800:FUO458836 GEH458800:GEK458836 GOD458800:GOG458836 GXZ458800:GYC458836 HHV458800:HHY458836 HRR458800:HRU458836 IBN458800:IBQ458836 ILJ458800:ILM458836 IVF458800:IVI458836 JFB458800:JFE458836 JOX458800:JPA458836 JYT458800:JYW458836 KIP458800:KIS458836 KSL458800:KSO458836 LCH458800:LCK458836 LMD458800:LMG458836 LVZ458800:LWC458836 MFV458800:MFY458836 MPR458800:MPU458836 MZN458800:MZQ458836 NJJ458800:NJM458836 NTF458800:NTI458836 ODB458800:ODE458836 OMX458800:ONA458836 OWT458800:OWW458836 PGP458800:PGS458836 PQL458800:PQO458836 QAH458800:QAK458836 QKD458800:QKG458836 QTZ458800:QUC458836 RDV458800:RDY458836 RNR458800:RNU458836 RXN458800:RXQ458836 SHJ458800:SHM458836 SRF458800:SRI458836 TBB458800:TBE458836 TKX458800:TLA458836 TUT458800:TUW458836 UEP458800:UES458836 UOL458800:UOO458836 UYH458800:UYK458836 VID458800:VIG458836 VRZ458800:VSC458836 WBV458800:WBY458836 WLR458800:WLU458836 WVN458800:WVQ458836 H589872:K589908 JB524336:JE524372 SX524336:TA524372 ACT524336:ACW524372 AMP524336:AMS524372 AWL524336:AWO524372 BGH524336:BGK524372 BQD524336:BQG524372 BZZ524336:CAC524372 CJV524336:CJY524372 CTR524336:CTU524372 DDN524336:DDQ524372 DNJ524336:DNM524372 DXF524336:DXI524372 EHB524336:EHE524372 EQX524336:ERA524372 FAT524336:FAW524372 FKP524336:FKS524372 FUL524336:FUO524372 GEH524336:GEK524372 GOD524336:GOG524372 GXZ524336:GYC524372 HHV524336:HHY524372 HRR524336:HRU524372 IBN524336:IBQ524372 ILJ524336:ILM524372 IVF524336:IVI524372 JFB524336:JFE524372 JOX524336:JPA524372 JYT524336:JYW524372 KIP524336:KIS524372 KSL524336:KSO524372 LCH524336:LCK524372 LMD524336:LMG524372 LVZ524336:LWC524372 MFV524336:MFY524372 MPR524336:MPU524372 MZN524336:MZQ524372 NJJ524336:NJM524372 NTF524336:NTI524372 ODB524336:ODE524372 OMX524336:ONA524372 OWT524336:OWW524372 PGP524336:PGS524372 PQL524336:PQO524372 QAH524336:QAK524372 QKD524336:QKG524372 QTZ524336:QUC524372 RDV524336:RDY524372 RNR524336:RNU524372 RXN524336:RXQ524372 SHJ524336:SHM524372 SRF524336:SRI524372 TBB524336:TBE524372 TKX524336:TLA524372 TUT524336:TUW524372 UEP524336:UES524372 UOL524336:UOO524372 UYH524336:UYK524372 VID524336:VIG524372 VRZ524336:VSC524372 WBV524336:WBY524372 WLR524336:WLU524372 WVN524336:WVQ524372 H655408:K655444 JB589872:JE589908 SX589872:TA589908 ACT589872:ACW589908 AMP589872:AMS589908 AWL589872:AWO589908 BGH589872:BGK589908 BQD589872:BQG589908 BZZ589872:CAC589908 CJV589872:CJY589908 CTR589872:CTU589908 DDN589872:DDQ589908 DNJ589872:DNM589908 DXF589872:DXI589908 EHB589872:EHE589908 EQX589872:ERA589908 FAT589872:FAW589908 FKP589872:FKS589908 FUL589872:FUO589908 GEH589872:GEK589908 GOD589872:GOG589908 GXZ589872:GYC589908 HHV589872:HHY589908 HRR589872:HRU589908 IBN589872:IBQ589908 ILJ589872:ILM589908 IVF589872:IVI589908 JFB589872:JFE589908 JOX589872:JPA589908 JYT589872:JYW589908 KIP589872:KIS589908 KSL589872:KSO589908 LCH589872:LCK589908 LMD589872:LMG589908 LVZ589872:LWC589908 MFV589872:MFY589908 MPR589872:MPU589908 MZN589872:MZQ589908 NJJ589872:NJM589908 NTF589872:NTI589908 ODB589872:ODE589908 OMX589872:ONA589908 OWT589872:OWW589908 PGP589872:PGS589908 PQL589872:PQO589908 QAH589872:QAK589908 QKD589872:QKG589908 QTZ589872:QUC589908 RDV589872:RDY589908 RNR589872:RNU589908 RXN589872:RXQ589908 SHJ589872:SHM589908 SRF589872:SRI589908 TBB589872:TBE589908 TKX589872:TLA589908 TUT589872:TUW589908 UEP589872:UES589908 UOL589872:UOO589908 UYH589872:UYK589908 VID589872:VIG589908 VRZ589872:VSC589908 WBV589872:WBY589908 WLR589872:WLU589908 WVN589872:WVQ589908 H720944:K720980 JB655408:JE655444 SX655408:TA655444 ACT655408:ACW655444 AMP655408:AMS655444 AWL655408:AWO655444 BGH655408:BGK655444 BQD655408:BQG655444 BZZ655408:CAC655444 CJV655408:CJY655444 CTR655408:CTU655444 DDN655408:DDQ655444 DNJ655408:DNM655444 DXF655408:DXI655444 EHB655408:EHE655444 EQX655408:ERA655444 FAT655408:FAW655444 FKP655408:FKS655444 FUL655408:FUO655444 GEH655408:GEK655444 GOD655408:GOG655444 GXZ655408:GYC655444 HHV655408:HHY655444 HRR655408:HRU655444 IBN655408:IBQ655444 ILJ655408:ILM655444 IVF655408:IVI655444 JFB655408:JFE655444 JOX655408:JPA655444 JYT655408:JYW655444 KIP655408:KIS655444 KSL655408:KSO655444 LCH655408:LCK655444 LMD655408:LMG655444 LVZ655408:LWC655444 MFV655408:MFY655444 MPR655408:MPU655444 MZN655408:MZQ655444 NJJ655408:NJM655444 NTF655408:NTI655444 ODB655408:ODE655444 OMX655408:ONA655444 OWT655408:OWW655444 PGP655408:PGS655444 PQL655408:PQO655444 QAH655408:QAK655444 QKD655408:QKG655444 QTZ655408:QUC655444 RDV655408:RDY655444 RNR655408:RNU655444 RXN655408:RXQ655444 SHJ655408:SHM655444 SRF655408:SRI655444 TBB655408:TBE655444 TKX655408:TLA655444 TUT655408:TUW655444 UEP655408:UES655444 UOL655408:UOO655444 UYH655408:UYK655444 VID655408:VIG655444 VRZ655408:VSC655444 WBV655408:WBY655444 WLR655408:WLU655444 WVN655408:WVQ655444 H786480:K786516 JB720944:JE720980 SX720944:TA720980 ACT720944:ACW720980 AMP720944:AMS720980 AWL720944:AWO720980 BGH720944:BGK720980 BQD720944:BQG720980 BZZ720944:CAC720980 CJV720944:CJY720980 CTR720944:CTU720980 DDN720944:DDQ720980 DNJ720944:DNM720980 DXF720944:DXI720980 EHB720944:EHE720980 EQX720944:ERA720980 FAT720944:FAW720980 FKP720944:FKS720980 FUL720944:FUO720980 GEH720944:GEK720980 GOD720944:GOG720980 GXZ720944:GYC720980 HHV720944:HHY720980 HRR720944:HRU720980 IBN720944:IBQ720980 ILJ720944:ILM720980 IVF720944:IVI720980 JFB720944:JFE720980 JOX720944:JPA720980 JYT720944:JYW720980 KIP720944:KIS720980 KSL720944:KSO720980 LCH720944:LCK720980 LMD720944:LMG720980 LVZ720944:LWC720980 MFV720944:MFY720980 MPR720944:MPU720980 MZN720944:MZQ720980 NJJ720944:NJM720980 NTF720944:NTI720980 ODB720944:ODE720980 OMX720944:ONA720980 OWT720944:OWW720980 PGP720944:PGS720980 PQL720944:PQO720980 QAH720944:QAK720980 QKD720944:QKG720980 QTZ720944:QUC720980 RDV720944:RDY720980 RNR720944:RNU720980 RXN720944:RXQ720980 SHJ720944:SHM720980 SRF720944:SRI720980 TBB720944:TBE720980 TKX720944:TLA720980 TUT720944:TUW720980 UEP720944:UES720980 UOL720944:UOO720980 UYH720944:UYK720980 VID720944:VIG720980 VRZ720944:VSC720980 WBV720944:WBY720980 WLR720944:WLU720980 WVN720944:WVQ720980 H852016:K852052 JB786480:JE786516 SX786480:TA786516 ACT786480:ACW786516 AMP786480:AMS786516 AWL786480:AWO786516 BGH786480:BGK786516 BQD786480:BQG786516 BZZ786480:CAC786516 CJV786480:CJY786516 CTR786480:CTU786516 DDN786480:DDQ786516 DNJ786480:DNM786516 DXF786480:DXI786516 EHB786480:EHE786516 EQX786480:ERA786516 FAT786480:FAW786516 FKP786480:FKS786516 FUL786480:FUO786516 GEH786480:GEK786516 GOD786480:GOG786516 GXZ786480:GYC786516 HHV786480:HHY786516 HRR786480:HRU786516 IBN786480:IBQ786516 ILJ786480:ILM786516 IVF786480:IVI786516 JFB786480:JFE786516 JOX786480:JPA786516 JYT786480:JYW786516 KIP786480:KIS786516 KSL786480:KSO786516 LCH786480:LCK786516 LMD786480:LMG786516 LVZ786480:LWC786516 MFV786480:MFY786516 MPR786480:MPU786516 MZN786480:MZQ786516 NJJ786480:NJM786516 NTF786480:NTI786516 ODB786480:ODE786516 OMX786480:ONA786516 OWT786480:OWW786516 PGP786480:PGS786516 PQL786480:PQO786516 QAH786480:QAK786516 QKD786480:QKG786516 QTZ786480:QUC786516 RDV786480:RDY786516 RNR786480:RNU786516 RXN786480:RXQ786516 SHJ786480:SHM786516 SRF786480:SRI786516 TBB786480:TBE786516 TKX786480:TLA786516 TUT786480:TUW786516 UEP786480:UES786516 UOL786480:UOO786516 UYH786480:UYK786516 VID786480:VIG786516 VRZ786480:VSC786516 WBV786480:WBY786516 WLR786480:WLU786516 WVN786480:WVQ786516 H917552:K917588 JB852016:JE852052 SX852016:TA852052 ACT852016:ACW852052 AMP852016:AMS852052 AWL852016:AWO852052 BGH852016:BGK852052 BQD852016:BQG852052 BZZ852016:CAC852052 CJV852016:CJY852052 CTR852016:CTU852052 DDN852016:DDQ852052 DNJ852016:DNM852052 DXF852016:DXI852052 EHB852016:EHE852052 EQX852016:ERA852052 FAT852016:FAW852052 FKP852016:FKS852052 FUL852016:FUO852052 GEH852016:GEK852052 GOD852016:GOG852052 GXZ852016:GYC852052 HHV852016:HHY852052 HRR852016:HRU852052 IBN852016:IBQ852052 ILJ852016:ILM852052 IVF852016:IVI852052 JFB852016:JFE852052 JOX852016:JPA852052 JYT852016:JYW852052 KIP852016:KIS852052 KSL852016:KSO852052 LCH852016:LCK852052 LMD852016:LMG852052 LVZ852016:LWC852052 MFV852016:MFY852052 MPR852016:MPU852052 MZN852016:MZQ852052 NJJ852016:NJM852052 NTF852016:NTI852052 ODB852016:ODE852052 OMX852016:ONA852052 OWT852016:OWW852052 PGP852016:PGS852052 PQL852016:PQO852052 QAH852016:QAK852052 QKD852016:QKG852052 QTZ852016:QUC852052 RDV852016:RDY852052 RNR852016:RNU852052 RXN852016:RXQ852052 SHJ852016:SHM852052 SRF852016:SRI852052 TBB852016:TBE852052 TKX852016:TLA852052 TUT852016:TUW852052 UEP852016:UES852052 UOL852016:UOO852052 UYH852016:UYK852052 VID852016:VIG852052 VRZ852016:VSC852052 WBV852016:WBY852052 WLR852016:WLU852052 WVN852016:WVQ852052 H983088:K983124 JB917552:JE917588 SX917552:TA917588 ACT917552:ACW917588 AMP917552:AMS917588 AWL917552:AWO917588 BGH917552:BGK917588 BQD917552:BQG917588 BZZ917552:CAC917588 CJV917552:CJY917588 CTR917552:CTU917588 DDN917552:DDQ917588 DNJ917552:DNM917588 DXF917552:DXI917588 EHB917552:EHE917588 EQX917552:ERA917588 FAT917552:FAW917588 FKP917552:FKS917588 FUL917552:FUO917588 GEH917552:GEK917588 GOD917552:GOG917588 GXZ917552:GYC917588 HHV917552:HHY917588 HRR917552:HRU917588 IBN917552:IBQ917588 ILJ917552:ILM917588 IVF917552:IVI917588 JFB917552:JFE917588 JOX917552:JPA917588 JYT917552:JYW917588 KIP917552:KIS917588 KSL917552:KSO917588 LCH917552:LCK917588 LMD917552:LMG917588 LVZ917552:LWC917588 MFV917552:MFY917588 MPR917552:MPU917588 MZN917552:MZQ917588 NJJ917552:NJM917588 NTF917552:NTI917588 ODB917552:ODE917588 OMX917552:ONA917588 OWT917552:OWW917588 PGP917552:PGS917588 PQL917552:PQO917588 QAH917552:QAK917588 QKD917552:QKG917588 QTZ917552:QUC917588 RDV917552:RDY917588 RNR917552:RNU917588 RXN917552:RXQ917588 SHJ917552:SHM917588 SRF917552:SRI917588 TBB917552:TBE917588 TKX917552:TLA917588 TUT917552:TUW917588 UEP917552:UES917588 UOL917552:UOO917588 UYH917552:UYK917588 VID917552:VIG917588 VRZ917552:VSC917588 WBV917552:WBY917588 WLR917552:WLU917588 WVN917552:WVQ917588 WLR983088:WLU983124 JB983088:JE983124 SX983088:TA983124 ACT983088:ACW983124 AMP983088:AMS983124 AWL983088:AWO983124 BGH983088:BGK983124 BQD983088:BQG983124 BZZ983088:CAC983124 CJV983088:CJY983124 CTR983088:CTU983124 DDN983088:DDQ983124 DNJ983088:DNM983124 DXF983088:DXI983124 EHB983088:EHE983124 EQX983088:ERA983124 FAT983088:FAW983124 FKP983088:FKS983124 FUL983088:FUO983124 GEH983088:GEK983124 GOD983088:GOG983124 GXZ983088:GYC983124 HHV983088:HHY983124 HRR983088:HRU983124 IBN983088:IBQ983124 ILJ983088:ILM983124 IVF983088:IVI983124 JFB983088:JFE983124 JOX983088:JPA983124 JYT983088:JYW983124 KIP983088:KIS983124 KSL983088:KSO983124 LCH983088:LCK983124 LMD983088:LMG983124 LVZ983088:LWC983124 MFV983088:MFY983124 MPR983088:MPU983124 MZN983088:MZQ983124 NJJ983088:NJM983124 NTF983088:NTI983124 ODB983088:ODE983124 OMX983088:ONA983124 OWT983088:OWW983124 PGP983088:PGS983124 PQL983088:PQO983124 QAH983088:QAK983124 QKD983088:QKG983124 QTZ983088:QUC983124 RDV983088:RDY983124 RNR983088:RNU983124 RXN983088:RXQ983124 SHJ983088:SHM983124 SRF983088:SRI983124 TBB983088:TBE983124 TKX983088:TLA983124 TUT983088:TUW983124 UEP983088:UES983124 UOL983088:UOO983124 UYH983088:UYK983124 VID983088:VIG983124 VRZ983088:VSC983124 WBV983088:WBY983124 H65584:K65620">
      <formula1>0</formula1>
      <formula2>33</formula2>
    </dataValidation>
    <dataValidation type="decimal" allowBlank="1" showInputMessage="1" showErrorMessage="1" prompt="bei Zutreffen Stundenzahl eingeben" sqref="WVK983088:WVL983124 IY5:IZ84 SU5:SV84 ACQ5:ACR84 AMM5:AMN84 AWI5:AWJ84 BGE5:BGF84 BQA5:BQB84 BZW5:BZX84 CJS5:CJT84 CTO5:CTP84 DDK5:DDL84 DNG5:DNH84 DXC5:DXD84 EGY5:EGZ84 EQU5:EQV84 FAQ5:FAR84 FKM5:FKN84 FUI5:FUJ84 GEE5:GEF84 GOA5:GOB84 GXW5:GXX84 HHS5:HHT84 HRO5:HRP84 IBK5:IBL84 ILG5:ILH84 IVC5:IVD84 JEY5:JEZ84 JOU5:JOV84 JYQ5:JYR84 KIM5:KIN84 KSI5:KSJ84 LCE5:LCF84 LMA5:LMB84 LVW5:LVX84 MFS5:MFT84 MPO5:MPP84 MZK5:MZL84 NJG5:NJH84 NTC5:NTD84 OCY5:OCZ84 OMU5:OMV84 OWQ5:OWR84 PGM5:PGN84 PQI5:PQJ84 QAE5:QAF84 QKA5:QKB84 QTW5:QTX84 RDS5:RDT84 RNO5:RNP84 RXK5:RXL84 SHG5:SHH84 SRC5:SRD84 TAY5:TAZ84 TKU5:TKV84 TUQ5:TUR84 UEM5:UEN84 UOI5:UOJ84 UYE5:UYF84 VIA5:VIB84 VRW5:VRX84 WBS5:WBT84 WLO5:WLP84 WVK5:WVL84 IY65584:IZ65620 SU65584:SV65620 ACQ65584:ACR65620 AMM65584:AMN65620 AWI65584:AWJ65620 BGE65584:BGF65620 BQA65584:BQB65620 BZW65584:BZX65620 CJS65584:CJT65620 CTO65584:CTP65620 DDK65584:DDL65620 DNG65584:DNH65620 DXC65584:DXD65620 EGY65584:EGZ65620 EQU65584:EQV65620 FAQ65584:FAR65620 FKM65584:FKN65620 FUI65584:FUJ65620 GEE65584:GEF65620 GOA65584:GOB65620 GXW65584:GXX65620 HHS65584:HHT65620 HRO65584:HRP65620 IBK65584:IBL65620 ILG65584:ILH65620 IVC65584:IVD65620 JEY65584:JEZ65620 JOU65584:JOV65620 JYQ65584:JYR65620 KIM65584:KIN65620 KSI65584:KSJ65620 LCE65584:LCF65620 LMA65584:LMB65620 LVW65584:LVX65620 MFS65584:MFT65620 MPO65584:MPP65620 MZK65584:MZL65620 NJG65584:NJH65620 NTC65584:NTD65620 OCY65584:OCZ65620 OMU65584:OMV65620 OWQ65584:OWR65620 PGM65584:PGN65620 PQI65584:PQJ65620 QAE65584:QAF65620 QKA65584:QKB65620 QTW65584:QTX65620 RDS65584:RDT65620 RNO65584:RNP65620 RXK65584:RXL65620 SHG65584:SHH65620 SRC65584:SRD65620 TAY65584:TAZ65620 TKU65584:TKV65620 TUQ65584:TUR65620 UEM65584:UEN65620 UOI65584:UOJ65620 UYE65584:UYF65620 VIA65584:VIB65620 VRW65584:VRX65620 WBS65584:WBT65620 WLO65584:WLP65620 WVK65584:WVL65620 IY131120:IZ131156 SU131120:SV131156 ACQ131120:ACR131156 AMM131120:AMN131156 AWI131120:AWJ131156 BGE131120:BGF131156 BQA131120:BQB131156 BZW131120:BZX131156 CJS131120:CJT131156 CTO131120:CTP131156 DDK131120:DDL131156 DNG131120:DNH131156 DXC131120:DXD131156 EGY131120:EGZ131156 EQU131120:EQV131156 FAQ131120:FAR131156 FKM131120:FKN131156 FUI131120:FUJ131156 GEE131120:GEF131156 GOA131120:GOB131156 GXW131120:GXX131156 HHS131120:HHT131156 HRO131120:HRP131156 IBK131120:IBL131156 ILG131120:ILH131156 IVC131120:IVD131156 JEY131120:JEZ131156 JOU131120:JOV131156 JYQ131120:JYR131156 KIM131120:KIN131156 KSI131120:KSJ131156 LCE131120:LCF131156 LMA131120:LMB131156 LVW131120:LVX131156 MFS131120:MFT131156 MPO131120:MPP131156 MZK131120:MZL131156 NJG131120:NJH131156 NTC131120:NTD131156 OCY131120:OCZ131156 OMU131120:OMV131156 OWQ131120:OWR131156 PGM131120:PGN131156 PQI131120:PQJ131156 QAE131120:QAF131156 QKA131120:QKB131156 QTW131120:QTX131156 RDS131120:RDT131156 RNO131120:RNP131156 RXK131120:RXL131156 SHG131120:SHH131156 SRC131120:SRD131156 TAY131120:TAZ131156 TKU131120:TKV131156 TUQ131120:TUR131156 UEM131120:UEN131156 UOI131120:UOJ131156 UYE131120:UYF131156 VIA131120:VIB131156 VRW131120:VRX131156 WBS131120:WBT131156 WLO131120:WLP131156 WVK131120:WVL131156 IY196656:IZ196692 SU196656:SV196692 ACQ196656:ACR196692 AMM196656:AMN196692 AWI196656:AWJ196692 BGE196656:BGF196692 BQA196656:BQB196692 BZW196656:BZX196692 CJS196656:CJT196692 CTO196656:CTP196692 DDK196656:DDL196692 DNG196656:DNH196692 DXC196656:DXD196692 EGY196656:EGZ196692 EQU196656:EQV196692 FAQ196656:FAR196692 FKM196656:FKN196692 FUI196656:FUJ196692 GEE196656:GEF196692 GOA196656:GOB196692 GXW196656:GXX196692 HHS196656:HHT196692 HRO196656:HRP196692 IBK196656:IBL196692 ILG196656:ILH196692 IVC196656:IVD196692 JEY196656:JEZ196692 JOU196656:JOV196692 JYQ196656:JYR196692 KIM196656:KIN196692 KSI196656:KSJ196692 LCE196656:LCF196692 LMA196656:LMB196692 LVW196656:LVX196692 MFS196656:MFT196692 MPO196656:MPP196692 MZK196656:MZL196692 NJG196656:NJH196692 NTC196656:NTD196692 OCY196656:OCZ196692 OMU196656:OMV196692 OWQ196656:OWR196692 PGM196656:PGN196692 PQI196656:PQJ196692 QAE196656:QAF196692 QKA196656:QKB196692 QTW196656:QTX196692 RDS196656:RDT196692 RNO196656:RNP196692 RXK196656:RXL196692 SHG196656:SHH196692 SRC196656:SRD196692 TAY196656:TAZ196692 TKU196656:TKV196692 TUQ196656:TUR196692 UEM196656:UEN196692 UOI196656:UOJ196692 UYE196656:UYF196692 VIA196656:VIB196692 VRW196656:VRX196692 WBS196656:WBT196692 WLO196656:WLP196692 WVK196656:WVL196692 IY262192:IZ262228 SU262192:SV262228 ACQ262192:ACR262228 AMM262192:AMN262228 AWI262192:AWJ262228 BGE262192:BGF262228 BQA262192:BQB262228 BZW262192:BZX262228 CJS262192:CJT262228 CTO262192:CTP262228 DDK262192:DDL262228 DNG262192:DNH262228 DXC262192:DXD262228 EGY262192:EGZ262228 EQU262192:EQV262228 FAQ262192:FAR262228 FKM262192:FKN262228 FUI262192:FUJ262228 GEE262192:GEF262228 GOA262192:GOB262228 GXW262192:GXX262228 HHS262192:HHT262228 HRO262192:HRP262228 IBK262192:IBL262228 ILG262192:ILH262228 IVC262192:IVD262228 JEY262192:JEZ262228 JOU262192:JOV262228 JYQ262192:JYR262228 KIM262192:KIN262228 KSI262192:KSJ262228 LCE262192:LCF262228 LMA262192:LMB262228 LVW262192:LVX262228 MFS262192:MFT262228 MPO262192:MPP262228 MZK262192:MZL262228 NJG262192:NJH262228 NTC262192:NTD262228 OCY262192:OCZ262228 OMU262192:OMV262228 OWQ262192:OWR262228 PGM262192:PGN262228 PQI262192:PQJ262228 QAE262192:QAF262228 QKA262192:QKB262228 QTW262192:QTX262228 RDS262192:RDT262228 RNO262192:RNP262228 RXK262192:RXL262228 SHG262192:SHH262228 SRC262192:SRD262228 TAY262192:TAZ262228 TKU262192:TKV262228 TUQ262192:TUR262228 UEM262192:UEN262228 UOI262192:UOJ262228 UYE262192:UYF262228 VIA262192:VIB262228 VRW262192:VRX262228 WBS262192:WBT262228 WLO262192:WLP262228 WVK262192:WVL262228 IY327728:IZ327764 SU327728:SV327764 ACQ327728:ACR327764 AMM327728:AMN327764 AWI327728:AWJ327764 BGE327728:BGF327764 BQA327728:BQB327764 BZW327728:BZX327764 CJS327728:CJT327764 CTO327728:CTP327764 DDK327728:DDL327764 DNG327728:DNH327764 DXC327728:DXD327764 EGY327728:EGZ327764 EQU327728:EQV327764 FAQ327728:FAR327764 FKM327728:FKN327764 FUI327728:FUJ327764 GEE327728:GEF327764 GOA327728:GOB327764 GXW327728:GXX327764 HHS327728:HHT327764 HRO327728:HRP327764 IBK327728:IBL327764 ILG327728:ILH327764 IVC327728:IVD327764 JEY327728:JEZ327764 JOU327728:JOV327764 JYQ327728:JYR327764 KIM327728:KIN327764 KSI327728:KSJ327764 LCE327728:LCF327764 LMA327728:LMB327764 LVW327728:LVX327764 MFS327728:MFT327764 MPO327728:MPP327764 MZK327728:MZL327764 NJG327728:NJH327764 NTC327728:NTD327764 OCY327728:OCZ327764 OMU327728:OMV327764 OWQ327728:OWR327764 PGM327728:PGN327764 PQI327728:PQJ327764 QAE327728:QAF327764 QKA327728:QKB327764 QTW327728:QTX327764 RDS327728:RDT327764 RNO327728:RNP327764 RXK327728:RXL327764 SHG327728:SHH327764 SRC327728:SRD327764 TAY327728:TAZ327764 TKU327728:TKV327764 TUQ327728:TUR327764 UEM327728:UEN327764 UOI327728:UOJ327764 UYE327728:UYF327764 VIA327728:VIB327764 VRW327728:VRX327764 WBS327728:WBT327764 WLO327728:WLP327764 WVK327728:WVL327764 IY393264:IZ393300 SU393264:SV393300 ACQ393264:ACR393300 AMM393264:AMN393300 AWI393264:AWJ393300 BGE393264:BGF393300 BQA393264:BQB393300 BZW393264:BZX393300 CJS393264:CJT393300 CTO393264:CTP393300 DDK393264:DDL393300 DNG393264:DNH393300 DXC393264:DXD393300 EGY393264:EGZ393300 EQU393264:EQV393300 FAQ393264:FAR393300 FKM393264:FKN393300 FUI393264:FUJ393300 GEE393264:GEF393300 GOA393264:GOB393300 GXW393264:GXX393300 HHS393264:HHT393300 HRO393264:HRP393300 IBK393264:IBL393300 ILG393264:ILH393300 IVC393264:IVD393300 JEY393264:JEZ393300 JOU393264:JOV393300 JYQ393264:JYR393300 KIM393264:KIN393300 KSI393264:KSJ393300 LCE393264:LCF393300 LMA393264:LMB393300 LVW393264:LVX393300 MFS393264:MFT393300 MPO393264:MPP393300 MZK393264:MZL393300 NJG393264:NJH393300 NTC393264:NTD393300 OCY393264:OCZ393300 OMU393264:OMV393300 OWQ393264:OWR393300 PGM393264:PGN393300 PQI393264:PQJ393300 QAE393264:QAF393300 QKA393264:QKB393300 QTW393264:QTX393300 RDS393264:RDT393300 RNO393264:RNP393300 RXK393264:RXL393300 SHG393264:SHH393300 SRC393264:SRD393300 TAY393264:TAZ393300 TKU393264:TKV393300 TUQ393264:TUR393300 UEM393264:UEN393300 UOI393264:UOJ393300 UYE393264:UYF393300 VIA393264:VIB393300 VRW393264:VRX393300 WBS393264:WBT393300 WLO393264:WLP393300 WVK393264:WVL393300 IY458800:IZ458836 SU458800:SV458836 ACQ458800:ACR458836 AMM458800:AMN458836 AWI458800:AWJ458836 BGE458800:BGF458836 BQA458800:BQB458836 BZW458800:BZX458836 CJS458800:CJT458836 CTO458800:CTP458836 DDK458800:DDL458836 DNG458800:DNH458836 DXC458800:DXD458836 EGY458800:EGZ458836 EQU458800:EQV458836 FAQ458800:FAR458836 FKM458800:FKN458836 FUI458800:FUJ458836 GEE458800:GEF458836 GOA458800:GOB458836 GXW458800:GXX458836 HHS458800:HHT458836 HRO458800:HRP458836 IBK458800:IBL458836 ILG458800:ILH458836 IVC458800:IVD458836 JEY458800:JEZ458836 JOU458800:JOV458836 JYQ458800:JYR458836 KIM458800:KIN458836 KSI458800:KSJ458836 LCE458800:LCF458836 LMA458800:LMB458836 LVW458800:LVX458836 MFS458800:MFT458836 MPO458800:MPP458836 MZK458800:MZL458836 NJG458800:NJH458836 NTC458800:NTD458836 OCY458800:OCZ458836 OMU458800:OMV458836 OWQ458800:OWR458836 PGM458800:PGN458836 PQI458800:PQJ458836 QAE458800:QAF458836 QKA458800:QKB458836 QTW458800:QTX458836 RDS458800:RDT458836 RNO458800:RNP458836 RXK458800:RXL458836 SHG458800:SHH458836 SRC458800:SRD458836 TAY458800:TAZ458836 TKU458800:TKV458836 TUQ458800:TUR458836 UEM458800:UEN458836 UOI458800:UOJ458836 UYE458800:UYF458836 VIA458800:VIB458836 VRW458800:VRX458836 WBS458800:WBT458836 WLO458800:WLP458836 WVK458800:WVL458836 IY524336:IZ524372 SU524336:SV524372 ACQ524336:ACR524372 AMM524336:AMN524372 AWI524336:AWJ524372 BGE524336:BGF524372 BQA524336:BQB524372 BZW524336:BZX524372 CJS524336:CJT524372 CTO524336:CTP524372 DDK524336:DDL524372 DNG524336:DNH524372 DXC524336:DXD524372 EGY524336:EGZ524372 EQU524336:EQV524372 FAQ524336:FAR524372 FKM524336:FKN524372 FUI524336:FUJ524372 GEE524336:GEF524372 GOA524336:GOB524372 GXW524336:GXX524372 HHS524336:HHT524372 HRO524336:HRP524372 IBK524336:IBL524372 ILG524336:ILH524372 IVC524336:IVD524372 JEY524336:JEZ524372 JOU524336:JOV524372 JYQ524336:JYR524372 KIM524336:KIN524372 KSI524336:KSJ524372 LCE524336:LCF524372 LMA524336:LMB524372 LVW524336:LVX524372 MFS524336:MFT524372 MPO524336:MPP524372 MZK524336:MZL524372 NJG524336:NJH524372 NTC524336:NTD524372 OCY524336:OCZ524372 OMU524336:OMV524372 OWQ524336:OWR524372 PGM524336:PGN524372 PQI524336:PQJ524372 QAE524336:QAF524372 QKA524336:QKB524372 QTW524336:QTX524372 RDS524336:RDT524372 RNO524336:RNP524372 RXK524336:RXL524372 SHG524336:SHH524372 SRC524336:SRD524372 TAY524336:TAZ524372 TKU524336:TKV524372 TUQ524336:TUR524372 UEM524336:UEN524372 UOI524336:UOJ524372 UYE524336:UYF524372 VIA524336:VIB524372 VRW524336:VRX524372 WBS524336:WBT524372 WLO524336:WLP524372 WVK524336:WVL524372 IY589872:IZ589908 SU589872:SV589908 ACQ589872:ACR589908 AMM589872:AMN589908 AWI589872:AWJ589908 BGE589872:BGF589908 BQA589872:BQB589908 BZW589872:BZX589908 CJS589872:CJT589908 CTO589872:CTP589908 DDK589872:DDL589908 DNG589872:DNH589908 DXC589872:DXD589908 EGY589872:EGZ589908 EQU589872:EQV589908 FAQ589872:FAR589908 FKM589872:FKN589908 FUI589872:FUJ589908 GEE589872:GEF589908 GOA589872:GOB589908 GXW589872:GXX589908 HHS589872:HHT589908 HRO589872:HRP589908 IBK589872:IBL589908 ILG589872:ILH589908 IVC589872:IVD589908 JEY589872:JEZ589908 JOU589872:JOV589908 JYQ589872:JYR589908 KIM589872:KIN589908 KSI589872:KSJ589908 LCE589872:LCF589908 LMA589872:LMB589908 LVW589872:LVX589908 MFS589872:MFT589908 MPO589872:MPP589908 MZK589872:MZL589908 NJG589872:NJH589908 NTC589872:NTD589908 OCY589872:OCZ589908 OMU589872:OMV589908 OWQ589872:OWR589908 PGM589872:PGN589908 PQI589872:PQJ589908 QAE589872:QAF589908 QKA589872:QKB589908 QTW589872:QTX589908 RDS589872:RDT589908 RNO589872:RNP589908 RXK589872:RXL589908 SHG589872:SHH589908 SRC589872:SRD589908 TAY589872:TAZ589908 TKU589872:TKV589908 TUQ589872:TUR589908 UEM589872:UEN589908 UOI589872:UOJ589908 UYE589872:UYF589908 VIA589872:VIB589908 VRW589872:VRX589908 WBS589872:WBT589908 WLO589872:WLP589908 WVK589872:WVL589908 IY655408:IZ655444 SU655408:SV655444 ACQ655408:ACR655444 AMM655408:AMN655444 AWI655408:AWJ655444 BGE655408:BGF655444 BQA655408:BQB655444 BZW655408:BZX655444 CJS655408:CJT655444 CTO655408:CTP655444 DDK655408:DDL655444 DNG655408:DNH655444 DXC655408:DXD655444 EGY655408:EGZ655444 EQU655408:EQV655444 FAQ655408:FAR655444 FKM655408:FKN655444 FUI655408:FUJ655444 GEE655408:GEF655444 GOA655408:GOB655444 GXW655408:GXX655444 HHS655408:HHT655444 HRO655408:HRP655444 IBK655408:IBL655444 ILG655408:ILH655444 IVC655408:IVD655444 JEY655408:JEZ655444 JOU655408:JOV655444 JYQ655408:JYR655444 KIM655408:KIN655444 KSI655408:KSJ655444 LCE655408:LCF655444 LMA655408:LMB655444 LVW655408:LVX655444 MFS655408:MFT655444 MPO655408:MPP655444 MZK655408:MZL655444 NJG655408:NJH655444 NTC655408:NTD655444 OCY655408:OCZ655444 OMU655408:OMV655444 OWQ655408:OWR655444 PGM655408:PGN655444 PQI655408:PQJ655444 QAE655408:QAF655444 QKA655408:QKB655444 QTW655408:QTX655444 RDS655408:RDT655444 RNO655408:RNP655444 RXK655408:RXL655444 SHG655408:SHH655444 SRC655408:SRD655444 TAY655408:TAZ655444 TKU655408:TKV655444 TUQ655408:TUR655444 UEM655408:UEN655444 UOI655408:UOJ655444 UYE655408:UYF655444 VIA655408:VIB655444 VRW655408:VRX655444 WBS655408:WBT655444 WLO655408:WLP655444 WVK655408:WVL655444 IY720944:IZ720980 SU720944:SV720980 ACQ720944:ACR720980 AMM720944:AMN720980 AWI720944:AWJ720980 BGE720944:BGF720980 BQA720944:BQB720980 BZW720944:BZX720980 CJS720944:CJT720980 CTO720944:CTP720980 DDK720944:DDL720980 DNG720944:DNH720980 DXC720944:DXD720980 EGY720944:EGZ720980 EQU720944:EQV720980 FAQ720944:FAR720980 FKM720944:FKN720980 FUI720944:FUJ720980 GEE720944:GEF720980 GOA720944:GOB720980 GXW720944:GXX720980 HHS720944:HHT720980 HRO720944:HRP720980 IBK720944:IBL720980 ILG720944:ILH720980 IVC720944:IVD720980 JEY720944:JEZ720980 JOU720944:JOV720980 JYQ720944:JYR720980 KIM720944:KIN720980 KSI720944:KSJ720980 LCE720944:LCF720980 LMA720944:LMB720980 LVW720944:LVX720980 MFS720944:MFT720980 MPO720944:MPP720980 MZK720944:MZL720980 NJG720944:NJH720980 NTC720944:NTD720980 OCY720944:OCZ720980 OMU720944:OMV720980 OWQ720944:OWR720980 PGM720944:PGN720980 PQI720944:PQJ720980 QAE720944:QAF720980 QKA720944:QKB720980 QTW720944:QTX720980 RDS720944:RDT720980 RNO720944:RNP720980 RXK720944:RXL720980 SHG720944:SHH720980 SRC720944:SRD720980 TAY720944:TAZ720980 TKU720944:TKV720980 TUQ720944:TUR720980 UEM720944:UEN720980 UOI720944:UOJ720980 UYE720944:UYF720980 VIA720944:VIB720980 VRW720944:VRX720980 WBS720944:WBT720980 WLO720944:WLP720980 WVK720944:WVL720980 IY786480:IZ786516 SU786480:SV786516 ACQ786480:ACR786516 AMM786480:AMN786516 AWI786480:AWJ786516 BGE786480:BGF786516 BQA786480:BQB786516 BZW786480:BZX786516 CJS786480:CJT786516 CTO786480:CTP786516 DDK786480:DDL786516 DNG786480:DNH786516 DXC786480:DXD786516 EGY786480:EGZ786516 EQU786480:EQV786516 FAQ786480:FAR786516 FKM786480:FKN786516 FUI786480:FUJ786516 GEE786480:GEF786516 GOA786480:GOB786516 GXW786480:GXX786516 HHS786480:HHT786516 HRO786480:HRP786516 IBK786480:IBL786516 ILG786480:ILH786516 IVC786480:IVD786516 JEY786480:JEZ786516 JOU786480:JOV786516 JYQ786480:JYR786516 KIM786480:KIN786516 KSI786480:KSJ786516 LCE786480:LCF786516 LMA786480:LMB786516 LVW786480:LVX786516 MFS786480:MFT786516 MPO786480:MPP786516 MZK786480:MZL786516 NJG786480:NJH786516 NTC786480:NTD786516 OCY786480:OCZ786516 OMU786480:OMV786516 OWQ786480:OWR786516 PGM786480:PGN786516 PQI786480:PQJ786516 QAE786480:QAF786516 QKA786480:QKB786516 QTW786480:QTX786516 RDS786480:RDT786516 RNO786480:RNP786516 RXK786480:RXL786516 SHG786480:SHH786516 SRC786480:SRD786516 TAY786480:TAZ786516 TKU786480:TKV786516 TUQ786480:TUR786516 UEM786480:UEN786516 UOI786480:UOJ786516 UYE786480:UYF786516 VIA786480:VIB786516 VRW786480:VRX786516 WBS786480:WBT786516 WLO786480:WLP786516 WVK786480:WVL786516 IY852016:IZ852052 SU852016:SV852052 ACQ852016:ACR852052 AMM852016:AMN852052 AWI852016:AWJ852052 BGE852016:BGF852052 BQA852016:BQB852052 BZW852016:BZX852052 CJS852016:CJT852052 CTO852016:CTP852052 DDK852016:DDL852052 DNG852016:DNH852052 DXC852016:DXD852052 EGY852016:EGZ852052 EQU852016:EQV852052 FAQ852016:FAR852052 FKM852016:FKN852052 FUI852016:FUJ852052 GEE852016:GEF852052 GOA852016:GOB852052 GXW852016:GXX852052 HHS852016:HHT852052 HRO852016:HRP852052 IBK852016:IBL852052 ILG852016:ILH852052 IVC852016:IVD852052 JEY852016:JEZ852052 JOU852016:JOV852052 JYQ852016:JYR852052 KIM852016:KIN852052 KSI852016:KSJ852052 LCE852016:LCF852052 LMA852016:LMB852052 LVW852016:LVX852052 MFS852016:MFT852052 MPO852016:MPP852052 MZK852016:MZL852052 NJG852016:NJH852052 NTC852016:NTD852052 OCY852016:OCZ852052 OMU852016:OMV852052 OWQ852016:OWR852052 PGM852016:PGN852052 PQI852016:PQJ852052 QAE852016:QAF852052 QKA852016:QKB852052 QTW852016:QTX852052 RDS852016:RDT852052 RNO852016:RNP852052 RXK852016:RXL852052 SHG852016:SHH852052 SRC852016:SRD852052 TAY852016:TAZ852052 TKU852016:TKV852052 TUQ852016:TUR852052 UEM852016:UEN852052 UOI852016:UOJ852052 UYE852016:UYF852052 VIA852016:VIB852052 VRW852016:VRX852052 WBS852016:WBT852052 WLO852016:WLP852052 WVK852016:WVL852052 IY917552:IZ917588 SU917552:SV917588 ACQ917552:ACR917588 AMM917552:AMN917588 AWI917552:AWJ917588 BGE917552:BGF917588 BQA917552:BQB917588 BZW917552:BZX917588 CJS917552:CJT917588 CTO917552:CTP917588 DDK917552:DDL917588 DNG917552:DNH917588 DXC917552:DXD917588 EGY917552:EGZ917588 EQU917552:EQV917588 FAQ917552:FAR917588 FKM917552:FKN917588 FUI917552:FUJ917588 GEE917552:GEF917588 GOA917552:GOB917588 GXW917552:GXX917588 HHS917552:HHT917588 HRO917552:HRP917588 IBK917552:IBL917588 ILG917552:ILH917588 IVC917552:IVD917588 JEY917552:JEZ917588 JOU917552:JOV917588 JYQ917552:JYR917588 KIM917552:KIN917588 KSI917552:KSJ917588 LCE917552:LCF917588 LMA917552:LMB917588 LVW917552:LVX917588 MFS917552:MFT917588 MPO917552:MPP917588 MZK917552:MZL917588 NJG917552:NJH917588 NTC917552:NTD917588 OCY917552:OCZ917588 OMU917552:OMV917588 OWQ917552:OWR917588 PGM917552:PGN917588 PQI917552:PQJ917588 QAE917552:QAF917588 QKA917552:QKB917588 QTW917552:QTX917588 RDS917552:RDT917588 RNO917552:RNP917588 RXK917552:RXL917588 SHG917552:SHH917588 SRC917552:SRD917588 TAY917552:TAZ917588 TKU917552:TKV917588 TUQ917552:TUR917588 UEM917552:UEN917588 UOI917552:UOJ917588 UYE917552:UYF917588 VIA917552:VIB917588 VRW917552:VRX917588 WBS917552:WBT917588 WLO917552:WLP917588 WVK917552:WVL917588 IY983088:IZ983124 SU983088:SV983124 ACQ983088:ACR983124 AMM983088:AMN983124 AWI983088:AWJ983124 BGE983088:BGF983124 BQA983088:BQB983124 BZW983088:BZX983124 CJS983088:CJT983124 CTO983088:CTP983124 DDK983088:DDL983124 DNG983088:DNH983124 DXC983088:DXD983124 EGY983088:EGZ983124 EQU983088:EQV983124 FAQ983088:FAR983124 FKM983088:FKN983124 FUI983088:FUJ983124 GEE983088:GEF983124 GOA983088:GOB983124 GXW983088:GXX983124 HHS983088:HHT983124 HRO983088:HRP983124 IBK983088:IBL983124 ILG983088:ILH983124 IVC983088:IVD983124 JEY983088:JEZ983124 JOU983088:JOV983124 JYQ983088:JYR983124 KIM983088:KIN983124 KSI983088:KSJ983124 LCE983088:LCF983124 LMA983088:LMB983124 LVW983088:LVX983124 MFS983088:MFT983124 MPO983088:MPP983124 MZK983088:MZL983124 NJG983088:NJH983124 NTC983088:NTD983124 OCY983088:OCZ983124 OMU983088:OMV983124 OWQ983088:OWR983124 PGM983088:PGN983124 PQI983088:PQJ983124 QAE983088:QAF983124 QKA983088:QKB983124 QTW983088:QTX983124 RDS983088:RDT983124 RNO983088:RNP983124 RXK983088:RXL983124 SHG983088:SHH983124 SRC983088:SRD983124 TAY983088:TAZ983124 TKU983088:TKV983124 TUQ983088:TUR983124 UEM983088:UEN983124 UOI983088:UOJ983124 UYE983088:UYF983124 VIA983088:VIB983124 VRW983088:VRX983124 WBS983088:WBT983124 WLO983088:WLP983124 L983088:L983124 G983088:G983124 L917552:L917588 G917552:G917588 L852016:L852052 G852016:G852052 L786480:L786516 G786480:G786516 L720944:L720980 G720944:G720980 L655408:L655444 G655408:G655444 L589872:L589908 G589872:G589908 L524336:L524372 G524336:G524372 L458800:L458836 G458800:G458836 L393264:L393300 G393264:G393300 L327728:L327764 G327728:G327764 L262192:L262228 G262192:G262228 L196656:L196692 G196656:G196692 L131120:L131156 G131120:G131156 L65584:L65620 G65584:G65620">
      <formula1>0</formula1>
      <formula2>40</formula2>
    </dataValidation>
    <dataValidation allowBlank="1" showInputMessage="1" showErrorMessage="1" prompt="bitte auch die Lehrpersonen OHNE aktive Dienstleistung anführen!" sqref="WVU983088:WVU983126 IS6:IS84 SO6:SO84 ACK6:ACK84 AMG6:AMG84 AWC6:AWC84 BFY6:BFY84 BPU6:BPU84 BZQ6:BZQ84 CJM6:CJM84 CTI6:CTI84 DDE6:DDE84 DNA6:DNA84 DWW6:DWW84 EGS6:EGS84 EQO6:EQO84 FAK6:FAK84 FKG6:FKG84 FUC6:FUC84 GDY6:GDY84 GNU6:GNU84 GXQ6:GXQ84 HHM6:HHM84 HRI6:HRI84 IBE6:IBE84 ILA6:ILA84 IUW6:IUW84 JES6:JES84 JOO6:JOO84 JYK6:JYK84 KIG6:KIG84 KSC6:KSC84 LBY6:LBY84 LLU6:LLU84 LVQ6:LVQ84 MFM6:MFM84 MPI6:MPI84 MZE6:MZE84 NJA6:NJA84 NSW6:NSW84 OCS6:OCS84 OMO6:OMO84 OWK6:OWK84 PGG6:PGG84 PQC6:PQC84 PZY6:PZY84 QJU6:QJU84 QTQ6:QTQ84 RDM6:RDM84 RNI6:RNI84 RXE6:RXE84 SHA6:SHA84 SQW6:SQW84 TAS6:TAS84 TKO6:TKO84 TUK6:TUK84 UEG6:UEG84 UOC6:UOC84 UXY6:UXY84 VHU6:VHU84 VRQ6:VRQ84 WBM6:WBM84 WLI6:WLI84 WVE6:WVE84 IS65585:IS65620 SO65585:SO65620 ACK65585:ACK65620 AMG65585:AMG65620 AWC65585:AWC65620 BFY65585:BFY65620 BPU65585:BPU65620 BZQ65585:BZQ65620 CJM65585:CJM65620 CTI65585:CTI65620 DDE65585:DDE65620 DNA65585:DNA65620 DWW65585:DWW65620 EGS65585:EGS65620 EQO65585:EQO65620 FAK65585:FAK65620 FKG65585:FKG65620 FUC65585:FUC65620 GDY65585:GDY65620 GNU65585:GNU65620 GXQ65585:GXQ65620 HHM65585:HHM65620 HRI65585:HRI65620 IBE65585:IBE65620 ILA65585:ILA65620 IUW65585:IUW65620 JES65585:JES65620 JOO65585:JOO65620 JYK65585:JYK65620 KIG65585:KIG65620 KSC65585:KSC65620 LBY65585:LBY65620 LLU65585:LLU65620 LVQ65585:LVQ65620 MFM65585:MFM65620 MPI65585:MPI65620 MZE65585:MZE65620 NJA65585:NJA65620 NSW65585:NSW65620 OCS65585:OCS65620 OMO65585:OMO65620 OWK65585:OWK65620 PGG65585:PGG65620 PQC65585:PQC65620 PZY65585:PZY65620 QJU65585:QJU65620 QTQ65585:QTQ65620 RDM65585:RDM65620 RNI65585:RNI65620 RXE65585:RXE65620 SHA65585:SHA65620 SQW65585:SQW65620 TAS65585:TAS65620 TKO65585:TKO65620 TUK65585:TUK65620 UEG65585:UEG65620 UOC65585:UOC65620 UXY65585:UXY65620 VHU65585:VHU65620 VRQ65585:VRQ65620 WBM65585:WBM65620 WLI65585:WLI65620 WVE65585:WVE65620 IS131121:IS131156 SO131121:SO131156 ACK131121:ACK131156 AMG131121:AMG131156 AWC131121:AWC131156 BFY131121:BFY131156 BPU131121:BPU131156 BZQ131121:BZQ131156 CJM131121:CJM131156 CTI131121:CTI131156 DDE131121:DDE131156 DNA131121:DNA131156 DWW131121:DWW131156 EGS131121:EGS131156 EQO131121:EQO131156 FAK131121:FAK131156 FKG131121:FKG131156 FUC131121:FUC131156 GDY131121:GDY131156 GNU131121:GNU131156 GXQ131121:GXQ131156 HHM131121:HHM131156 HRI131121:HRI131156 IBE131121:IBE131156 ILA131121:ILA131156 IUW131121:IUW131156 JES131121:JES131156 JOO131121:JOO131156 JYK131121:JYK131156 KIG131121:KIG131156 KSC131121:KSC131156 LBY131121:LBY131156 LLU131121:LLU131156 LVQ131121:LVQ131156 MFM131121:MFM131156 MPI131121:MPI131156 MZE131121:MZE131156 NJA131121:NJA131156 NSW131121:NSW131156 OCS131121:OCS131156 OMO131121:OMO131156 OWK131121:OWK131156 PGG131121:PGG131156 PQC131121:PQC131156 PZY131121:PZY131156 QJU131121:QJU131156 QTQ131121:QTQ131156 RDM131121:RDM131156 RNI131121:RNI131156 RXE131121:RXE131156 SHA131121:SHA131156 SQW131121:SQW131156 TAS131121:TAS131156 TKO131121:TKO131156 TUK131121:TUK131156 UEG131121:UEG131156 UOC131121:UOC131156 UXY131121:UXY131156 VHU131121:VHU131156 VRQ131121:VRQ131156 WBM131121:WBM131156 WLI131121:WLI131156 WVE131121:WVE131156 IS196657:IS196692 SO196657:SO196692 ACK196657:ACK196692 AMG196657:AMG196692 AWC196657:AWC196692 BFY196657:BFY196692 BPU196657:BPU196692 BZQ196657:BZQ196692 CJM196657:CJM196692 CTI196657:CTI196692 DDE196657:DDE196692 DNA196657:DNA196692 DWW196657:DWW196692 EGS196657:EGS196692 EQO196657:EQO196692 FAK196657:FAK196692 FKG196657:FKG196692 FUC196657:FUC196692 GDY196657:GDY196692 GNU196657:GNU196692 GXQ196657:GXQ196692 HHM196657:HHM196692 HRI196657:HRI196692 IBE196657:IBE196692 ILA196657:ILA196692 IUW196657:IUW196692 JES196657:JES196692 JOO196657:JOO196692 JYK196657:JYK196692 KIG196657:KIG196692 KSC196657:KSC196692 LBY196657:LBY196692 LLU196657:LLU196692 LVQ196657:LVQ196692 MFM196657:MFM196692 MPI196657:MPI196692 MZE196657:MZE196692 NJA196657:NJA196692 NSW196657:NSW196692 OCS196657:OCS196692 OMO196657:OMO196692 OWK196657:OWK196692 PGG196657:PGG196692 PQC196657:PQC196692 PZY196657:PZY196692 QJU196657:QJU196692 QTQ196657:QTQ196692 RDM196657:RDM196692 RNI196657:RNI196692 RXE196657:RXE196692 SHA196657:SHA196692 SQW196657:SQW196692 TAS196657:TAS196692 TKO196657:TKO196692 TUK196657:TUK196692 UEG196657:UEG196692 UOC196657:UOC196692 UXY196657:UXY196692 VHU196657:VHU196692 VRQ196657:VRQ196692 WBM196657:WBM196692 WLI196657:WLI196692 WVE196657:WVE196692 IS262193:IS262228 SO262193:SO262228 ACK262193:ACK262228 AMG262193:AMG262228 AWC262193:AWC262228 BFY262193:BFY262228 BPU262193:BPU262228 BZQ262193:BZQ262228 CJM262193:CJM262228 CTI262193:CTI262228 DDE262193:DDE262228 DNA262193:DNA262228 DWW262193:DWW262228 EGS262193:EGS262228 EQO262193:EQO262228 FAK262193:FAK262228 FKG262193:FKG262228 FUC262193:FUC262228 GDY262193:GDY262228 GNU262193:GNU262228 GXQ262193:GXQ262228 HHM262193:HHM262228 HRI262193:HRI262228 IBE262193:IBE262228 ILA262193:ILA262228 IUW262193:IUW262228 JES262193:JES262228 JOO262193:JOO262228 JYK262193:JYK262228 KIG262193:KIG262228 KSC262193:KSC262228 LBY262193:LBY262228 LLU262193:LLU262228 LVQ262193:LVQ262228 MFM262193:MFM262228 MPI262193:MPI262228 MZE262193:MZE262228 NJA262193:NJA262228 NSW262193:NSW262228 OCS262193:OCS262228 OMO262193:OMO262228 OWK262193:OWK262228 PGG262193:PGG262228 PQC262193:PQC262228 PZY262193:PZY262228 QJU262193:QJU262228 QTQ262193:QTQ262228 RDM262193:RDM262228 RNI262193:RNI262228 RXE262193:RXE262228 SHA262193:SHA262228 SQW262193:SQW262228 TAS262193:TAS262228 TKO262193:TKO262228 TUK262193:TUK262228 UEG262193:UEG262228 UOC262193:UOC262228 UXY262193:UXY262228 VHU262193:VHU262228 VRQ262193:VRQ262228 WBM262193:WBM262228 WLI262193:WLI262228 WVE262193:WVE262228 IS327729:IS327764 SO327729:SO327764 ACK327729:ACK327764 AMG327729:AMG327764 AWC327729:AWC327764 BFY327729:BFY327764 BPU327729:BPU327764 BZQ327729:BZQ327764 CJM327729:CJM327764 CTI327729:CTI327764 DDE327729:DDE327764 DNA327729:DNA327764 DWW327729:DWW327764 EGS327729:EGS327764 EQO327729:EQO327764 FAK327729:FAK327764 FKG327729:FKG327764 FUC327729:FUC327764 GDY327729:GDY327764 GNU327729:GNU327764 GXQ327729:GXQ327764 HHM327729:HHM327764 HRI327729:HRI327764 IBE327729:IBE327764 ILA327729:ILA327764 IUW327729:IUW327764 JES327729:JES327764 JOO327729:JOO327764 JYK327729:JYK327764 KIG327729:KIG327764 KSC327729:KSC327764 LBY327729:LBY327764 LLU327729:LLU327764 LVQ327729:LVQ327764 MFM327729:MFM327764 MPI327729:MPI327764 MZE327729:MZE327764 NJA327729:NJA327764 NSW327729:NSW327764 OCS327729:OCS327764 OMO327729:OMO327764 OWK327729:OWK327764 PGG327729:PGG327764 PQC327729:PQC327764 PZY327729:PZY327764 QJU327729:QJU327764 QTQ327729:QTQ327764 RDM327729:RDM327764 RNI327729:RNI327764 RXE327729:RXE327764 SHA327729:SHA327764 SQW327729:SQW327764 TAS327729:TAS327764 TKO327729:TKO327764 TUK327729:TUK327764 UEG327729:UEG327764 UOC327729:UOC327764 UXY327729:UXY327764 VHU327729:VHU327764 VRQ327729:VRQ327764 WBM327729:WBM327764 WLI327729:WLI327764 WVE327729:WVE327764 IS393265:IS393300 SO393265:SO393300 ACK393265:ACK393300 AMG393265:AMG393300 AWC393265:AWC393300 BFY393265:BFY393300 BPU393265:BPU393300 BZQ393265:BZQ393300 CJM393265:CJM393300 CTI393265:CTI393300 DDE393265:DDE393300 DNA393265:DNA393300 DWW393265:DWW393300 EGS393265:EGS393300 EQO393265:EQO393300 FAK393265:FAK393300 FKG393265:FKG393300 FUC393265:FUC393300 GDY393265:GDY393300 GNU393265:GNU393300 GXQ393265:GXQ393300 HHM393265:HHM393300 HRI393265:HRI393300 IBE393265:IBE393300 ILA393265:ILA393300 IUW393265:IUW393300 JES393265:JES393300 JOO393265:JOO393300 JYK393265:JYK393300 KIG393265:KIG393300 KSC393265:KSC393300 LBY393265:LBY393300 LLU393265:LLU393300 LVQ393265:LVQ393300 MFM393265:MFM393300 MPI393265:MPI393300 MZE393265:MZE393300 NJA393265:NJA393300 NSW393265:NSW393300 OCS393265:OCS393300 OMO393265:OMO393300 OWK393265:OWK393300 PGG393265:PGG393300 PQC393265:PQC393300 PZY393265:PZY393300 QJU393265:QJU393300 QTQ393265:QTQ393300 RDM393265:RDM393300 RNI393265:RNI393300 RXE393265:RXE393300 SHA393265:SHA393300 SQW393265:SQW393300 TAS393265:TAS393300 TKO393265:TKO393300 TUK393265:TUK393300 UEG393265:UEG393300 UOC393265:UOC393300 UXY393265:UXY393300 VHU393265:VHU393300 VRQ393265:VRQ393300 WBM393265:WBM393300 WLI393265:WLI393300 WVE393265:WVE393300 IS458801:IS458836 SO458801:SO458836 ACK458801:ACK458836 AMG458801:AMG458836 AWC458801:AWC458836 BFY458801:BFY458836 BPU458801:BPU458836 BZQ458801:BZQ458836 CJM458801:CJM458836 CTI458801:CTI458836 DDE458801:DDE458836 DNA458801:DNA458836 DWW458801:DWW458836 EGS458801:EGS458836 EQO458801:EQO458836 FAK458801:FAK458836 FKG458801:FKG458836 FUC458801:FUC458836 GDY458801:GDY458836 GNU458801:GNU458836 GXQ458801:GXQ458836 HHM458801:HHM458836 HRI458801:HRI458836 IBE458801:IBE458836 ILA458801:ILA458836 IUW458801:IUW458836 JES458801:JES458836 JOO458801:JOO458836 JYK458801:JYK458836 KIG458801:KIG458836 KSC458801:KSC458836 LBY458801:LBY458836 LLU458801:LLU458836 LVQ458801:LVQ458836 MFM458801:MFM458836 MPI458801:MPI458836 MZE458801:MZE458836 NJA458801:NJA458836 NSW458801:NSW458836 OCS458801:OCS458836 OMO458801:OMO458836 OWK458801:OWK458836 PGG458801:PGG458836 PQC458801:PQC458836 PZY458801:PZY458836 QJU458801:QJU458836 QTQ458801:QTQ458836 RDM458801:RDM458836 RNI458801:RNI458836 RXE458801:RXE458836 SHA458801:SHA458836 SQW458801:SQW458836 TAS458801:TAS458836 TKO458801:TKO458836 TUK458801:TUK458836 UEG458801:UEG458836 UOC458801:UOC458836 UXY458801:UXY458836 VHU458801:VHU458836 VRQ458801:VRQ458836 WBM458801:WBM458836 WLI458801:WLI458836 WVE458801:WVE458836 IS524337:IS524372 SO524337:SO524372 ACK524337:ACK524372 AMG524337:AMG524372 AWC524337:AWC524372 BFY524337:BFY524372 BPU524337:BPU524372 BZQ524337:BZQ524372 CJM524337:CJM524372 CTI524337:CTI524372 DDE524337:DDE524372 DNA524337:DNA524372 DWW524337:DWW524372 EGS524337:EGS524372 EQO524337:EQO524372 FAK524337:FAK524372 FKG524337:FKG524372 FUC524337:FUC524372 GDY524337:GDY524372 GNU524337:GNU524372 GXQ524337:GXQ524372 HHM524337:HHM524372 HRI524337:HRI524372 IBE524337:IBE524372 ILA524337:ILA524372 IUW524337:IUW524372 JES524337:JES524372 JOO524337:JOO524372 JYK524337:JYK524372 KIG524337:KIG524372 KSC524337:KSC524372 LBY524337:LBY524372 LLU524337:LLU524372 LVQ524337:LVQ524372 MFM524337:MFM524372 MPI524337:MPI524372 MZE524337:MZE524372 NJA524337:NJA524372 NSW524337:NSW524372 OCS524337:OCS524372 OMO524337:OMO524372 OWK524337:OWK524372 PGG524337:PGG524372 PQC524337:PQC524372 PZY524337:PZY524372 QJU524337:QJU524372 QTQ524337:QTQ524372 RDM524337:RDM524372 RNI524337:RNI524372 RXE524337:RXE524372 SHA524337:SHA524372 SQW524337:SQW524372 TAS524337:TAS524372 TKO524337:TKO524372 TUK524337:TUK524372 UEG524337:UEG524372 UOC524337:UOC524372 UXY524337:UXY524372 VHU524337:VHU524372 VRQ524337:VRQ524372 WBM524337:WBM524372 WLI524337:WLI524372 WVE524337:WVE524372 IS589873:IS589908 SO589873:SO589908 ACK589873:ACK589908 AMG589873:AMG589908 AWC589873:AWC589908 BFY589873:BFY589908 BPU589873:BPU589908 BZQ589873:BZQ589908 CJM589873:CJM589908 CTI589873:CTI589908 DDE589873:DDE589908 DNA589873:DNA589908 DWW589873:DWW589908 EGS589873:EGS589908 EQO589873:EQO589908 FAK589873:FAK589908 FKG589873:FKG589908 FUC589873:FUC589908 GDY589873:GDY589908 GNU589873:GNU589908 GXQ589873:GXQ589908 HHM589873:HHM589908 HRI589873:HRI589908 IBE589873:IBE589908 ILA589873:ILA589908 IUW589873:IUW589908 JES589873:JES589908 JOO589873:JOO589908 JYK589873:JYK589908 KIG589873:KIG589908 KSC589873:KSC589908 LBY589873:LBY589908 LLU589873:LLU589908 LVQ589873:LVQ589908 MFM589873:MFM589908 MPI589873:MPI589908 MZE589873:MZE589908 NJA589873:NJA589908 NSW589873:NSW589908 OCS589873:OCS589908 OMO589873:OMO589908 OWK589873:OWK589908 PGG589873:PGG589908 PQC589873:PQC589908 PZY589873:PZY589908 QJU589873:QJU589908 QTQ589873:QTQ589908 RDM589873:RDM589908 RNI589873:RNI589908 RXE589873:RXE589908 SHA589873:SHA589908 SQW589873:SQW589908 TAS589873:TAS589908 TKO589873:TKO589908 TUK589873:TUK589908 UEG589873:UEG589908 UOC589873:UOC589908 UXY589873:UXY589908 VHU589873:VHU589908 VRQ589873:VRQ589908 WBM589873:WBM589908 WLI589873:WLI589908 WVE589873:WVE589908 IS655409:IS655444 SO655409:SO655444 ACK655409:ACK655444 AMG655409:AMG655444 AWC655409:AWC655444 BFY655409:BFY655444 BPU655409:BPU655444 BZQ655409:BZQ655444 CJM655409:CJM655444 CTI655409:CTI655444 DDE655409:DDE655444 DNA655409:DNA655444 DWW655409:DWW655444 EGS655409:EGS655444 EQO655409:EQO655444 FAK655409:FAK655444 FKG655409:FKG655444 FUC655409:FUC655444 GDY655409:GDY655444 GNU655409:GNU655444 GXQ655409:GXQ655444 HHM655409:HHM655444 HRI655409:HRI655444 IBE655409:IBE655444 ILA655409:ILA655444 IUW655409:IUW655444 JES655409:JES655444 JOO655409:JOO655444 JYK655409:JYK655444 KIG655409:KIG655444 KSC655409:KSC655444 LBY655409:LBY655444 LLU655409:LLU655444 LVQ655409:LVQ655444 MFM655409:MFM655444 MPI655409:MPI655444 MZE655409:MZE655444 NJA655409:NJA655444 NSW655409:NSW655444 OCS655409:OCS655444 OMO655409:OMO655444 OWK655409:OWK655444 PGG655409:PGG655444 PQC655409:PQC655444 PZY655409:PZY655444 QJU655409:QJU655444 QTQ655409:QTQ655444 RDM655409:RDM655444 RNI655409:RNI655444 RXE655409:RXE655444 SHA655409:SHA655444 SQW655409:SQW655444 TAS655409:TAS655444 TKO655409:TKO655444 TUK655409:TUK655444 UEG655409:UEG655444 UOC655409:UOC655444 UXY655409:UXY655444 VHU655409:VHU655444 VRQ655409:VRQ655444 WBM655409:WBM655444 WLI655409:WLI655444 WVE655409:WVE655444 IS720945:IS720980 SO720945:SO720980 ACK720945:ACK720980 AMG720945:AMG720980 AWC720945:AWC720980 BFY720945:BFY720980 BPU720945:BPU720980 BZQ720945:BZQ720980 CJM720945:CJM720980 CTI720945:CTI720980 DDE720945:DDE720980 DNA720945:DNA720980 DWW720945:DWW720980 EGS720945:EGS720980 EQO720945:EQO720980 FAK720945:FAK720980 FKG720945:FKG720980 FUC720945:FUC720980 GDY720945:GDY720980 GNU720945:GNU720980 GXQ720945:GXQ720980 HHM720945:HHM720980 HRI720945:HRI720980 IBE720945:IBE720980 ILA720945:ILA720980 IUW720945:IUW720980 JES720945:JES720980 JOO720945:JOO720980 JYK720945:JYK720980 KIG720945:KIG720980 KSC720945:KSC720980 LBY720945:LBY720980 LLU720945:LLU720980 LVQ720945:LVQ720980 MFM720945:MFM720980 MPI720945:MPI720980 MZE720945:MZE720980 NJA720945:NJA720980 NSW720945:NSW720980 OCS720945:OCS720980 OMO720945:OMO720980 OWK720945:OWK720980 PGG720945:PGG720980 PQC720945:PQC720980 PZY720945:PZY720980 QJU720945:QJU720980 QTQ720945:QTQ720980 RDM720945:RDM720980 RNI720945:RNI720980 RXE720945:RXE720980 SHA720945:SHA720980 SQW720945:SQW720980 TAS720945:TAS720980 TKO720945:TKO720980 TUK720945:TUK720980 UEG720945:UEG720980 UOC720945:UOC720980 UXY720945:UXY720980 VHU720945:VHU720980 VRQ720945:VRQ720980 WBM720945:WBM720980 WLI720945:WLI720980 WVE720945:WVE720980 IS786481:IS786516 SO786481:SO786516 ACK786481:ACK786516 AMG786481:AMG786516 AWC786481:AWC786516 BFY786481:BFY786516 BPU786481:BPU786516 BZQ786481:BZQ786516 CJM786481:CJM786516 CTI786481:CTI786516 DDE786481:DDE786516 DNA786481:DNA786516 DWW786481:DWW786516 EGS786481:EGS786516 EQO786481:EQO786516 FAK786481:FAK786516 FKG786481:FKG786516 FUC786481:FUC786516 GDY786481:GDY786516 GNU786481:GNU786516 GXQ786481:GXQ786516 HHM786481:HHM786516 HRI786481:HRI786516 IBE786481:IBE786516 ILA786481:ILA786516 IUW786481:IUW786516 JES786481:JES786516 JOO786481:JOO786516 JYK786481:JYK786516 KIG786481:KIG786516 KSC786481:KSC786516 LBY786481:LBY786516 LLU786481:LLU786516 LVQ786481:LVQ786516 MFM786481:MFM786516 MPI786481:MPI786516 MZE786481:MZE786516 NJA786481:NJA786516 NSW786481:NSW786516 OCS786481:OCS786516 OMO786481:OMO786516 OWK786481:OWK786516 PGG786481:PGG786516 PQC786481:PQC786516 PZY786481:PZY786516 QJU786481:QJU786516 QTQ786481:QTQ786516 RDM786481:RDM786516 RNI786481:RNI786516 RXE786481:RXE786516 SHA786481:SHA786516 SQW786481:SQW786516 TAS786481:TAS786516 TKO786481:TKO786516 TUK786481:TUK786516 UEG786481:UEG786516 UOC786481:UOC786516 UXY786481:UXY786516 VHU786481:VHU786516 VRQ786481:VRQ786516 WBM786481:WBM786516 WLI786481:WLI786516 WVE786481:WVE786516 IS852017:IS852052 SO852017:SO852052 ACK852017:ACK852052 AMG852017:AMG852052 AWC852017:AWC852052 BFY852017:BFY852052 BPU852017:BPU852052 BZQ852017:BZQ852052 CJM852017:CJM852052 CTI852017:CTI852052 DDE852017:DDE852052 DNA852017:DNA852052 DWW852017:DWW852052 EGS852017:EGS852052 EQO852017:EQO852052 FAK852017:FAK852052 FKG852017:FKG852052 FUC852017:FUC852052 GDY852017:GDY852052 GNU852017:GNU852052 GXQ852017:GXQ852052 HHM852017:HHM852052 HRI852017:HRI852052 IBE852017:IBE852052 ILA852017:ILA852052 IUW852017:IUW852052 JES852017:JES852052 JOO852017:JOO852052 JYK852017:JYK852052 KIG852017:KIG852052 KSC852017:KSC852052 LBY852017:LBY852052 LLU852017:LLU852052 LVQ852017:LVQ852052 MFM852017:MFM852052 MPI852017:MPI852052 MZE852017:MZE852052 NJA852017:NJA852052 NSW852017:NSW852052 OCS852017:OCS852052 OMO852017:OMO852052 OWK852017:OWK852052 PGG852017:PGG852052 PQC852017:PQC852052 PZY852017:PZY852052 QJU852017:QJU852052 QTQ852017:QTQ852052 RDM852017:RDM852052 RNI852017:RNI852052 RXE852017:RXE852052 SHA852017:SHA852052 SQW852017:SQW852052 TAS852017:TAS852052 TKO852017:TKO852052 TUK852017:TUK852052 UEG852017:UEG852052 UOC852017:UOC852052 UXY852017:UXY852052 VHU852017:VHU852052 VRQ852017:VRQ852052 WBM852017:WBM852052 WLI852017:WLI852052 WVE852017:WVE852052 IS917553:IS917588 SO917553:SO917588 ACK917553:ACK917588 AMG917553:AMG917588 AWC917553:AWC917588 BFY917553:BFY917588 BPU917553:BPU917588 BZQ917553:BZQ917588 CJM917553:CJM917588 CTI917553:CTI917588 DDE917553:DDE917588 DNA917553:DNA917588 DWW917553:DWW917588 EGS917553:EGS917588 EQO917553:EQO917588 FAK917553:FAK917588 FKG917553:FKG917588 FUC917553:FUC917588 GDY917553:GDY917588 GNU917553:GNU917588 GXQ917553:GXQ917588 HHM917553:HHM917588 HRI917553:HRI917588 IBE917553:IBE917588 ILA917553:ILA917588 IUW917553:IUW917588 JES917553:JES917588 JOO917553:JOO917588 JYK917553:JYK917588 KIG917553:KIG917588 KSC917553:KSC917588 LBY917553:LBY917588 LLU917553:LLU917588 LVQ917553:LVQ917588 MFM917553:MFM917588 MPI917553:MPI917588 MZE917553:MZE917588 NJA917553:NJA917588 NSW917553:NSW917588 OCS917553:OCS917588 OMO917553:OMO917588 OWK917553:OWK917588 PGG917553:PGG917588 PQC917553:PQC917588 PZY917553:PZY917588 QJU917553:QJU917588 QTQ917553:QTQ917588 RDM917553:RDM917588 RNI917553:RNI917588 RXE917553:RXE917588 SHA917553:SHA917588 SQW917553:SQW917588 TAS917553:TAS917588 TKO917553:TKO917588 TUK917553:TUK917588 UEG917553:UEG917588 UOC917553:UOC917588 UXY917553:UXY917588 VHU917553:VHU917588 VRQ917553:VRQ917588 WBM917553:WBM917588 WLI917553:WLI917588 WVE917553:WVE917588 IS983089:IS983124 SO983089:SO983124 ACK983089:ACK983124 AMG983089:AMG983124 AWC983089:AWC983124 BFY983089:BFY983124 BPU983089:BPU983124 BZQ983089:BZQ983124 CJM983089:CJM983124 CTI983089:CTI983124 DDE983089:DDE983124 DNA983089:DNA983124 DWW983089:DWW983124 EGS983089:EGS983124 EQO983089:EQO983124 FAK983089:FAK983124 FKG983089:FKG983124 FUC983089:FUC983124 GDY983089:GDY983124 GNU983089:GNU983124 GXQ983089:GXQ983124 HHM983089:HHM983124 HRI983089:HRI983124 IBE983089:IBE983124 ILA983089:ILA983124 IUW983089:IUW983124 JES983089:JES983124 JOO983089:JOO983124 JYK983089:JYK983124 KIG983089:KIG983124 KSC983089:KSC983124 LBY983089:LBY983124 LLU983089:LLU983124 LVQ983089:LVQ983124 MFM983089:MFM983124 MPI983089:MPI983124 MZE983089:MZE983124 NJA983089:NJA983124 NSW983089:NSW983124 OCS983089:OCS983124 OMO983089:OMO983124 OWK983089:OWK983124 PGG983089:PGG983124 PQC983089:PQC983124 PZY983089:PZY983124 QJU983089:QJU983124 QTQ983089:QTQ983124 RDM983089:RDM983124 RNI983089:RNI983124 RXE983089:RXE983124 SHA983089:SHA983124 SQW983089:SQW983124 TAS983089:TAS983124 TKO983089:TKO983124 TUK983089:TUK983124 UEG983089:UEG983124 UOC983089:UOC983124 UXY983089:UXY983124 VHU983089:VHU983124 VRQ983089:VRQ983124 WBM983089:WBM983124 WLI983089:WLI983124 WVE983089:WVE983124 JI65584:JI65622 TE65584:TE65622 ADA65584:ADA65622 AMW65584:AMW65622 AWS65584:AWS65622 BGO65584:BGO65622 BQK65584:BQK65622 CAG65584:CAG65622 CKC65584:CKC65622 CTY65584:CTY65622 DDU65584:DDU65622 DNQ65584:DNQ65622 DXM65584:DXM65622 EHI65584:EHI65622 ERE65584:ERE65622 FBA65584:FBA65622 FKW65584:FKW65622 FUS65584:FUS65622 GEO65584:GEO65622 GOK65584:GOK65622 GYG65584:GYG65622 HIC65584:HIC65622 HRY65584:HRY65622 IBU65584:IBU65622 ILQ65584:ILQ65622 IVM65584:IVM65622 JFI65584:JFI65622 JPE65584:JPE65622 JZA65584:JZA65622 KIW65584:KIW65622 KSS65584:KSS65622 LCO65584:LCO65622 LMK65584:LMK65622 LWG65584:LWG65622 MGC65584:MGC65622 MPY65584:MPY65622 MZU65584:MZU65622 NJQ65584:NJQ65622 NTM65584:NTM65622 ODI65584:ODI65622 ONE65584:ONE65622 OXA65584:OXA65622 PGW65584:PGW65622 PQS65584:PQS65622 QAO65584:QAO65622 QKK65584:QKK65622 QUG65584:QUG65622 REC65584:REC65622 RNY65584:RNY65622 RXU65584:RXU65622 SHQ65584:SHQ65622 SRM65584:SRM65622 TBI65584:TBI65622 TLE65584:TLE65622 TVA65584:TVA65622 UEW65584:UEW65622 UOS65584:UOS65622 UYO65584:UYO65622 VIK65584:VIK65622 VSG65584:VSG65622 WCC65584:WCC65622 WLY65584:WLY65622 WVU65584:WVU65622 JI131120:JI131158 TE131120:TE131158 ADA131120:ADA131158 AMW131120:AMW131158 AWS131120:AWS131158 BGO131120:BGO131158 BQK131120:BQK131158 CAG131120:CAG131158 CKC131120:CKC131158 CTY131120:CTY131158 DDU131120:DDU131158 DNQ131120:DNQ131158 DXM131120:DXM131158 EHI131120:EHI131158 ERE131120:ERE131158 FBA131120:FBA131158 FKW131120:FKW131158 FUS131120:FUS131158 GEO131120:GEO131158 GOK131120:GOK131158 GYG131120:GYG131158 HIC131120:HIC131158 HRY131120:HRY131158 IBU131120:IBU131158 ILQ131120:ILQ131158 IVM131120:IVM131158 JFI131120:JFI131158 JPE131120:JPE131158 JZA131120:JZA131158 KIW131120:KIW131158 KSS131120:KSS131158 LCO131120:LCO131158 LMK131120:LMK131158 LWG131120:LWG131158 MGC131120:MGC131158 MPY131120:MPY131158 MZU131120:MZU131158 NJQ131120:NJQ131158 NTM131120:NTM131158 ODI131120:ODI131158 ONE131120:ONE131158 OXA131120:OXA131158 PGW131120:PGW131158 PQS131120:PQS131158 QAO131120:QAO131158 QKK131120:QKK131158 QUG131120:QUG131158 REC131120:REC131158 RNY131120:RNY131158 RXU131120:RXU131158 SHQ131120:SHQ131158 SRM131120:SRM131158 TBI131120:TBI131158 TLE131120:TLE131158 TVA131120:TVA131158 UEW131120:UEW131158 UOS131120:UOS131158 UYO131120:UYO131158 VIK131120:VIK131158 VSG131120:VSG131158 WCC131120:WCC131158 WLY131120:WLY131158 WVU131120:WVU131158 JI196656:JI196694 TE196656:TE196694 ADA196656:ADA196694 AMW196656:AMW196694 AWS196656:AWS196694 BGO196656:BGO196694 BQK196656:BQK196694 CAG196656:CAG196694 CKC196656:CKC196694 CTY196656:CTY196694 DDU196656:DDU196694 DNQ196656:DNQ196694 DXM196656:DXM196694 EHI196656:EHI196694 ERE196656:ERE196694 FBA196656:FBA196694 FKW196656:FKW196694 FUS196656:FUS196694 GEO196656:GEO196694 GOK196656:GOK196694 GYG196656:GYG196694 HIC196656:HIC196694 HRY196656:HRY196694 IBU196656:IBU196694 ILQ196656:ILQ196694 IVM196656:IVM196694 JFI196656:JFI196694 JPE196656:JPE196694 JZA196656:JZA196694 KIW196656:KIW196694 KSS196656:KSS196694 LCO196656:LCO196694 LMK196656:LMK196694 LWG196656:LWG196694 MGC196656:MGC196694 MPY196656:MPY196694 MZU196656:MZU196694 NJQ196656:NJQ196694 NTM196656:NTM196694 ODI196656:ODI196694 ONE196656:ONE196694 OXA196656:OXA196694 PGW196656:PGW196694 PQS196656:PQS196694 QAO196656:QAO196694 QKK196656:QKK196694 QUG196656:QUG196694 REC196656:REC196694 RNY196656:RNY196694 RXU196656:RXU196694 SHQ196656:SHQ196694 SRM196656:SRM196694 TBI196656:TBI196694 TLE196656:TLE196694 TVA196656:TVA196694 UEW196656:UEW196694 UOS196656:UOS196694 UYO196656:UYO196694 VIK196656:VIK196694 VSG196656:VSG196694 WCC196656:WCC196694 WLY196656:WLY196694 WVU196656:WVU196694 JI262192:JI262230 TE262192:TE262230 ADA262192:ADA262230 AMW262192:AMW262230 AWS262192:AWS262230 BGO262192:BGO262230 BQK262192:BQK262230 CAG262192:CAG262230 CKC262192:CKC262230 CTY262192:CTY262230 DDU262192:DDU262230 DNQ262192:DNQ262230 DXM262192:DXM262230 EHI262192:EHI262230 ERE262192:ERE262230 FBA262192:FBA262230 FKW262192:FKW262230 FUS262192:FUS262230 GEO262192:GEO262230 GOK262192:GOK262230 GYG262192:GYG262230 HIC262192:HIC262230 HRY262192:HRY262230 IBU262192:IBU262230 ILQ262192:ILQ262230 IVM262192:IVM262230 JFI262192:JFI262230 JPE262192:JPE262230 JZA262192:JZA262230 KIW262192:KIW262230 KSS262192:KSS262230 LCO262192:LCO262230 LMK262192:LMK262230 LWG262192:LWG262230 MGC262192:MGC262230 MPY262192:MPY262230 MZU262192:MZU262230 NJQ262192:NJQ262230 NTM262192:NTM262230 ODI262192:ODI262230 ONE262192:ONE262230 OXA262192:OXA262230 PGW262192:PGW262230 PQS262192:PQS262230 QAO262192:QAO262230 QKK262192:QKK262230 QUG262192:QUG262230 REC262192:REC262230 RNY262192:RNY262230 RXU262192:RXU262230 SHQ262192:SHQ262230 SRM262192:SRM262230 TBI262192:TBI262230 TLE262192:TLE262230 TVA262192:TVA262230 UEW262192:UEW262230 UOS262192:UOS262230 UYO262192:UYO262230 VIK262192:VIK262230 VSG262192:VSG262230 WCC262192:WCC262230 WLY262192:WLY262230 WVU262192:WVU262230 JI327728:JI327766 TE327728:TE327766 ADA327728:ADA327766 AMW327728:AMW327766 AWS327728:AWS327766 BGO327728:BGO327766 BQK327728:BQK327766 CAG327728:CAG327766 CKC327728:CKC327766 CTY327728:CTY327766 DDU327728:DDU327766 DNQ327728:DNQ327766 DXM327728:DXM327766 EHI327728:EHI327766 ERE327728:ERE327766 FBA327728:FBA327766 FKW327728:FKW327766 FUS327728:FUS327766 GEO327728:GEO327766 GOK327728:GOK327766 GYG327728:GYG327766 HIC327728:HIC327766 HRY327728:HRY327766 IBU327728:IBU327766 ILQ327728:ILQ327766 IVM327728:IVM327766 JFI327728:JFI327766 JPE327728:JPE327766 JZA327728:JZA327766 KIW327728:KIW327766 KSS327728:KSS327766 LCO327728:LCO327766 LMK327728:LMK327766 LWG327728:LWG327766 MGC327728:MGC327766 MPY327728:MPY327766 MZU327728:MZU327766 NJQ327728:NJQ327766 NTM327728:NTM327766 ODI327728:ODI327766 ONE327728:ONE327766 OXA327728:OXA327766 PGW327728:PGW327766 PQS327728:PQS327766 QAO327728:QAO327766 QKK327728:QKK327766 QUG327728:QUG327766 REC327728:REC327766 RNY327728:RNY327766 RXU327728:RXU327766 SHQ327728:SHQ327766 SRM327728:SRM327766 TBI327728:TBI327766 TLE327728:TLE327766 TVA327728:TVA327766 UEW327728:UEW327766 UOS327728:UOS327766 UYO327728:UYO327766 VIK327728:VIK327766 VSG327728:VSG327766 WCC327728:WCC327766 WLY327728:WLY327766 WVU327728:WVU327766 JI393264:JI393302 TE393264:TE393302 ADA393264:ADA393302 AMW393264:AMW393302 AWS393264:AWS393302 BGO393264:BGO393302 BQK393264:BQK393302 CAG393264:CAG393302 CKC393264:CKC393302 CTY393264:CTY393302 DDU393264:DDU393302 DNQ393264:DNQ393302 DXM393264:DXM393302 EHI393264:EHI393302 ERE393264:ERE393302 FBA393264:FBA393302 FKW393264:FKW393302 FUS393264:FUS393302 GEO393264:GEO393302 GOK393264:GOK393302 GYG393264:GYG393302 HIC393264:HIC393302 HRY393264:HRY393302 IBU393264:IBU393302 ILQ393264:ILQ393302 IVM393264:IVM393302 JFI393264:JFI393302 JPE393264:JPE393302 JZA393264:JZA393302 KIW393264:KIW393302 KSS393264:KSS393302 LCO393264:LCO393302 LMK393264:LMK393302 LWG393264:LWG393302 MGC393264:MGC393302 MPY393264:MPY393302 MZU393264:MZU393302 NJQ393264:NJQ393302 NTM393264:NTM393302 ODI393264:ODI393302 ONE393264:ONE393302 OXA393264:OXA393302 PGW393264:PGW393302 PQS393264:PQS393302 QAO393264:QAO393302 QKK393264:QKK393302 QUG393264:QUG393302 REC393264:REC393302 RNY393264:RNY393302 RXU393264:RXU393302 SHQ393264:SHQ393302 SRM393264:SRM393302 TBI393264:TBI393302 TLE393264:TLE393302 TVA393264:TVA393302 UEW393264:UEW393302 UOS393264:UOS393302 UYO393264:UYO393302 VIK393264:VIK393302 VSG393264:VSG393302 WCC393264:WCC393302 WLY393264:WLY393302 WVU393264:WVU393302 JI458800:JI458838 TE458800:TE458838 ADA458800:ADA458838 AMW458800:AMW458838 AWS458800:AWS458838 BGO458800:BGO458838 BQK458800:BQK458838 CAG458800:CAG458838 CKC458800:CKC458838 CTY458800:CTY458838 DDU458800:DDU458838 DNQ458800:DNQ458838 DXM458800:DXM458838 EHI458800:EHI458838 ERE458800:ERE458838 FBA458800:FBA458838 FKW458800:FKW458838 FUS458800:FUS458838 GEO458800:GEO458838 GOK458800:GOK458838 GYG458800:GYG458838 HIC458800:HIC458838 HRY458800:HRY458838 IBU458800:IBU458838 ILQ458800:ILQ458838 IVM458800:IVM458838 JFI458800:JFI458838 JPE458800:JPE458838 JZA458800:JZA458838 KIW458800:KIW458838 KSS458800:KSS458838 LCO458800:LCO458838 LMK458800:LMK458838 LWG458800:LWG458838 MGC458800:MGC458838 MPY458800:MPY458838 MZU458800:MZU458838 NJQ458800:NJQ458838 NTM458800:NTM458838 ODI458800:ODI458838 ONE458800:ONE458838 OXA458800:OXA458838 PGW458800:PGW458838 PQS458800:PQS458838 QAO458800:QAO458838 QKK458800:QKK458838 QUG458800:QUG458838 REC458800:REC458838 RNY458800:RNY458838 RXU458800:RXU458838 SHQ458800:SHQ458838 SRM458800:SRM458838 TBI458800:TBI458838 TLE458800:TLE458838 TVA458800:TVA458838 UEW458800:UEW458838 UOS458800:UOS458838 UYO458800:UYO458838 VIK458800:VIK458838 VSG458800:VSG458838 WCC458800:WCC458838 WLY458800:WLY458838 WVU458800:WVU458838 JI524336:JI524374 TE524336:TE524374 ADA524336:ADA524374 AMW524336:AMW524374 AWS524336:AWS524374 BGO524336:BGO524374 BQK524336:BQK524374 CAG524336:CAG524374 CKC524336:CKC524374 CTY524336:CTY524374 DDU524336:DDU524374 DNQ524336:DNQ524374 DXM524336:DXM524374 EHI524336:EHI524374 ERE524336:ERE524374 FBA524336:FBA524374 FKW524336:FKW524374 FUS524336:FUS524374 GEO524336:GEO524374 GOK524336:GOK524374 GYG524336:GYG524374 HIC524336:HIC524374 HRY524336:HRY524374 IBU524336:IBU524374 ILQ524336:ILQ524374 IVM524336:IVM524374 JFI524336:JFI524374 JPE524336:JPE524374 JZA524336:JZA524374 KIW524336:KIW524374 KSS524336:KSS524374 LCO524336:LCO524374 LMK524336:LMK524374 LWG524336:LWG524374 MGC524336:MGC524374 MPY524336:MPY524374 MZU524336:MZU524374 NJQ524336:NJQ524374 NTM524336:NTM524374 ODI524336:ODI524374 ONE524336:ONE524374 OXA524336:OXA524374 PGW524336:PGW524374 PQS524336:PQS524374 QAO524336:QAO524374 QKK524336:QKK524374 QUG524336:QUG524374 REC524336:REC524374 RNY524336:RNY524374 RXU524336:RXU524374 SHQ524336:SHQ524374 SRM524336:SRM524374 TBI524336:TBI524374 TLE524336:TLE524374 TVA524336:TVA524374 UEW524336:UEW524374 UOS524336:UOS524374 UYO524336:UYO524374 VIK524336:VIK524374 VSG524336:VSG524374 WCC524336:WCC524374 WLY524336:WLY524374 WVU524336:WVU524374 JI589872:JI589910 TE589872:TE589910 ADA589872:ADA589910 AMW589872:AMW589910 AWS589872:AWS589910 BGO589872:BGO589910 BQK589872:BQK589910 CAG589872:CAG589910 CKC589872:CKC589910 CTY589872:CTY589910 DDU589872:DDU589910 DNQ589872:DNQ589910 DXM589872:DXM589910 EHI589872:EHI589910 ERE589872:ERE589910 FBA589872:FBA589910 FKW589872:FKW589910 FUS589872:FUS589910 GEO589872:GEO589910 GOK589872:GOK589910 GYG589872:GYG589910 HIC589872:HIC589910 HRY589872:HRY589910 IBU589872:IBU589910 ILQ589872:ILQ589910 IVM589872:IVM589910 JFI589872:JFI589910 JPE589872:JPE589910 JZA589872:JZA589910 KIW589872:KIW589910 KSS589872:KSS589910 LCO589872:LCO589910 LMK589872:LMK589910 LWG589872:LWG589910 MGC589872:MGC589910 MPY589872:MPY589910 MZU589872:MZU589910 NJQ589872:NJQ589910 NTM589872:NTM589910 ODI589872:ODI589910 ONE589872:ONE589910 OXA589872:OXA589910 PGW589872:PGW589910 PQS589872:PQS589910 QAO589872:QAO589910 QKK589872:QKK589910 QUG589872:QUG589910 REC589872:REC589910 RNY589872:RNY589910 RXU589872:RXU589910 SHQ589872:SHQ589910 SRM589872:SRM589910 TBI589872:TBI589910 TLE589872:TLE589910 TVA589872:TVA589910 UEW589872:UEW589910 UOS589872:UOS589910 UYO589872:UYO589910 VIK589872:VIK589910 VSG589872:VSG589910 WCC589872:WCC589910 WLY589872:WLY589910 WVU589872:WVU589910 JI655408:JI655446 TE655408:TE655446 ADA655408:ADA655446 AMW655408:AMW655446 AWS655408:AWS655446 BGO655408:BGO655446 BQK655408:BQK655446 CAG655408:CAG655446 CKC655408:CKC655446 CTY655408:CTY655446 DDU655408:DDU655446 DNQ655408:DNQ655446 DXM655408:DXM655446 EHI655408:EHI655446 ERE655408:ERE655446 FBA655408:FBA655446 FKW655408:FKW655446 FUS655408:FUS655446 GEO655408:GEO655446 GOK655408:GOK655446 GYG655408:GYG655446 HIC655408:HIC655446 HRY655408:HRY655446 IBU655408:IBU655446 ILQ655408:ILQ655446 IVM655408:IVM655446 JFI655408:JFI655446 JPE655408:JPE655446 JZA655408:JZA655446 KIW655408:KIW655446 KSS655408:KSS655446 LCO655408:LCO655446 LMK655408:LMK655446 LWG655408:LWG655446 MGC655408:MGC655446 MPY655408:MPY655446 MZU655408:MZU655446 NJQ655408:NJQ655446 NTM655408:NTM655446 ODI655408:ODI655446 ONE655408:ONE655446 OXA655408:OXA655446 PGW655408:PGW655446 PQS655408:PQS655446 QAO655408:QAO655446 QKK655408:QKK655446 QUG655408:QUG655446 REC655408:REC655446 RNY655408:RNY655446 RXU655408:RXU655446 SHQ655408:SHQ655446 SRM655408:SRM655446 TBI655408:TBI655446 TLE655408:TLE655446 TVA655408:TVA655446 UEW655408:UEW655446 UOS655408:UOS655446 UYO655408:UYO655446 VIK655408:VIK655446 VSG655408:VSG655446 WCC655408:WCC655446 WLY655408:WLY655446 WVU655408:WVU655446 JI720944:JI720982 TE720944:TE720982 ADA720944:ADA720982 AMW720944:AMW720982 AWS720944:AWS720982 BGO720944:BGO720982 BQK720944:BQK720982 CAG720944:CAG720982 CKC720944:CKC720982 CTY720944:CTY720982 DDU720944:DDU720982 DNQ720944:DNQ720982 DXM720944:DXM720982 EHI720944:EHI720982 ERE720944:ERE720982 FBA720944:FBA720982 FKW720944:FKW720982 FUS720944:FUS720982 GEO720944:GEO720982 GOK720944:GOK720982 GYG720944:GYG720982 HIC720944:HIC720982 HRY720944:HRY720982 IBU720944:IBU720982 ILQ720944:ILQ720982 IVM720944:IVM720982 JFI720944:JFI720982 JPE720944:JPE720982 JZA720944:JZA720982 KIW720944:KIW720982 KSS720944:KSS720982 LCO720944:LCO720982 LMK720944:LMK720982 LWG720944:LWG720982 MGC720944:MGC720982 MPY720944:MPY720982 MZU720944:MZU720982 NJQ720944:NJQ720982 NTM720944:NTM720982 ODI720944:ODI720982 ONE720944:ONE720982 OXA720944:OXA720982 PGW720944:PGW720982 PQS720944:PQS720982 QAO720944:QAO720982 QKK720944:QKK720982 QUG720944:QUG720982 REC720944:REC720982 RNY720944:RNY720982 RXU720944:RXU720982 SHQ720944:SHQ720982 SRM720944:SRM720982 TBI720944:TBI720982 TLE720944:TLE720982 TVA720944:TVA720982 UEW720944:UEW720982 UOS720944:UOS720982 UYO720944:UYO720982 VIK720944:VIK720982 VSG720944:VSG720982 WCC720944:WCC720982 WLY720944:WLY720982 WVU720944:WVU720982 JI786480:JI786518 TE786480:TE786518 ADA786480:ADA786518 AMW786480:AMW786518 AWS786480:AWS786518 BGO786480:BGO786518 BQK786480:BQK786518 CAG786480:CAG786518 CKC786480:CKC786518 CTY786480:CTY786518 DDU786480:DDU786518 DNQ786480:DNQ786518 DXM786480:DXM786518 EHI786480:EHI786518 ERE786480:ERE786518 FBA786480:FBA786518 FKW786480:FKW786518 FUS786480:FUS786518 GEO786480:GEO786518 GOK786480:GOK786518 GYG786480:GYG786518 HIC786480:HIC786518 HRY786480:HRY786518 IBU786480:IBU786518 ILQ786480:ILQ786518 IVM786480:IVM786518 JFI786480:JFI786518 JPE786480:JPE786518 JZA786480:JZA786518 KIW786480:KIW786518 KSS786480:KSS786518 LCO786480:LCO786518 LMK786480:LMK786518 LWG786480:LWG786518 MGC786480:MGC786518 MPY786480:MPY786518 MZU786480:MZU786518 NJQ786480:NJQ786518 NTM786480:NTM786518 ODI786480:ODI786518 ONE786480:ONE786518 OXA786480:OXA786518 PGW786480:PGW786518 PQS786480:PQS786518 QAO786480:QAO786518 QKK786480:QKK786518 QUG786480:QUG786518 REC786480:REC786518 RNY786480:RNY786518 RXU786480:RXU786518 SHQ786480:SHQ786518 SRM786480:SRM786518 TBI786480:TBI786518 TLE786480:TLE786518 TVA786480:TVA786518 UEW786480:UEW786518 UOS786480:UOS786518 UYO786480:UYO786518 VIK786480:VIK786518 VSG786480:VSG786518 WCC786480:WCC786518 WLY786480:WLY786518 WVU786480:WVU786518 JI852016:JI852054 TE852016:TE852054 ADA852016:ADA852054 AMW852016:AMW852054 AWS852016:AWS852054 BGO852016:BGO852054 BQK852016:BQK852054 CAG852016:CAG852054 CKC852016:CKC852054 CTY852016:CTY852054 DDU852016:DDU852054 DNQ852016:DNQ852054 DXM852016:DXM852054 EHI852016:EHI852054 ERE852016:ERE852054 FBA852016:FBA852054 FKW852016:FKW852054 FUS852016:FUS852054 GEO852016:GEO852054 GOK852016:GOK852054 GYG852016:GYG852054 HIC852016:HIC852054 HRY852016:HRY852054 IBU852016:IBU852054 ILQ852016:ILQ852054 IVM852016:IVM852054 JFI852016:JFI852054 JPE852016:JPE852054 JZA852016:JZA852054 KIW852016:KIW852054 KSS852016:KSS852054 LCO852016:LCO852054 LMK852016:LMK852054 LWG852016:LWG852054 MGC852016:MGC852054 MPY852016:MPY852054 MZU852016:MZU852054 NJQ852016:NJQ852054 NTM852016:NTM852054 ODI852016:ODI852054 ONE852016:ONE852054 OXA852016:OXA852054 PGW852016:PGW852054 PQS852016:PQS852054 QAO852016:QAO852054 QKK852016:QKK852054 QUG852016:QUG852054 REC852016:REC852054 RNY852016:RNY852054 RXU852016:RXU852054 SHQ852016:SHQ852054 SRM852016:SRM852054 TBI852016:TBI852054 TLE852016:TLE852054 TVA852016:TVA852054 UEW852016:UEW852054 UOS852016:UOS852054 UYO852016:UYO852054 VIK852016:VIK852054 VSG852016:VSG852054 WCC852016:WCC852054 WLY852016:WLY852054 WVU852016:WVU852054 JI917552:JI917590 TE917552:TE917590 ADA917552:ADA917590 AMW917552:AMW917590 AWS917552:AWS917590 BGO917552:BGO917590 BQK917552:BQK917590 CAG917552:CAG917590 CKC917552:CKC917590 CTY917552:CTY917590 DDU917552:DDU917590 DNQ917552:DNQ917590 DXM917552:DXM917590 EHI917552:EHI917590 ERE917552:ERE917590 FBA917552:FBA917590 FKW917552:FKW917590 FUS917552:FUS917590 GEO917552:GEO917590 GOK917552:GOK917590 GYG917552:GYG917590 HIC917552:HIC917590 HRY917552:HRY917590 IBU917552:IBU917590 ILQ917552:ILQ917590 IVM917552:IVM917590 JFI917552:JFI917590 JPE917552:JPE917590 JZA917552:JZA917590 KIW917552:KIW917590 KSS917552:KSS917590 LCO917552:LCO917590 LMK917552:LMK917590 LWG917552:LWG917590 MGC917552:MGC917590 MPY917552:MPY917590 MZU917552:MZU917590 NJQ917552:NJQ917590 NTM917552:NTM917590 ODI917552:ODI917590 ONE917552:ONE917590 OXA917552:OXA917590 PGW917552:PGW917590 PQS917552:PQS917590 QAO917552:QAO917590 QKK917552:QKK917590 QUG917552:QUG917590 REC917552:REC917590 RNY917552:RNY917590 RXU917552:RXU917590 SHQ917552:SHQ917590 SRM917552:SRM917590 TBI917552:TBI917590 TLE917552:TLE917590 TVA917552:TVA917590 UEW917552:UEW917590 UOS917552:UOS917590 UYO917552:UYO917590 VIK917552:VIK917590 VSG917552:VSG917590 WCC917552:WCC917590 WLY917552:WLY917590 WVU917552:WVU917590 JI983088:JI983126 TE983088:TE983126 ADA983088:ADA983126 AMW983088:AMW983126 AWS983088:AWS983126 BGO983088:BGO983126 BQK983088:BQK983126 CAG983088:CAG983126 CKC983088:CKC983126 CTY983088:CTY983126 DDU983088:DDU983126 DNQ983088:DNQ983126 DXM983088:DXM983126 EHI983088:EHI983126 ERE983088:ERE983126 FBA983088:FBA983126 FKW983088:FKW983126 FUS983088:FUS983126 GEO983088:GEO983126 GOK983088:GOK983126 GYG983088:GYG983126 HIC983088:HIC983126 HRY983088:HRY983126 IBU983088:IBU983126 ILQ983088:ILQ983126 IVM983088:IVM983126 JFI983088:JFI983126 JPE983088:JPE983126 JZA983088:JZA983126 KIW983088:KIW983126 KSS983088:KSS983126 LCO983088:LCO983126 LMK983088:LMK983126 LWG983088:LWG983126 MGC983088:MGC983126 MPY983088:MPY983126 MZU983088:MZU983126 NJQ983088:NJQ983126 NTM983088:NTM983126 ODI983088:ODI983126 ONE983088:ONE983126 OXA983088:OXA983126 PGW983088:PGW983126 PQS983088:PQS983126 QAO983088:QAO983126 QKK983088:QKK983126 QUG983088:QUG983126 REC983088:REC983126 RNY983088:RNY983126 RXU983088:RXU983126 SHQ983088:SHQ983126 SRM983088:SRM983126 TBI983088:TBI983126 TLE983088:TLE983126 TVA983088:TVA983126 UEW983088:UEW983126 UOS983088:UOS983126 UYO983088:UYO983126 VIK983088:VIK983126 VSG983088:VSG983126 WCC983088:WCC983126 WLY983088:WLY983126 A65585:A65620 A983089:A983124 A917553:A917588 A852017:A852052 A786481:A786516 A720945:A720980 A655409:A655444 A589873:A589908 A524337:A524372 A458801:A458836 A393265:A393300 A327729:A327764 A262193:A262228 A196657:A196692 A131121:A131156 A6:A84 WVU5:WVU86 WLY5:WLY86 WCC5:WCC86 VSG5:VSG86 VIK5:VIK86 UYO5:UYO86 UOS5:UOS86 UEW5:UEW86 TVA5:TVA86 TLE5:TLE86 TBI5:TBI86 SRM5:SRM86 SHQ5:SHQ86 RXU5:RXU86 RNY5:RNY86 REC5:REC86 QUG5:QUG86 QKK5:QKK86 QAO5:QAO86 PQS5:PQS86 PGW5:PGW86 OXA5:OXA86 ONE5:ONE86 ODI5:ODI86 NTM5:NTM86 NJQ5:NJQ86 MZU5:MZU86 MPY5:MPY86 MGC5:MGC86 LWG5:LWG86 LMK5:LMK86 LCO5:LCO86 KSS5:KSS86 KIW5:KIW86 JZA5:JZA86 JPE5:JPE86 JFI5:JFI86 IVM5:IVM86 ILQ5:ILQ86 IBU5:IBU86 HRY5:HRY86 HIC5:HIC86 GYG5:GYG86 GOK5:GOK86 GEO5:GEO86 FUS5:FUS86 FKW5:FKW86 FBA5:FBA86 ERE5:ERE86 EHI5:EHI86 DXM5:DXM86 DNQ5:DNQ86 DDU5:DDU86 CTY5:CTY86 CKC5:CKC86 CAG5:CAG86 BQK5:BQK86 BGO5:BGO86 AWS5:AWS86 AMW5:AMW86 ADA5:ADA86 TE5:TE86 JI5:JI86"/>
    <dataValidation type="decimal" allowBlank="1" showInputMessage="1" showErrorMessage="1" errorTitle="Keine Eingabe" promptTitle="Summebildung" prompt="Die Anzahl der Unterrichtstunden in den entsprechenden Fächern in den Spalte G bis O eintragen." sqref="Q5:Q84">
      <formula1>0</formula1>
      <formula2>40</formula2>
    </dataValidation>
    <dataValidation type="decimal" allowBlank="1" showInputMessage="1" showErrorMessage="1" promptTitle="Stütz- und BegleitlehrerIn" prompt="Die Lehrperson muss über einen entsprechenden Dienstvertrag als &quot;Stütz- und BegleitlehrerIn&quot; verfügen." sqref="L5:L84">
      <formula1>0</formula1>
      <formula2>40</formula2>
    </dataValidation>
    <dataValidation allowBlank="1" showInputMessage="1" showErrorMessage="1" promptTitle="Leitung" prompt="Hier bitte den Namen der Leitung eingeben." sqref="A5:B5"/>
    <dataValidation allowBlank="1" showInputMessage="1" showErrorMessage="1" promptTitle="Berechnung" prompt="Stundenkontigent für Unterricht + GTS + Extra-Antrag" sqref="G87"/>
    <dataValidation type="decimal" allowBlank="1" showInputMessage="1" showErrorMessage="1" promptTitle="Stunden" prompt="Hier ist die Summe aller Stunden (Unterricht, GTS, unverbindl. Übungen...) einzugeben_x000a__x000a_außer:_x000a_Religion, Erstsprache, Sprachheil, spez. Lernfö, Werken, Assistenz, Einrechnungen und Stunden an anderen Schulen." sqref="G5:G84">
      <formula1>0</formula1>
      <formula2>40</formula2>
    </dataValidation>
    <dataValidation type="decimal" allowBlank="1" showInputMessage="1" showErrorMessage="1" errorTitle="Stunden eingeben" error="Bitte die Anzahl der Stunden eigeben, mit welcher die Lehrperson voraussichtlich am neuen Standort eingesetzt wird." sqref="E5:E84">
      <formula1>0</formula1>
      <formula2>40</formula2>
    </dataValidation>
  </dataValidations>
  <printOptions horizontalCentered="1" gridLinesSet="0"/>
  <pageMargins left="0.39370078740157483" right="0.27559055118110237" top="0.47244094488188981" bottom="0.47244094488188981" header="0.31496062992125984" footer="0.35433070866141736"/>
  <pageSetup paperSize="9" scale="58"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7030A0"/>
    <pageSetUpPr fitToPage="1"/>
  </sheetPr>
  <dimension ref="A1:AD250"/>
  <sheetViews>
    <sheetView showGridLines="0" showZeros="0" zoomScaleNormal="100" zoomScaleSheetLayoutView="115" workbookViewId="0">
      <pane ySplit="3" topLeftCell="A4" activePane="bottomLeft" state="frozen"/>
      <selection activeCell="E53" sqref="E53"/>
      <selection pane="bottomLeft" activeCell="A5" sqref="A5"/>
    </sheetView>
  </sheetViews>
  <sheetFormatPr baseColWidth="10" defaultColWidth="12.85546875" defaultRowHeight="0" customHeight="1" zeroHeight="1" x14ac:dyDescent="0.25"/>
  <cols>
    <col min="1" max="1" width="25.42578125" style="549" customWidth="1"/>
    <col min="2" max="2" width="17.140625" style="549" customWidth="1"/>
    <col min="3" max="4" width="9.140625" style="586" customWidth="1"/>
    <col min="5" max="5" width="1.7109375" style="684" customWidth="1"/>
    <col min="6" max="6" width="9.28515625" style="549" customWidth="1"/>
    <col min="7" max="7" width="9.140625" style="586" hidden="1" customWidth="1"/>
    <col min="8" max="10" width="10.140625" style="549" customWidth="1"/>
    <col min="11" max="12" width="10.140625" style="633" customWidth="1"/>
    <col min="13" max="13" width="10.140625" style="635" customWidth="1"/>
    <col min="14" max="15" width="10.140625" style="549" customWidth="1"/>
    <col min="16" max="16" width="11.7109375" style="549" customWidth="1"/>
    <col min="18" max="18" width="15.28515625" style="549" bestFit="1" customWidth="1"/>
    <col min="19" max="20" width="11.7109375" style="549" customWidth="1"/>
    <col min="22" max="236" width="11.7109375" style="549" customWidth="1"/>
    <col min="237" max="246" width="12.85546875" style="549"/>
    <col min="247" max="247" width="25.42578125" style="549" customWidth="1"/>
    <col min="248" max="248" width="17.140625" style="549" customWidth="1"/>
    <col min="249" max="251" width="9.140625" style="549" customWidth="1"/>
    <col min="252" max="252" width="1.7109375" style="549" customWidth="1"/>
    <col min="253" max="254" width="9.140625" style="549" customWidth="1"/>
    <col min="255" max="255" width="1.140625" style="549" customWidth="1"/>
    <col min="256" max="259" width="9.140625" style="549" customWidth="1"/>
    <col min="260" max="260" width="1.140625" style="549" customWidth="1"/>
    <col min="261" max="262" width="9.140625" style="549" customWidth="1"/>
    <col min="263" max="263" width="2" style="549" customWidth="1"/>
    <col min="264" max="264" width="7.5703125" style="549" customWidth="1"/>
    <col min="265" max="492" width="11.7109375" style="549" customWidth="1"/>
    <col min="493" max="502" width="12.85546875" style="549"/>
    <col min="503" max="503" width="25.42578125" style="549" customWidth="1"/>
    <col min="504" max="504" width="17.140625" style="549" customWidth="1"/>
    <col min="505" max="507" width="9.140625" style="549" customWidth="1"/>
    <col min="508" max="508" width="1.7109375" style="549" customWidth="1"/>
    <col min="509" max="510" width="9.140625" style="549" customWidth="1"/>
    <col min="511" max="511" width="1.140625" style="549" customWidth="1"/>
    <col min="512" max="515" width="9.140625" style="549" customWidth="1"/>
    <col min="516" max="516" width="1.140625" style="549" customWidth="1"/>
    <col min="517" max="518" width="9.140625" style="549" customWidth="1"/>
    <col min="519" max="519" width="2" style="549" customWidth="1"/>
    <col min="520" max="520" width="7.5703125" style="549" customWidth="1"/>
    <col min="521" max="748" width="11.7109375" style="549" customWidth="1"/>
    <col min="749" max="758" width="12.85546875" style="549"/>
    <col min="759" max="759" width="25.42578125" style="549" customWidth="1"/>
    <col min="760" max="760" width="17.140625" style="549" customWidth="1"/>
    <col min="761" max="763" width="9.140625" style="549" customWidth="1"/>
    <col min="764" max="764" width="1.7109375" style="549" customWidth="1"/>
    <col min="765" max="766" width="9.140625" style="549" customWidth="1"/>
    <col min="767" max="767" width="1.140625" style="549" customWidth="1"/>
    <col min="768" max="771" width="9.140625" style="549" customWidth="1"/>
    <col min="772" max="772" width="1.140625" style="549" customWidth="1"/>
    <col min="773" max="774" width="9.140625" style="549" customWidth="1"/>
    <col min="775" max="775" width="2" style="549" customWidth="1"/>
    <col min="776" max="776" width="7.5703125" style="549" customWidth="1"/>
    <col min="777" max="1004" width="11.7109375" style="549" customWidth="1"/>
    <col min="1005" max="1014" width="12.85546875" style="549"/>
    <col min="1015" max="1015" width="25.42578125" style="549" customWidth="1"/>
    <col min="1016" max="1016" width="17.140625" style="549" customWidth="1"/>
    <col min="1017" max="1019" width="9.140625" style="549" customWidth="1"/>
    <col min="1020" max="1020" width="1.7109375" style="549" customWidth="1"/>
    <col min="1021" max="1022" width="9.140625" style="549" customWidth="1"/>
    <col min="1023" max="1023" width="1.140625" style="549" customWidth="1"/>
    <col min="1024" max="1027" width="9.140625" style="549" customWidth="1"/>
    <col min="1028" max="1028" width="1.140625" style="549" customWidth="1"/>
    <col min="1029" max="1030" width="9.140625" style="549" customWidth="1"/>
    <col min="1031" max="1031" width="2" style="549" customWidth="1"/>
    <col min="1032" max="1032" width="7.5703125" style="549" customWidth="1"/>
    <col min="1033" max="1260" width="11.7109375" style="549" customWidth="1"/>
    <col min="1261" max="1270" width="12.85546875" style="549"/>
    <col min="1271" max="1271" width="25.42578125" style="549" customWidth="1"/>
    <col min="1272" max="1272" width="17.140625" style="549" customWidth="1"/>
    <col min="1273" max="1275" width="9.140625" style="549" customWidth="1"/>
    <col min="1276" max="1276" width="1.7109375" style="549" customWidth="1"/>
    <col min="1277" max="1278" width="9.140625" style="549" customWidth="1"/>
    <col min="1279" max="1279" width="1.140625" style="549" customWidth="1"/>
    <col min="1280" max="1283" width="9.140625" style="549" customWidth="1"/>
    <col min="1284" max="1284" width="1.140625" style="549" customWidth="1"/>
    <col min="1285" max="1286" width="9.140625" style="549" customWidth="1"/>
    <col min="1287" max="1287" width="2" style="549" customWidth="1"/>
    <col min="1288" max="1288" width="7.5703125" style="549" customWidth="1"/>
    <col min="1289" max="1516" width="11.7109375" style="549" customWidth="1"/>
    <col min="1517" max="1526" width="12.85546875" style="549"/>
    <col min="1527" max="1527" width="25.42578125" style="549" customWidth="1"/>
    <col min="1528" max="1528" width="17.140625" style="549" customWidth="1"/>
    <col min="1529" max="1531" width="9.140625" style="549" customWidth="1"/>
    <col min="1532" max="1532" width="1.7109375" style="549" customWidth="1"/>
    <col min="1533" max="1534" width="9.140625" style="549" customWidth="1"/>
    <col min="1535" max="1535" width="1.140625" style="549" customWidth="1"/>
    <col min="1536" max="1539" width="9.140625" style="549" customWidth="1"/>
    <col min="1540" max="1540" width="1.140625" style="549" customWidth="1"/>
    <col min="1541" max="1542" width="9.140625" style="549" customWidth="1"/>
    <col min="1543" max="1543" width="2" style="549" customWidth="1"/>
    <col min="1544" max="1544" width="7.5703125" style="549" customWidth="1"/>
    <col min="1545" max="1772" width="11.7109375" style="549" customWidth="1"/>
    <col min="1773" max="1782" width="12.85546875" style="549"/>
    <col min="1783" max="1783" width="25.42578125" style="549" customWidth="1"/>
    <col min="1784" max="1784" width="17.140625" style="549" customWidth="1"/>
    <col min="1785" max="1787" width="9.140625" style="549" customWidth="1"/>
    <col min="1788" max="1788" width="1.7109375" style="549" customWidth="1"/>
    <col min="1789" max="1790" width="9.140625" style="549" customWidth="1"/>
    <col min="1791" max="1791" width="1.140625" style="549" customWidth="1"/>
    <col min="1792" max="1795" width="9.140625" style="549" customWidth="1"/>
    <col min="1796" max="1796" width="1.140625" style="549" customWidth="1"/>
    <col min="1797" max="1798" width="9.140625" style="549" customWidth="1"/>
    <col min="1799" max="1799" width="2" style="549" customWidth="1"/>
    <col min="1800" max="1800" width="7.5703125" style="549" customWidth="1"/>
    <col min="1801" max="2028" width="11.7109375" style="549" customWidth="1"/>
    <col min="2029" max="2038" width="12.85546875" style="549"/>
    <col min="2039" max="2039" width="25.42578125" style="549" customWidth="1"/>
    <col min="2040" max="2040" width="17.140625" style="549" customWidth="1"/>
    <col min="2041" max="2043" width="9.140625" style="549" customWidth="1"/>
    <col min="2044" max="2044" width="1.7109375" style="549" customWidth="1"/>
    <col min="2045" max="2046" width="9.140625" style="549" customWidth="1"/>
    <col min="2047" max="2047" width="1.140625" style="549" customWidth="1"/>
    <col min="2048" max="2051" width="9.140625" style="549" customWidth="1"/>
    <col min="2052" max="2052" width="1.140625" style="549" customWidth="1"/>
    <col min="2053" max="2054" width="9.140625" style="549" customWidth="1"/>
    <col min="2055" max="2055" width="2" style="549" customWidth="1"/>
    <col min="2056" max="2056" width="7.5703125" style="549" customWidth="1"/>
    <col min="2057" max="2284" width="11.7109375" style="549" customWidth="1"/>
    <col min="2285" max="2294" width="12.85546875" style="549"/>
    <col min="2295" max="2295" width="25.42578125" style="549" customWidth="1"/>
    <col min="2296" max="2296" width="17.140625" style="549" customWidth="1"/>
    <col min="2297" max="2299" width="9.140625" style="549" customWidth="1"/>
    <col min="2300" max="2300" width="1.7109375" style="549" customWidth="1"/>
    <col min="2301" max="2302" width="9.140625" style="549" customWidth="1"/>
    <col min="2303" max="2303" width="1.140625" style="549" customWidth="1"/>
    <col min="2304" max="2307" width="9.140625" style="549" customWidth="1"/>
    <col min="2308" max="2308" width="1.140625" style="549" customWidth="1"/>
    <col min="2309" max="2310" width="9.140625" style="549" customWidth="1"/>
    <col min="2311" max="2311" width="2" style="549" customWidth="1"/>
    <col min="2312" max="2312" width="7.5703125" style="549" customWidth="1"/>
    <col min="2313" max="2540" width="11.7109375" style="549" customWidth="1"/>
    <col min="2541" max="2550" width="12.85546875" style="549"/>
    <col min="2551" max="2551" width="25.42578125" style="549" customWidth="1"/>
    <col min="2552" max="2552" width="17.140625" style="549" customWidth="1"/>
    <col min="2553" max="2555" width="9.140625" style="549" customWidth="1"/>
    <col min="2556" max="2556" width="1.7109375" style="549" customWidth="1"/>
    <col min="2557" max="2558" width="9.140625" style="549" customWidth="1"/>
    <col min="2559" max="2559" width="1.140625" style="549" customWidth="1"/>
    <col min="2560" max="2563" width="9.140625" style="549" customWidth="1"/>
    <col min="2564" max="2564" width="1.140625" style="549" customWidth="1"/>
    <col min="2565" max="2566" width="9.140625" style="549" customWidth="1"/>
    <col min="2567" max="2567" width="2" style="549" customWidth="1"/>
    <col min="2568" max="2568" width="7.5703125" style="549" customWidth="1"/>
    <col min="2569" max="2796" width="11.7109375" style="549" customWidth="1"/>
    <col min="2797" max="2806" width="12.85546875" style="549"/>
    <col min="2807" max="2807" width="25.42578125" style="549" customWidth="1"/>
    <col min="2808" max="2808" width="17.140625" style="549" customWidth="1"/>
    <col min="2809" max="2811" width="9.140625" style="549" customWidth="1"/>
    <col min="2812" max="2812" width="1.7109375" style="549" customWidth="1"/>
    <col min="2813" max="2814" width="9.140625" style="549" customWidth="1"/>
    <col min="2815" max="2815" width="1.140625" style="549" customWidth="1"/>
    <col min="2816" max="2819" width="9.140625" style="549" customWidth="1"/>
    <col min="2820" max="2820" width="1.140625" style="549" customWidth="1"/>
    <col min="2821" max="2822" width="9.140625" style="549" customWidth="1"/>
    <col min="2823" max="2823" width="2" style="549" customWidth="1"/>
    <col min="2824" max="2824" width="7.5703125" style="549" customWidth="1"/>
    <col min="2825" max="3052" width="11.7109375" style="549" customWidth="1"/>
    <col min="3053" max="3062" width="12.85546875" style="549"/>
    <col min="3063" max="3063" width="25.42578125" style="549" customWidth="1"/>
    <col min="3064" max="3064" width="17.140625" style="549" customWidth="1"/>
    <col min="3065" max="3067" width="9.140625" style="549" customWidth="1"/>
    <col min="3068" max="3068" width="1.7109375" style="549" customWidth="1"/>
    <col min="3069" max="3070" width="9.140625" style="549" customWidth="1"/>
    <col min="3071" max="3071" width="1.140625" style="549" customWidth="1"/>
    <col min="3072" max="3075" width="9.140625" style="549" customWidth="1"/>
    <col min="3076" max="3076" width="1.140625" style="549" customWidth="1"/>
    <col min="3077" max="3078" width="9.140625" style="549" customWidth="1"/>
    <col min="3079" max="3079" width="2" style="549" customWidth="1"/>
    <col min="3080" max="3080" width="7.5703125" style="549" customWidth="1"/>
    <col min="3081" max="3308" width="11.7109375" style="549" customWidth="1"/>
    <col min="3309" max="3318" width="12.85546875" style="549"/>
    <col min="3319" max="3319" width="25.42578125" style="549" customWidth="1"/>
    <col min="3320" max="3320" width="17.140625" style="549" customWidth="1"/>
    <col min="3321" max="3323" width="9.140625" style="549" customWidth="1"/>
    <col min="3324" max="3324" width="1.7109375" style="549" customWidth="1"/>
    <col min="3325" max="3326" width="9.140625" style="549" customWidth="1"/>
    <col min="3327" max="3327" width="1.140625" style="549" customWidth="1"/>
    <col min="3328" max="3331" width="9.140625" style="549" customWidth="1"/>
    <col min="3332" max="3332" width="1.140625" style="549" customWidth="1"/>
    <col min="3333" max="3334" width="9.140625" style="549" customWidth="1"/>
    <col min="3335" max="3335" width="2" style="549" customWidth="1"/>
    <col min="3336" max="3336" width="7.5703125" style="549" customWidth="1"/>
    <col min="3337" max="3564" width="11.7109375" style="549" customWidth="1"/>
    <col min="3565" max="3574" width="12.85546875" style="549"/>
    <col min="3575" max="3575" width="25.42578125" style="549" customWidth="1"/>
    <col min="3576" max="3576" width="17.140625" style="549" customWidth="1"/>
    <col min="3577" max="3579" width="9.140625" style="549" customWidth="1"/>
    <col min="3580" max="3580" width="1.7109375" style="549" customWidth="1"/>
    <col min="3581" max="3582" width="9.140625" style="549" customWidth="1"/>
    <col min="3583" max="3583" width="1.140625" style="549" customWidth="1"/>
    <col min="3584" max="3587" width="9.140625" style="549" customWidth="1"/>
    <col min="3588" max="3588" width="1.140625" style="549" customWidth="1"/>
    <col min="3589" max="3590" width="9.140625" style="549" customWidth="1"/>
    <col min="3591" max="3591" width="2" style="549" customWidth="1"/>
    <col min="3592" max="3592" width="7.5703125" style="549" customWidth="1"/>
    <col min="3593" max="3820" width="11.7109375" style="549" customWidth="1"/>
    <col min="3821" max="3830" width="12.85546875" style="549"/>
    <col min="3831" max="3831" width="25.42578125" style="549" customWidth="1"/>
    <col min="3832" max="3832" width="17.140625" style="549" customWidth="1"/>
    <col min="3833" max="3835" width="9.140625" style="549" customWidth="1"/>
    <col min="3836" max="3836" width="1.7109375" style="549" customWidth="1"/>
    <col min="3837" max="3838" width="9.140625" style="549" customWidth="1"/>
    <col min="3839" max="3839" width="1.140625" style="549" customWidth="1"/>
    <col min="3840" max="3843" width="9.140625" style="549" customWidth="1"/>
    <col min="3844" max="3844" width="1.140625" style="549" customWidth="1"/>
    <col min="3845" max="3846" width="9.140625" style="549" customWidth="1"/>
    <col min="3847" max="3847" width="2" style="549" customWidth="1"/>
    <col min="3848" max="3848" width="7.5703125" style="549" customWidth="1"/>
    <col min="3849" max="4076" width="11.7109375" style="549" customWidth="1"/>
    <col min="4077" max="4086" width="12.85546875" style="549"/>
    <col min="4087" max="4087" width="25.42578125" style="549" customWidth="1"/>
    <col min="4088" max="4088" width="17.140625" style="549" customWidth="1"/>
    <col min="4089" max="4091" width="9.140625" style="549" customWidth="1"/>
    <col min="4092" max="4092" width="1.7109375" style="549" customWidth="1"/>
    <col min="4093" max="4094" width="9.140625" style="549" customWidth="1"/>
    <col min="4095" max="4095" width="1.140625" style="549" customWidth="1"/>
    <col min="4096" max="4099" width="9.140625" style="549" customWidth="1"/>
    <col min="4100" max="4100" width="1.140625" style="549" customWidth="1"/>
    <col min="4101" max="4102" width="9.140625" style="549" customWidth="1"/>
    <col min="4103" max="4103" width="2" style="549" customWidth="1"/>
    <col min="4104" max="4104" width="7.5703125" style="549" customWidth="1"/>
    <col min="4105" max="4332" width="11.7109375" style="549" customWidth="1"/>
    <col min="4333" max="4342" width="12.85546875" style="549"/>
    <col min="4343" max="4343" width="25.42578125" style="549" customWidth="1"/>
    <col min="4344" max="4344" width="17.140625" style="549" customWidth="1"/>
    <col min="4345" max="4347" width="9.140625" style="549" customWidth="1"/>
    <col min="4348" max="4348" width="1.7109375" style="549" customWidth="1"/>
    <col min="4349" max="4350" width="9.140625" style="549" customWidth="1"/>
    <col min="4351" max="4351" width="1.140625" style="549" customWidth="1"/>
    <col min="4352" max="4355" width="9.140625" style="549" customWidth="1"/>
    <col min="4356" max="4356" width="1.140625" style="549" customWidth="1"/>
    <col min="4357" max="4358" width="9.140625" style="549" customWidth="1"/>
    <col min="4359" max="4359" width="2" style="549" customWidth="1"/>
    <col min="4360" max="4360" width="7.5703125" style="549" customWidth="1"/>
    <col min="4361" max="4588" width="11.7109375" style="549" customWidth="1"/>
    <col min="4589" max="4598" width="12.85546875" style="549"/>
    <col min="4599" max="4599" width="25.42578125" style="549" customWidth="1"/>
    <col min="4600" max="4600" width="17.140625" style="549" customWidth="1"/>
    <col min="4601" max="4603" width="9.140625" style="549" customWidth="1"/>
    <col min="4604" max="4604" width="1.7109375" style="549" customWidth="1"/>
    <col min="4605" max="4606" width="9.140625" style="549" customWidth="1"/>
    <col min="4607" max="4607" width="1.140625" style="549" customWidth="1"/>
    <col min="4608" max="4611" width="9.140625" style="549" customWidth="1"/>
    <col min="4612" max="4612" width="1.140625" style="549" customWidth="1"/>
    <col min="4613" max="4614" width="9.140625" style="549" customWidth="1"/>
    <col min="4615" max="4615" width="2" style="549" customWidth="1"/>
    <col min="4616" max="4616" width="7.5703125" style="549" customWidth="1"/>
    <col min="4617" max="4844" width="11.7109375" style="549" customWidth="1"/>
    <col min="4845" max="4854" width="12.85546875" style="549"/>
    <col min="4855" max="4855" width="25.42578125" style="549" customWidth="1"/>
    <col min="4856" max="4856" width="17.140625" style="549" customWidth="1"/>
    <col min="4857" max="4859" width="9.140625" style="549" customWidth="1"/>
    <col min="4860" max="4860" width="1.7109375" style="549" customWidth="1"/>
    <col min="4861" max="4862" width="9.140625" style="549" customWidth="1"/>
    <col min="4863" max="4863" width="1.140625" style="549" customWidth="1"/>
    <col min="4864" max="4867" width="9.140625" style="549" customWidth="1"/>
    <col min="4868" max="4868" width="1.140625" style="549" customWidth="1"/>
    <col min="4869" max="4870" width="9.140625" style="549" customWidth="1"/>
    <col min="4871" max="4871" width="2" style="549" customWidth="1"/>
    <col min="4872" max="4872" width="7.5703125" style="549" customWidth="1"/>
    <col min="4873" max="5100" width="11.7109375" style="549" customWidth="1"/>
    <col min="5101" max="5110" width="12.85546875" style="549"/>
    <col min="5111" max="5111" width="25.42578125" style="549" customWidth="1"/>
    <col min="5112" max="5112" width="17.140625" style="549" customWidth="1"/>
    <col min="5113" max="5115" width="9.140625" style="549" customWidth="1"/>
    <col min="5116" max="5116" width="1.7109375" style="549" customWidth="1"/>
    <col min="5117" max="5118" width="9.140625" style="549" customWidth="1"/>
    <col min="5119" max="5119" width="1.140625" style="549" customWidth="1"/>
    <col min="5120" max="5123" width="9.140625" style="549" customWidth="1"/>
    <col min="5124" max="5124" width="1.140625" style="549" customWidth="1"/>
    <col min="5125" max="5126" width="9.140625" style="549" customWidth="1"/>
    <col min="5127" max="5127" width="2" style="549" customWidth="1"/>
    <col min="5128" max="5128" width="7.5703125" style="549" customWidth="1"/>
    <col min="5129" max="5356" width="11.7109375" style="549" customWidth="1"/>
    <col min="5357" max="5366" width="12.85546875" style="549"/>
    <col min="5367" max="5367" width="25.42578125" style="549" customWidth="1"/>
    <col min="5368" max="5368" width="17.140625" style="549" customWidth="1"/>
    <col min="5369" max="5371" width="9.140625" style="549" customWidth="1"/>
    <col min="5372" max="5372" width="1.7109375" style="549" customWidth="1"/>
    <col min="5373" max="5374" width="9.140625" style="549" customWidth="1"/>
    <col min="5375" max="5375" width="1.140625" style="549" customWidth="1"/>
    <col min="5376" max="5379" width="9.140625" style="549" customWidth="1"/>
    <col min="5380" max="5380" width="1.140625" style="549" customWidth="1"/>
    <col min="5381" max="5382" width="9.140625" style="549" customWidth="1"/>
    <col min="5383" max="5383" width="2" style="549" customWidth="1"/>
    <col min="5384" max="5384" width="7.5703125" style="549" customWidth="1"/>
    <col min="5385" max="5612" width="11.7109375" style="549" customWidth="1"/>
    <col min="5613" max="5622" width="12.85546875" style="549"/>
    <col min="5623" max="5623" width="25.42578125" style="549" customWidth="1"/>
    <col min="5624" max="5624" width="17.140625" style="549" customWidth="1"/>
    <col min="5625" max="5627" width="9.140625" style="549" customWidth="1"/>
    <col min="5628" max="5628" width="1.7109375" style="549" customWidth="1"/>
    <col min="5629" max="5630" width="9.140625" style="549" customWidth="1"/>
    <col min="5631" max="5631" width="1.140625" style="549" customWidth="1"/>
    <col min="5632" max="5635" width="9.140625" style="549" customWidth="1"/>
    <col min="5636" max="5636" width="1.140625" style="549" customWidth="1"/>
    <col min="5637" max="5638" width="9.140625" style="549" customWidth="1"/>
    <col min="5639" max="5639" width="2" style="549" customWidth="1"/>
    <col min="5640" max="5640" width="7.5703125" style="549" customWidth="1"/>
    <col min="5641" max="5868" width="11.7109375" style="549" customWidth="1"/>
    <col min="5869" max="5878" width="12.85546875" style="549"/>
    <col min="5879" max="5879" width="25.42578125" style="549" customWidth="1"/>
    <col min="5880" max="5880" width="17.140625" style="549" customWidth="1"/>
    <col min="5881" max="5883" width="9.140625" style="549" customWidth="1"/>
    <col min="5884" max="5884" width="1.7109375" style="549" customWidth="1"/>
    <col min="5885" max="5886" width="9.140625" style="549" customWidth="1"/>
    <col min="5887" max="5887" width="1.140625" style="549" customWidth="1"/>
    <col min="5888" max="5891" width="9.140625" style="549" customWidth="1"/>
    <col min="5892" max="5892" width="1.140625" style="549" customWidth="1"/>
    <col min="5893" max="5894" width="9.140625" style="549" customWidth="1"/>
    <col min="5895" max="5895" width="2" style="549" customWidth="1"/>
    <col min="5896" max="5896" width="7.5703125" style="549" customWidth="1"/>
    <col min="5897" max="6124" width="11.7109375" style="549" customWidth="1"/>
    <col min="6125" max="6134" width="12.85546875" style="549"/>
    <col min="6135" max="6135" width="25.42578125" style="549" customWidth="1"/>
    <col min="6136" max="6136" width="17.140625" style="549" customWidth="1"/>
    <col min="6137" max="6139" width="9.140625" style="549" customWidth="1"/>
    <col min="6140" max="6140" width="1.7109375" style="549" customWidth="1"/>
    <col min="6141" max="6142" width="9.140625" style="549" customWidth="1"/>
    <col min="6143" max="6143" width="1.140625" style="549" customWidth="1"/>
    <col min="6144" max="6147" width="9.140625" style="549" customWidth="1"/>
    <col min="6148" max="6148" width="1.140625" style="549" customWidth="1"/>
    <col min="6149" max="6150" width="9.140625" style="549" customWidth="1"/>
    <col min="6151" max="6151" width="2" style="549" customWidth="1"/>
    <col min="6152" max="6152" width="7.5703125" style="549" customWidth="1"/>
    <col min="6153" max="6380" width="11.7109375" style="549" customWidth="1"/>
    <col min="6381" max="6390" width="12.85546875" style="549"/>
    <col min="6391" max="6391" width="25.42578125" style="549" customWidth="1"/>
    <col min="6392" max="6392" width="17.140625" style="549" customWidth="1"/>
    <col min="6393" max="6395" width="9.140625" style="549" customWidth="1"/>
    <col min="6396" max="6396" width="1.7109375" style="549" customWidth="1"/>
    <col min="6397" max="6398" width="9.140625" style="549" customWidth="1"/>
    <col min="6399" max="6399" width="1.140625" style="549" customWidth="1"/>
    <col min="6400" max="6403" width="9.140625" style="549" customWidth="1"/>
    <col min="6404" max="6404" width="1.140625" style="549" customWidth="1"/>
    <col min="6405" max="6406" width="9.140625" style="549" customWidth="1"/>
    <col min="6407" max="6407" width="2" style="549" customWidth="1"/>
    <col min="6408" max="6408" width="7.5703125" style="549" customWidth="1"/>
    <col min="6409" max="6636" width="11.7109375" style="549" customWidth="1"/>
    <col min="6637" max="6646" width="12.85546875" style="549"/>
    <col min="6647" max="6647" width="25.42578125" style="549" customWidth="1"/>
    <col min="6648" max="6648" width="17.140625" style="549" customWidth="1"/>
    <col min="6649" max="6651" width="9.140625" style="549" customWidth="1"/>
    <col min="6652" max="6652" width="1.7109375" style="549" customWidth="1"/>
    <col min="6653" max="6654" width="9.140625" style="549" customWidth="1"/>
    <col min="6655" max="6655" width="1.140625" style="549" customWidth="1"/>
    <col min="6656" max="6659" width="9.140625" style="549" customWidth="1"/>
    <col min="6660" max="6660" width="1.140625" style="549" customWidth="1"/>
    <col min="6661" max="6662" width="9.140625" style="549" customWidth="1"/>
    <col min="6663" max="6663" width="2" style="549" customWidth="1"/>
    <col min="6664" max="6664" width="7.5703125" style="549" customWidth="1"/>
    <col min="6665" max="6892" width="11.7109375" style="549" customWidth="1"/>
    <col min="6893" max="6902" width="12.85546875" style="549"/>
    <col min="6903" max="6903" width="25.42578125" style="549" customWidth="1"/>
    <col min="6904" max="6904" width="17.140625" style="549" customWidth="1"/>
    <col min="6905" max="6907" width="9.140625" style="549" customWidth="1"/>
    <col min="6908" max="6908" width="1.7109375" style="549" customWidth="1"/>
    <col min="6909" max="6910" width="9.140625" style="549" customWidth="1"/>
    <col min="6911" max="6911" width="1.140625" style="549" customWidth="1"/>
    <col min="6912" max="6915" width="9.140625" style="549" customWidth="1"/>
    <col min="6916" max="6916" width="1.140625" style="549" customWidth="1"/>
    <col min="6917" max="6918" width="9.140625" style="549" customWidth="1"/>
    <col min="6919" max="6919" width="2" style="549" customWidth="1"/>
    <col min="6920" max="6920" width="7.5703125" style="549" customWidth="1"/>
    <col min="6921" max="7148" width="11.7109375" style="549" customWidth="1"/>
    <col min="7149" max="7158" width="12.85546875" style="549"/>
    <col min="7159" max="7159" width="25.42578125" style="549" customWidth="1"/>
    <col min="7160" max="7160" width="17.140625" style="549" customWidth="1"/>
    <col min="7161" max="7163" width="9.140625" style="549" customWidth="1"/>
    <col min="7164" max="7164" width="1.7109375" style="549" customWidth="1"/>
    <col min="7165" max="7166" width="9.140625" style="549" customWidth="1"/>
    <col min="7167" max="7167" width="1.140625" style="549" customWidth="1"/>
    <col min="7168" max="7171" width="9.140625" style="549" customWidth="1"/>
    <col min="7172" max="7172" width="1.140625" style="549" customWidth="1"/>
    <col min="7173" max="7174" width="9.140625" style="549" customWidth="1"/>
    <col min="7175" max="7175" width="2" style="549" customWidth="1"/>
    <col min="7176" max="7176" width="7.5703125" style="549" customWidth="1"/>
    <col min="7177" max="7404" width="11.7109375" style="549" customWidth="1"/>
    <col min="7405" max="7414" width="12.85546875" style="549"/>
    <col min="7415" max="7415" width="25.42578125" style="549" customWidth="1"/>
    <col min="7416" max="7416" width="17.140625" style="549" customWidth="1"/>
    <col min="7417" max="7419" width="9.140625" style="549" customWidth="1"/>
    <col min="7420" max="7420" width="1.7109375" style="549" customWidth="1"/>
    <col min="7421" max="7422" width="9.140625" style="549" customWidth="1"/>
    <col min="7423" max="7423" width="1.140625" style="549" customWidth="1"/>
    <col min="7424" max="7427" width="9.140625" style="549" customWidth="1"/>
    <col min="7428" max="7428" width="1.140625" style="549" customWidth="1"/>
    <col min="7429" max="7430" width="9.140625" style="549" customWidth="1"/>
    <col min="7431" max="7431" width="2" style="549" customWidth="1"/>
    <col min="7432" max="7432" width="7.5703125" style="549" customWidth="1"/>
    <col min="7433" max="7660" width="11.7109375" style="549" customWidth="1"/>
    <col min="7661" max="7670" width="12.85546875" style="549"/>
    <col min="7671" max="7671" width="25.42578125" style="549" customWidth="1"/>
    <col min="7672" max="7672" width="17.140625" style="549" customWidth="1"/>
    <col min="7673" max="7675" width="9.140625" style="549" customWidth="1"/>
    <col min="7676" max="7676" width="1.7109375" style="549" customWidth="1"/>
    <col min="7677" max="7678" width="9.140625" style="549" customWidth="1"/>
    <col min="7679" max="7679" width="1.140625" style="549" customWidth="1"/>
    <col min="7680" max="7683" width="9.140625" style="549" customWidth="1"/>
    <col min="7684" max="7684" width="1.140625" style="549" customWidth="1"/>
    <col min="7685" max="7686" width="9.140625" style="549" customWidth="1"/>
    <col min="7687" max="7687" width="2" style="549" customWidth="1"/>
    <col min="7688" max="7688" width="7.5703125" style="549" customWidth="1"/>
    <col min="7689" max="7916" width="11.7109375" style="549" customWidth="1"/>
    <col min="7917" max="7926" width="12.85546875" style="549"/>
    <col min="7927" max="7927" width="25.42578125" style="549" customWidth="1"/>
    <col min="7928" max="7928" width="17.140625" style="549" customWidth="1"/>
    <col min="7929" max="7931" width="9.140625" style="549" customWidth="1"/>
    <col min="7932" max="7932" width="1.7109375" style="549" customWidth="1"/>
    <col min="7933" max="7934" width="9.140625" style="549" customWidth="1"/>
    <col min="7935" max="7935" width="1.140625" style="549" customWidth="1"/>
    <col min="7936" max="7939" width="9.140625" style="549" customWidth="1"/>
    <col min="7940" max="7940" width="1.140625" style="549" customWidth="1"/>
    <col min="7941" max="7942" width="9.140625" style="549" customWidth="1"/>
    <col min="7943" max="7943" width="2" style="549" customWidth="1"/>
    <col min="7944" max="7944" width="7.5703125" style="549" customWidth="1"/>
    <col min="7945" max="8172" width="11.7109375" style="549" customWidth="1"/>
    <col min="8173" max="8182" width="12.85546875" style="549"/>
    <col min="8183" max="8183" width="25.42578125" style="549" customWidth="1"/>
    <col min="8184" max="8184" width="17.140625" style="549" customWidth="1"/>
    <col min="8185" max="8187" width="9.140625" style="549" customWidth="1"/>
    <col min="8188" max="8188" width="1.7109375" style="549" customWidth="1"/>
    <col min="8189" max="8190" width="9.140625" style="549" customWidth="1"/>
    <col min="8191" max="8191" width="1.140625" style="549" customWidth="1"/>
    <col min="8192" max="8195" width="9.140625" style="549" customWidth="1"/>
    <col min="8196" max="8196" width="1.140625" style="549" customWidth="1"/>
    <col min="8197" max="8198" width="9.140625" style="549" customWidth="1"/>
    <col min="8199" max="8199" width="2" style="549" customWidth="1"/>
    <col min="8200" max="8200" width="7.5703125" style="549" customWidth="1"/>
    <col min="8201" max="8428" width="11.7109375" style="549" customWidth="1"/>
    <col min="8429" max="8438" width="12.85546875" style="549"/>
    <col min="8439" max="8439" width="25.42578125" style="549" customWidth="1"/>
    <col min="8440" max="8440" width="17.140625" style="549" customWidth="1"/>
    <col min="8441" max="8443" width="9.140625" style="549" customWidth="1"/>
    <col min="8444" max="8444" width="1.7109375" style="549" customWidth="1"/>
    <col min="8445" max="8446" width="9.140625" style="549" customWidth="1"/>
    <col min="8447" max="8447" width="1.140625" style="549" customWidth="1"/>
    <col min="8448" max="8451" width="9.140625" style="549" customWidth="1"/>
    <col min="8452" max="8452" width="1.140625" style="549" customWidth="1"/>
    <col min="8453" max="8454" width="9.140625" style="549" customWidth="1"/>
    <col min="8455" max="8455" width="2" style="549" customWidth="1"/>
    <col min="8456" max="8456" width="7.5703125" style="549" customWidth="1"/>
    <col min="8457" max="8684" width="11.7109375" style="549" customWidth="1"/>
    <col min="8685" max="8694" width="12.85546875" style="549"/>
    <col min="8695" max="8695" width="25.42578125" style="549" customWidth="1"/>
    <col min="8696" max="8696" width="17.140625" style="549" customWidth="1"/>
    <col min="8697" max="8699" width="9.140625" style="549" customWidth="1"/>
    <col min="8700" max="8700" width="1.7109375" style="549" customWidth="1"/>
    <col min="8701" max="8702" width="9.140625" style="549" customWidth="1"/>
    <col min="8703" max="8703" width="1.140625" style="549" customWidth="1"/>
    <col min="8704" max="8707" width="9.140625" style="549" customWidth="1"/>
    <col min="8708" max="8708" width="1.140625" style="549" customWidth="1"/>
    <col min="8709" max="8710" width="9.140625" style="549" customWidth="1"/>
    <col min="8711" max="8711" width="2" style="549" customWidth="1"/>
    <col min="8712" max="8712" width="7.5703125" style="549" customWidth="1"/>
    <col min="8713" max="8940" width="11.7109375" style="549" customWidth="1"/>
    <col min="8941" max="8950" width="12.85546875" style="549"/>
    <col min="8951" max="8951" width="25.42578125" style="549" customWidth="1"/>
    <col min="8952" max="8952" width="17.140625" style="549" customWidth="1"/>
    <col min="8953" max="8955" width="9.140625" style="549" customWidth="1"/>
    <col min="8956" max="8956" width="1.7109375" style="549" customWidth="1"/>
    <col min="8957" max="8958" width="9.140625" style="549" customWidth="1"/>
    <col min="8959" max="8959" width="1.140625" style="549" customWidth="1"/>
    <col min="8960" max="8963" width="9.140625" style="549" customWidth="1"/>
    <col min="8964" max="8964" width="1.140625" style="549" customWidth="1"/>
    <col min="8965" max="8966" width="9.140625" style="549" customWidth="1"/>
    <col min="8967" max="8967" width="2" style="549" customWidth="1"/>
    <col min="8968" max="8968" width="7.5703125" style="549" customWidth="1"/>
    <col min="8969" max="9196" width="11.7109375" style="549" customWidth="1"/>
    <col min="9197" max="9206" width="12.85546875" style="549"/>
    <col min="9207" max="9207" width="25.42578125" style="549" customWidth="1"/>
    <col min="9208" max="9208" width="17.140625" style="549" customWidth="1"/>
    <col min="9209" max="9211" width="9.140625" style="549" customWidth="1"/>
    <col min="9212" max="9212" width="1.7109375" style="549" customWidth="1"/>
    <col min="9213" max="9214" width="9.140625" style="549" customWidth="1"/>
    <col min="9215" max="9215" width="1.140625" style="549" customWidth="1"/>
    <col min="9216" max="9219" width="9.140625" style="549" customWidth="1"/>
    <col min="9220" max="9220" width="1.140625" style="549" customWidth="1"/>
    <col min="9221" max="9222" width="9.140625" style="549" customWidth="1"/>
    <col min="9223" max="9223" width="2" style="549" customWidth="1"/>
    <col min="9224" max="9224" width="7.5703125" style="549" customWidth="1"/>
    <col min="9225" max="9452" width="11.7109375" style="549" customWidth="1"/>
    <col min="9453" max="9462" width="12.85546875" style="549"/>
    <col min="9463" max="9463" width="25.42578125" style="549" customWidth="1"/>
    <col min="9464" max="9464" width="17.140625" style="549" customWidth="1"/>
    <col min="9465" max="9467" width="9.140625" style="549" customWidth="1"/>
    <col min="9468" max="9468" width="1.7109375" style="549" customWidth="1"/>
    <col min="9469" max="9470" width="9.140625" style="549" customWidth="1"/>
    <col min="9471" max="9471" width="1.140625" style="549" customWidth="1"/>
    <col min="9472" max="9475" width="9.140625" style="549" customWidth="1"/>
    <col min="9476" max="9476" width="1.140625" style="549" customWidth="1"/>
    <col min="9477" max="9478" width="9.140625" style="549" customWidth="1"/>
    <col min="9479" max="9479" width="2" style="549" customWidth="1"/>
    <col min="9480" max="9480" width="7.5703125" style="549" customWidth="1"/>
    <col min="9481" max="9708" width="11.7109375" style="549" customWidth="1"/>
    <col min="9709" max="9718" width="12.85546875" style="549"/>
    <col min="9719" max="9719" width="25.42578125" style="549" customWidth="1"/>
    <col min="9720" max="9720" width="17.140625" style="549" customWidth="1"/>
    <col min="9721" max="9723" width="9.140625" style="549" customWidth="1"/>
    <col min="9724" max="9724" width="1.7109375" style="549" customWidth="1"/>
    <col min="9725" max="9726" width="9.140625" style="549" customWidth="1"/>
    <col min="9727" max="9727" width="1.140625" style="549" customWidth="1"/>
    <col min="9728" max="9731" width="9.140625" style="549" customWidth="1"/>
    <col min="9732" max="9732" width="1.140625" style="549" customWidth="1"/>
    <col min="9733" max="9734" width="9.140625" style="549" customWidth="1"/>
    <col min="9735" max="9735" width="2" style="549" customWidth="1"/>
    <col min="9736" max="9736" width="7.5703125" style="549" customWidth="1"/>
    <col min="9737" max="9964" width="11.7109375" style="549" customWidth="1"/>
    <col min="9965" max="9974" width="12.85546875" style="549"/>
    <col min="9975" max="9975" width="25.42578125" style="549" customWidth="1"/>
    <col min="9976" max="9976" width="17.140625" style="549" customWidth="1"/>
    <col min="9977" max="9979" width="9.140625" style="549" customWidth="1"/>
    <col min="9980" max="9980" width="1.7109375" style="549" customWidth="1"/>
    <col min="9981" max="9982" width="9.140625" style="549" customWidth="1"/>
    <col min="9983" max="9983" width="1.140625" style="549" customWidth="1"/>
    <col min="9984" max="9987" width="9.140625" style="549" customWidth="1"/>
    <col min="9988" max="9988" width="1.140625" style="549" customWidth="1"/>
    <col min="9989" max="9990" width="9.140625" style="549" customWidth="1"/>
    <col min="9991" max="9991" width="2" style="549" customWidth="1"/>
    <col min="9992" max="9992" width="7.5703125" style="549" customWidth="1"/>
    <col min="9993" max="10220" width="11.7109375" style="549" customWidth="1"/>
    <col min="10221" max="10230" width="12.85546875" style="549"/>
    <col min="10231" max="10231" width="25.42578125" style="549" customWidth="1"/>
    <col min="10232" max="10232" width="17.140625" style="549" customWidth="1"/>
    <col min="10233" max="10235" width="9.140625" style="549" customWidth="1"/>
    <col min="10236" max="10236" width="1.7109375" style="549" customWidth="1"/>
    <col min="10237" max="10238" width="9.140625" style="549" customWidth="1"/>
    <col min="10239" max="10239" width="1.140625" style="549" customWidth="1"/>
    <col min="10240" max="10243" width="9.140625" style="549" customWidth="1"/>
    <col min="10244" max="10244" width="1.140625" style="549" customWidth="1"/>
    <col min="10245" max="10246" width="9.140625" style="549" customWidth="1"/>
    <col min="10247" max="10247" width="2" style="549" customWidth="1"/>
    <col min="10248" max="10248" width="7.5703125" style="549" customWidth="1"/>
    <col min="10249" max="10476" width="11.7109375" style="549" customWidth="1"/>
    <col min="10477" max="10486" width="12.85546875" style="549"/>
    <col min="10487" max="10487" width="25.42578125" style="549" customWidth="1"/>
    <col min="10488" max="10488" width="17.140625" style="549" customWidth="1"/>
    <col min="10489" max="10491" width="9.140625" style="549" customWidth="1"/>
    <col min="10492" max="10492" width="1.7109375" style="549" customWidth="1"/>
    <col min="10493" max="10494" width="9.140625" style="549" customWidth="1"/>
    <col min="10495" max="10495" width="1.140625" style="549" customWidth="1"/>
    <col min="10496" max="10499" width="9.140625" style="549" customWidth="1"/>
    <col min="10500" max="10500" width="1.140625" style="549" customWidth="1"/>
    <col min="10501" max="10502" width="9.140625" style="549" customWidth="1"/>
    <col min="10503" max="10503" width="2" style="549" customWidth="1"/>
    <col min="10504" max="10504" width="7.5703125" style="549" customWidth="1"/>
    <col min="10505" max="10732" width="11.7109375" style="549" customWidth="1"/>
    <col min="10733" max="10742" width="12.85546875" style="549"/>
    <col min="10743" max="10743" width="25.42578125" style="549" customWidth="1"/>
    <col min="10744" max="10744" width="17.140625" style="549" customWidth="1"/>
    <col min="10745" max="10747" width="9.140625" style="549" customWidth="1"/>
    <col min="10748" max="10748" width="1.7109375" style="549" customWidth="1"/>
    <col min="10749" max="10750" width="9.140625" style="549" customWidth="1"/>
    <col min="10751" max="10751" width="1.140625" style="549" customWidth="1"/>
    <col min="10752" max="10755" width="9.140625" style="549" customWidth="1"/>
    <col min="10756" max="10756" width="1.140625" style="549" customWidth="1"/>
    <col min="10757" max="10758" width="9.140625" style="549" customWidth="1"/>
    <col min="10759" max="10759" width="2" style="549" customWidth="1"/>
    <col min="10760" max="10760" width="7.5703125" style="549" customWidth="1"/>
    <col min="10761" max="10988" width="11.7109375" style="549" customWidth="1"/>
    <col min="10989" max="10998" width="12.85546875" style="549"/>
    <col min="10999" max="10999" width="25.42578125" style="549" customWidth="1"/>
    <col min="11000" max="11000" width="17.140625" style="549" customWidth="1"/>
    <col min="11001" max="11003" width="9.140625" style="549" customWidth="1"/>
    <col min="11004" max="11004" width="1.7109375" style="549" customWidth="1"/>
    <col min="11005" max="11006" width="9.140625" style="549" customWidth="1"/>
    <col min="11007" max="11007" width="1.140625" style="549" customWidth="1"/>
    <col min="11008" max="11011" width="9.140625" style="549" customWidth="1"/>
    <col min="11012" max="11012" width="1.140625" style="549" customWidth="1"/>
    <col min="11013" max="11014" width="9.140625" style="549" customWidth="1"/>
    <col min="11015" max="11015" width="2" style="549" customWidth="1"/>
    <col min="11016" max="11016" width="7.5703125" style="549" customWidth="1"/>
    <col min="11017" max="11244" width="11.7109375" style="549" customWidth="1"/>
    <col min="11245" max="11254" width="12.85546875" style="549"/>
    <col min="11255" max="11255" width="25.42578125" style="549" customWidth="1"/>
    <col min="11256" max="11256" width="17.140625" style="549" customWidth="1"/>
    <col min="11257" max="11259" width="9.140625" style="549" customWidth="1"/>
    <col min="11260" max="11260" width="1.7109375" style="549" customWidth="1"/>
    <col min="11261" max="11262" width="9.140625" style="549" customWidth="1"/>
    <col min="11263" max="11263" width="1.140625" style="549" customWidth="1"/>
    <col min="11264" max="11267" width="9.140625" style="549" customWidth="1"/>
    <col min="11268" max="11268" width="1.140625" style="549" customWidth="1"/>
    <col min="11269" max="11270" width="9.140625" style="549" customWidth="1"/>
    <col min="11271" max="11271" width="2" style="549" customWidth="1"/>
    <col min="11272" max="11272" width="7.5703125" style="549" customWidth="1"/>
    <col min="11273" max="11500" width="11.7109375" style="549" customWidth="1"/>
    <col min="11501" max="11510" width="12.85546875" style="549"/>
    <col min="11511" max="11511" width="25.42578125" style="549" customWidth="1"/>
    <col min="11512" max="11512" width="17.140625" style="549" customWidth="1"/>
    <col min="11513" max="11515" width="9.140625" style="549" customWidth="1"/>
    <col min="11516" max="11516" width="1.7109375" style="549" customWidth="1"/>
    <col min="11517" max="11518" width="9.140625" style="549" customWidth="1"/>
    <col min="11519" max="11519" width="1.140625" style="549" customWidth="1"/>
    <col min="11520" max="11523" width="9.140625" style="549" customWidth="1"/>
    <col min="11524" max="11524" width="1.140625" style="549" customWidth="1"/>
    <col min="11525" max="11526" width="9.140625" style="549" customWidth="1"/>
    <col min="11527" max="11527" width="2" style="549" customWidth="1"/>
    <col min="11528" max="11528" width="7.5703125" style="549" customWidth="1"/>
    <col min="11529" max="11756" width="11.7109375" style="549" customWidth="1"/>
    <col min="11757" max="11766" width="12.85546875" style="549"/>
    <col min="11767" max="11767" width="25.42578125" style="549" customWidth="1"/>
    <col min="11768" max="11768" width="17.140625" style="549" customWidth="1"/>
    <col min="11769" max="11771" width="9.140625" style="549" customWidth="1"/>
    <col min="11772" max="11772" width="1.7109375" style="549" customWidth="1"/>
    <col min="11773" max="11774" width="9.140625" style="549" customWidth="1"/>
    <col min="11775" max="11775" width="1.140625" style="549" customWidth="1"/>
    <col min="11776" max="11779" width="9.140625" style="549" customWidth="1"/>
    <col min="11780" max="11780" width="1.140625" style="549" customWidth="1"/>
    <col min="11781" max="11782" width="9.140625" style="549" customWidth="1"/>
    <col min="11783" max="11783" width="2" style="549" customWidth="1"/>
    <col min="11784" max="11784" width="7.5703125" style="549" customWidth="1"/>
    <col min="11785" max="12012" width="11.7109375" style="549" customWidth="1"/>
    <col min="12013" max="12022" width="12.85546875" style="549"/>
    <col min="12023" max="12023" width="25.42578125" style="549" customWidth="1"/>
    <col min="12024" max="12024" width="17.140625" style="549" customWidth="1"/>
    <col min="12025" max="12027" width="9.140625" style="549" customWidth="1"/>
    <col min="12028" max="12028" width="1.7109375" style="549" customWidth="1"/>
    <col min="12029" max="12030" width="9.140625" style="549" customWidth="1"/>
    <col min="12031" max="12031" width="1.140625" style="549" customWidth="1"/>
    <col min="12032" max="12035" width="9.140625" style="549" customWidth="1"/>
    <col min="12036" max="12036" width="1.140625" style="549" customWidth="1"/>
    <col min="12037" max="12038" width="9.140625" style="549" customWidth="1"/>
    <col min="12039" max="12039" width="2" style="549" customWidth="1"/>
    <col min="12040" max="12040" width="7.5703125" style="549" customWidth="1"/>
    <col min="12041" max="12268" width="11.7109375" style="549" customWidth="1"/>
    <col min="12269" max="12278" width="12.85546875" style="549"/>
    <col min="12279" max="12279" width="25.42578125" style="549" customWidth="1"/>
    <col min="12280" max="12280" width="17.140625" style="549" customWidth="1"/>
    <col min="12281" max="12283" width="9.140625" style="549" customWidth="1"/>
    <col min="12284" max="12284" width="1.7109375" style="549" customWidth="1"/>
    <col min="12285" max="12286" width="9.140625" style="549" customWidth="1"/>
    <col min="12287" max="12287" width="1.140625" style="549" customWidth="1"/>
    <col min="12288" max="12291" width="9.140625" style="549" customWidth="1"/>
    <col min="12292" max="12292" width="1.140625" style="549" customWidth="1"/>
    <col min="12293" max="12294" width="9.140625" style="549" customWidth="1"/>
    <col min="12295" max="12295" width="2" style="549" customWidth="1"/>
    <col min="12296" max="12296" width="7.5703125" style="549" customWidth="1"/>
    <col min="12297" max="12524" width="11.7109375" style="549" customWidth="1"/>
    <col min="12525" max="12534" width="12.85546875" style="549"/>
    <col min="12535" max="12535" width="25.42578125" style="549" customWidth="1"/>
    <col min="12536" max="12536" width="17.140625" style="549" customWidth="1"/>
    <col min="12537" max="12539" width="9.140625" style="549" customWidth="1"/>
    <col min="12540" max="12540" width="1.7109375" style="549" customWidth="1"/>
    <col min="12541" max="12542" width="9.140625" style="549" customWidth="1"/>
    <col min="12543" max="12543" width="1.140625" style="549" customWidth="1"/>
    <col min="12544" max="12547" width="9.140625" style="549" customWidth="1"/>
    <col min="12548" max="12548" width="1.140625" style="549" customWidth="1"/>
    <col min="12549" max="12550" width="9.140625" style="549" customWidth="1"/>
    <col min="12551" max="12551" width="2" style="549" customWidth="1"/>
    <col min="12552" max="12552" width="7.5703125" style="549" customWidth="1"/>
    <col min="12553" max="12780" width="11.7109375" style="549" customWidth="1"/>
    <col min="12781" max="12790" width="12.85546875" style="549"/>
    <col min="12791" max="12791" width="25.42578125" style="549" customWidth="1"/>
    <col min="12792" max="12792" width="17.140625" style="549" customWidth="1"/>
    <col min="12793" max="12795" width="9.140625" style="549" customWidth="1"/>
    <col min="12796" max="12796" width="1.7109375" style="549" customWidth="1"/>
    <col min="12797" max="12798" width="9.140625" style="549" customWidth="1"/>
    <col min="12799" max="12799" width="1.140625" style="549" customWidth="1"/>
    <col min="12800" max="12803" width="9.140625" style="549" customWidth="1"/>
    <col min="12804" max="12804" width="1.140625" style="549" customWidth="1"/>
    <col min="12805" max="12806" width="9.140625" style="549" customWidth="1"/>
    <col min="12807" max="12807" width="2" style="549" customWidth="1"/>
    <col min="12808" max="12808" width="7.5703125" style="549" customWidth="1"/>
    <col min="12809" max="13036" width="11.7109375" style="549" customWidth="1"/>
    <col min="13037" max="13046" width="12.85546875" style="549"/>
    <col min="13047" max="13047" width="25.42578125" style="549" customWidth="1"/>
    <col min="13048" max="13048" width="17.140625" style="549" customWidth="1"/>
    <col min="13049" max="13051" width="9.140625" style="549" customWidth="1"/>
    <col min="13052" max="13052" width="1.7109375" style="549" customWidth="1"/>
    <col min="13053" max="13054" width="9.140625" style="549" customWidth="1"/>
    <col min="13055" max="13055" width="1.140625" style="549" customWidth="1"/>
    <col min="13056" max="13059" width="9.140625" style="549" customWidth="1"/>
    <col min="13060" max="13060" width="1.140625" style="549" customWidth="1"/>
    <col min="13061" max="13062" width="9.140625" style="549" customWidth="1"/>
    <col min="13063" max="13063" width="2" style="549" customWidth="1"/>
    <col min="13064" max="13064" width="7.5703125" style="549" customWidth="1"/>
    <col min="13065" max="13292" width="11.7109375" style="549" customWidth="1"/>
    <col min="13293" max="13302" width="12.85546875" style="549"/>
    <col min="13303" max="13303" width="25.42578125" style="549" customWidth="1"/>
    <col min="13304" max="13304" width="17.140625" style="549" customWidth="1"/>
    <col min="13305" max="13307" width="9.140625" style="549" customWidth="1"/>
    <col min="13308" max="13308" width="1.7109375" style="549" customWidth="1"/>
    <col min="13309" max="13310" width="9.140625" style="549" customWidth="1"/>
    <col min="13311" max="13311" width="1.140625" style="549" customWidth="1"/>
    <col min="13312" max="13315" width="9.140625" style="549" customWidth="1"/>
    <col min="13316" max="13316" width="1.140625" style="549" customWidth="1"/>
    <col min="13317" max="13318" width="9.140625" style="549" customWidth="1"/>
    <col min="13319" max="13319" width="2" style="549" customWidth="1"/>
    <col min="13320" max="13320" width="7.5703125" style="549" customWidth="1"/>
    <col min="13321" max="13548" width="11.7109375" style="549" customWidth="1"/>
    <col min="13549" max="13558" width="12.85546875" style="549"/>
    <col min="13559" max="13559" width="25.42578125" style="549" customWidth="1"/>
    <col min="13560" max="13560" width="17.140625" style="549" customWidth="1"/>
    <col min="13561" max="13563" width="9.140625" style="549" customWidth="1"/>
    <col min="13564" max="13564" width="1.7109375" style="549" customWidth="1"/>
    <col min="13565" max="13566" width="9.140625" style="549" customWidth="1"/>
    <col min="13567" max="13567" width="1.140625" style="549" customWidth="1"/>
    <col min="13568" max="13571" width="9.140625" style="549" customWidth="1"/>
    <col min="13572" max="13572" width="1.140625" style="549" customWidth="1"/>
    <col min="13573" max="13574" width="9.140625" style="549" customWidth="1"/>
    <col min="13575" max="13575" width="2" style="549" customWidth="1"/>
    <col min="13576" max="13576" width="7.5703125" style="549" customWidth="1"/>
    <col min="13577" max="13804" width="11.7109375" style="549" customWidth="1"/>
    <col min="13805" max="13814" width="12.85546875" style="549"/>
    <col min="13815" max="13815" width="25.42578125" style="549" customWidth="1"/>
    <col min="13816" max="13816" width="17.140625" style="549" customWidth="1"/>
    <col min="13817" max="13819" width="9.140625" style="549" customWidth="1"/>
    <col min="13820" max="13820" width="1.7109375" style="549" customWidth="1"/>
    <col min="13821" max="13822" width="9.140625" style="549" customWidth="1"/>
    <col min="13823" max="13823" width="1.140625" style="549" customWidth="1"/>
    <col min="13824" max="13827" width="9.140625" style="549" customWidth="1"/>
    <col min="13828" max="13828" width="1.140625" style="549" customWidth="1"/>
    <col min="13829" max="13830" width="9.140625" style="549" customWidth="1"/>
    <col min="13831" max="13831" width="2" style="549" customWidth="1"/>
    <col min="13832" max="13832" width="7.5703125" style="549" customWidth="1"/>
    <col min="13833" max="14060" width="11.7109375" style="549" customWidth="1"/>
    <col min="14061" max="14070" width="12.85546875" style="549"/>
    <col min="14071" max="14071" width="25.42578125" style="549" customWidth="1"/>
    <col min="14072" max="14072" width="17.140625" style="549" customWidth="1"/>
    <col min="14073" max="14075" width="9.140625" style="549" customWidth="1"/>
    <col min="14076" max="14076" width="1.7109375" style="549" customWidth="1"/>
    <col min="14077" max="14078" width="9.140625" style="549" customWidth="1"/>
    <col min="14079" max="14079" width="1.140625" style="549" customWidth="1"/>
    <col min="14080" max="14083" width="9.140625" style="549" customWidth="1"/>
    <col min="14084" max="14084" width="1.140625" style="549" customWidth="1"/>
    <col min="14085" max="14086" width="9.140625" style="549" customWidth="1"/>
    <col min="14087" max="14087" width="2" style="549" customWidth="1"/>
    <col min="14088" max="14088" width="7.5703125" style="549" customWidth="1"/>
    <col min="14089" max="14316" width="11.7109375" style="549" customWidth="1"/>
    <col min="14317" max="14326" width="12.85546875" style="549"/>
    <col min="14327" max="14327" width="25.42578125" style="549" customWidth="1"/>
    <col min="14328" max="14328" width="17.140625" style="549" customWidth="1"/>
    <col min="14329" max="14331" width="9.140625" style="549" customWidth="1"/>
    <col min="14332" max="14332" width="1.7109375" style="549" customWidth="1"/>
    <col min="14333" max="14334" width="9.140625" style="549" customWidth="1"/>
    <col min="14335" max="14335" width="1.140625" style="549" customWidth="1"/>
    <col min="14336" max="14339" width="9.140625" style="549" customWidth="1"/>
    <col min="14340" max="14340" width="1.140625" style="549" customWidth="1"/>
    <col min="14341" max="14342" width="9.140625" style="549" customWidth="1"/>
    <col min="14343" max="14343" width="2" style="549" customWidth="1"/>
    <col min="14344" max="14344" width="7.5703125" style="549" customWidth="1"/>
    <col min="14345" max="14572" width="11.7109375" style="549" customWidth="1"/>
    <col min="14573" max="14582" width="12.85546875" style="549"/>
    <col min="14583" max="14583" width="25.42578125" style="549" customWidth="1"/>
    <col min="14584" max="14584" width="17.140625" style="549" customWidth="1"/>
    <col min="14585" max="14587" width="9.140625" style="549" customWidth="1"/>
    <col min="14588" max="14588" width="1.7109375" style="549" customWidth="1"/>
    <col min="14589" max="14590" width="9.140625" style="549" customWidth="1"/>
    <col min="14591" max="14591" width="1.140625" style="549" customWidth="1"/>
    <col min="14592" max="14595" width="9.140625" style="549" customWidth="1"/>
    <col min="14596" max="14596" width="1.140625" style="549" customWidth="1"/>
    <col min="14597" max="14598" width="9.140625" style="549" customWidth="1"/>
    <col min="14599" max="14599" width="2" style="549" customWidth="1"/>
    <col min="14600" max="14600" width="7.5703125" style="549" customWidth="1"/>
    <col min="14601" max="14828" width="11.7109375" style="549" customWidth="1"/>
    <col min="14829" max="14838" width="12.85546875" style="549"/>
    <col min="14839" max="14839" width="25.42578125" style="549" customWidth="1"/>
    <col min="14840" max="14840" width="17.140625" style="549" customWidth="1"/>
    <col min="14841" max="14843" width="9.140625" style="549" customWidth="1"/>
    <col min="14844" max="14844" width="1.7109375" style="549" customWidth="1"/>
    <col min="14845" max="14846" width="9.140625" style="549" customWidth="1"/>
    <col min="14847" max="14847" width="1.140625" style="549" customWidth="1"/>
    <col min="14848" max="14851" width="9.140625" style="549" customWidth="1"/>
    <col min="14852" max="14852" width="1.140625" style="549" customWidth="1"/>
    <col min="14853" max="14854" width="9.140625" style="549" customWidth="1"/>
    <col min="14855" max="14855" width="2" style="549" customWidth="1"/>
    <col min="14856" max="14856" width="7.5703125" style="549" customWidth="1"/>
    <col min="14857" max="15084" width="11.7109375" style="549" customWidth="1"/>
    <col min="15085" max="15094" width="12.85546875" style="549"/>
    <col min="15095" max="15095" width="25.42578125" style="549" customWidth="1"/>
    <col min="15096" max="15096" width="17.140625" style="549" customWidth="1"/>
    <col min="15097" max="15099" width="9.140625" style="549" customWidth="1"/>
    <col min="15100" max="15100" width="1.7109375" style="549" customWidth="1"/>
    <col min="15101" max="15102" width="9.140625" style="549" customWidth="1"/>
    <col min="15103" max="15103" width="1.140625" style="549" customWidth="1"/>
    <col min="15104" max="15107" width="9.140625" style="549" customWidth="1"/>
    <col min="15108" max="15108" width="1.140625" style="549" customWidth="1"/>
    <col min="15109" max="15110" width="9.140625" style="549" customWidth="1"/>
    <col min="15111" max="15111" width="2" style="549" customWidth="1"/>
    <col min="15112" max="15112" width="7.5703125" style="549" customWidth="1"/>
    <col min="15113" max="15340" width="11.7109375" style="549" customWidth="1"/>
    <col min="15341" max="15350" width="12.85546875" style="549"/>
    <col min="15351" max="15351" width="25.42578125" style="549" customWidth="1"/>
    <col min="15352" max="15352" width="17.140625" style="549" customWidth="1"/>
    <col min="15353" max="15355" width="9.140625" style="549" customWidth="1"/>
    <col min="15356" max="15356" width="1.7109375" style="549" customWidth="1"/>
    <col min="15357" max="15358" width="9.140625" style="549" customWidth="1"/>
    <col min="15359" max="15359" width="1.140625" style="549" customWidth="1"/>
    <col min="15360" max="15363" width="9.140625" style="549" customWidth="1"/>
    <col min="15364" max="15364" width="1.140625" style="549" customWidth="1"/>
    <col min="15365" max="15366" width="9.140625" style="549" customWidth="1"/>
    <col min="15367" max="15367" width="2" style="549" customWidth="1"/>
    <col min="15368" max="15368" width="7.5703125" style="549" customWidth="1"/>
    <col min="15369" max="15596" width="11.7109375" style="549" customWidth="1"/>
    <col min="15597" max="15606" width="12.85546875" style="549"/>
    <col min="15607" max="15607" width="25.42578125" style="549" customWidth="1"/>
    <col min="15608" max="15608" width="17.140625" style="549" customWidth="1"/>
    <col min="15609" max="15611" width="9.140625" style="549" customWidth="1"/>
    <col min="15612" max="15612" width="1.7109375" style="549" customWidth="1"/>
    <col min="15613" max="15614" width="9.140625" style="549" customWidth="1"/>
    <col min="15615" max="15615" width="1.140625" style="549" customWidth="1"/>
    <col min="15616" max="15619" width="9.140625" style="549" customWidth="1"/>
    <col min="15620" max="15620" width="1.140625" style="549" customWidth="1"/>
    <col min="15621" max="15622" width="9.140625" style="549" customWidth="1"/>
    <col min="15623" max="15623" width="2" style="549" customWidth="1"/>
    <col min="15624" max="15624" width="7.5703125" style="549" customWidth="1"/>
    <col min="15625" max="15852" width="11.7109375" style="549" customWidth="1"/>
    <col min="15853" max="15862" width="12.85546875" style="549"/>
    <col min="15863" max="15863" width="25.42578125" style="549" customWidth="1"/>
    <col min="15864" max="15864" width="17.140625" style="549" customWidth="1"/>
    <col min="15865" max="15867" width="9.140625" style="549" customWidth="1"/>
    <col min="15868" max="15868" width="1.7109375" style="549" customWidth="1"/>
    <col min="15869" max="15870" width="9.140625" style="549" customWidth="1"/>
    <col min="15871" max="15871" width="1.140625" style="549" customWidth="1"/>
    <col min="15872" max="15875" width="9.140625" style="549" customWidth="1"/>
    <col min="15876" max="15876" width="1.140625" style="549" customWidth="1"/>
    <col min="15877" max="15878" width="9.140625" style="549" customWidth="1"/>
    <col min="15879" max="15879" width="2" style="549" customWidth="1"/>
    <col min="15880" max="15880" width="7.5703125" style="549" customWidth="1"/>
    <col min="15881" max="16108" width="11.7109375" style="549" customWidth="1"/>
    <col min="16109" max="16118" width="12.85546875" style="549"/>
    <col min="16119" max="16119" width="25.42578125" style="549" customWidth="1"/>
    <col min="16120" max="16120" width="17.140625" style="549" customWidth="1"/>
    <col min="16121" max="16123" width="9.140625" style="549" customWidth="1"/>
    <col min="16124" max="16124" width="1.7109375" style="549" customWidth="1"/>
    <col min="16125" max="16126" width="9.140625" style="549" customWidth="1"/>
    <col min="16127" max="16127" width="1.140625" style="549" customWidth="1"/>
    <col min="16128" max="16131" width="9.140625" style="549" customWidth="1"/>
    <col min="16132" max="16132" width="1.140625" style="549" customWidth="1"/>
    <col min="16133" max="16134" width="9.140625" style="549" customWidth="1"/>
    <col min="16135" max="16135" width="2" style="549" customWidth="1"/>
    <col min="16136" max="16136" width="7.5703125" style="549" customWidth="1"/>
    <col min="16137" max="16364" width="11.7109375" style="549" customWidth="1"/>
    <col min="16365" max="16384" width="12.85546875" style="549"/>
  </cols>
  <sheetData>
    <row r="1" spans="1:30" ht="15" x14ac:dyDescent="0.25">
      <c r="A1" s="683">
        <f>Konti_MS!B7</f>
        <v>0</v>
      </c>
      <c r="R1" s="685" t="str">
        <f>"K:\BH_mit_AbtIIa\_mit_PD\Bedarf 20"&amp;RIGHT(O2,2)-1&amp;"\"&amp;VLOOKUP(A1,CI!C:S,11,FALSE)&amp;"\"</f>
        <v>K:\BH_mit_AbtIIa\_mit_PD\Bedarf 2024\\</v>
      </c>
      <c r="Z1"/>
      <c r="AA1"/>
      <c r="AD1" s="549" t="str">
        <f>RIGHT(O2,2)</f>
        <v>25</v>
      </c>
    </row>
    <row r="2" spans="1:30" s="551" customFormat="1" ht="43.5" customHeight="1" x14ac:dyDescent="0.15">
      <c r="A2" s="686" t="str">
        <f>Lehrpersonen!A2</f>
        <v>MS  . . .</v>
      </c>
      <c r="B2" s="637"/>
      <c r="C2" s="586"/>
      <c r="D2" s="586"/>
      <c r="E2" s="549"/>
      <c r="H2" s="549"/>
      <c r="I2" s="549"/>
      <c r="J2" s="549"/>
      <c r="K2" s="633"/>
      <c r="L2" s="633"/>
      <c r="N2" s="549"/>
      <c r="O2" s="687" t="str">
        <f>"Schuljahr 20"&amp;RIGHT(Konti_MS!H1,5)</f>
        <v>Schuljahr 2024/25</v>
      </c>
      <c r="R2" s="685" t="str">
        <f>"K:\BH_mit_AbtIIa\_mit_PD\Bedarf 20"&amp;RIGHT(O2,2)-1&amp;"\Muttersprache\"</f>
        <v>K:\BH_mit_AbtIIa\_mit_PD\Bedarf 2024\Muttersprache\</v>
      </c>
      <c r="V2" s="688"/>
    </row>
    <row r="3" spans="1:30" ht="155.25" customHeight="1" x14ac:dyDescent="0.25">
      <c r="A3" s="940" t="s">
        <v>866</v>
      </c>
      <c r="B3" s="941"/>
      <c r="C3" s="784" t="s">
        <v>669</v>
      </c>
      <c r="D3" s="785" t="s">
        <v>670</v>
      </c>
      <c r="E3" s="555"/>
      <c r="F3" s="786" t="s">
        <v>668</v>
      </c>
      <c r="G3" s="787"/>
      <c r="H3" s="788" t="s">
        <v>672</v>
      </c>
      <c r="I3" s="789" t="s">
        <v>674</v>
      </c>
      <c r="J3" s="790" t="s">
        <v>675</v>
      </c>
      <c r="K3" s="791" t="s">
        <v>671</v>
      </c>
      <c r="L3" s="792" t="s">
        <v>676</v>
      </c>
      <c r="M3" s="792" t="s">
        <v>677</v>
      </c>
      <c r="N3" s="790" t="s">
        <v>673</v>
      </c>
      <c r="O3" s="864" t="s">
        <v>871</v>
      </c>
      <c r="R3" s="685" t="str">
        <f>"K:\BH_mit_AbtIIa\_mit_PD\Bedarf 20"&amp;RIGHT(O2,2)-1&amp;"\Religion\"</f>
        <v>K:\BH_mit_AbtIIa\_mit_PD\Bedarf 2024\Religion\</v>
      </c>
      <c r="V3" s="685"/>
      <c r="X3" s="685"/>
    </row>
    <row r="4" spans="1:30" s="699" customFormat="1" ht="22.5" x14ac:dyDescent="0.2">
      <c r="A4" s="689" t="s">
        <v>722</v>
      </c>
      <c r="B4" s="690" t="s">
        <v>723</v>
      </c>
      <c r="C4" s="691"/>
      <c r="D4" s="692"/>
      <c r="E4" s="693"/>
      <c r="F4" s="694" t="s">
        <v>724</v>
      </c>
      <c r="G4" s="691"/>
      <c r="H4" s="691" t="s">
        <v>725</v>
      </c>
      <c r="I4" s="695" t="s">
        <v>733</v>
      </c>
      <c r="J4" s="691" t="s">
        <v>734</v>
      </c>
      <c r="K4" s="696" t="s">
        <v>726</v>
      </c>
      <c r="L4" s="697" t="s">
        <v>727</v>
      </c>
      <c r="M4" s="697" t="s">
        <v>728</v>
      </c>
      <c r="N4" s="691"/>
      <c r="O4" s="698" t="s">
        <v>729</v>
      </c>
      <c r="R4" s="688" t="str">
        <f ca="1">VLOOKUP(A1,CI!C:S,8,FALSE)&amp;" "&amp;VLOOKUP(A1,CI!C:S,9,FALSE)&amp;" Bedarf "&amp;YEAR(TODAY())&amp;"_"&amp;TEXT((TODAY()),"MM")&amp;"_"&amp;TEXT(DAY(TODAY()),"TT")&amp;" "&amp;TEXT(NOW(),"HHMM")</f>
        <v xml:space="preserve">  Bedarf 2024_03_13 0925</v>
      </c>
      <c r="V4" s="685"/>
    </row>
    <row r="5" spans="1:30" ht="23.25" customHeight="1" x14ac:dyDescent="0.25">
      <c r="A5" s="832">
        <f>Lehrpersonen!A5</f>
        <v>0</v>
      </c>
      <c r="B5" s="833">
        <f>Lehrpersonen!B5</f>
        <v>0</v>
      </c>
      <c r="C5" s="834">
        <f>Lehrpersonen!C5</f>
        <v>0</v>
      </c>
      <c r="D5" s="835">
        <f>Lehrpersonen!D5</f>
        <v>0</v>
      </c>
      <c r="E5" s="700">
        <f>Lehrpersonen!F5</f>
        <v>0</v>
      </c>
      <c r="F5" s="763">
        <f>Lehrpersonen!Q5</f>
        <v>0</v>
      </c>
      <c r="G5" s="764"/>
      <c r="H5" s="836">
        <f>Lehrpersonen!H5</f>
        <v>0</v>
      </c>
      <c r="I5" s="836">
        <f>Lehrpersonen!J5</f>
        <v>0</v>
      </c>
      <c r="J5" s="836">
        <f>Lehrpersonen!K5</f>
        <v>0</v>
      </c>
      <c r="K5" s="765">
        <f>Lehrpersonen!L5</f>
        <v>0</v>
      </c>
      <c r="L5" s="836">
        <f>Lehrpersonen!M5</f>
        <v>0</v>
      </c>
      <c r="M5" s="836">
        <f>Lehrpersonen!O5</f>
        <v>0</v>
      </c>
      <c r="N5" s="836">
        <f>Lehrpersonen!I5</f>
        <v>0</v>
      </c>
      <c r="O5" s="837">
        <f>Lehrpersonen!G5</f>
        <v>0</v>
      </c>
      <c r="R5" s="688" t="str">
        <f>VLOOKUP(A1,CI!C:S,8,FALSE)&amp;" "&amp;VLOOKUP(A1,CI!C:S,9,FALSE)&amp;" Erstsprache 20"&amp;RIGHT(O2,2)-1&amp;"'"&amp;RIGHT(O2,2)</f>
        <v xml:space="preserve">  Erstsprache 2024'25</v>
      </c>
      <c r="V5" s="688"/>
    </row>
    <row r="6" spans="1:30" ht="23.25" customHeight="1" x14ac:dyDescent="0.25">
      <c r="A6" s="776">
        <f>Lehrpersonen!A6</f>
        <v>0</v>
      </c>
      <c r="B6" s="777">
        <f>Lehrpersonen!B6</f>
        <v>0</v>
      </c>
      <c r="C6" s="778">
        <f>Lehrpersonen!C6</f>
        <v>0</v>
      </c>
      <c r="D6" s="779">
        <f>Lehrpersonen!D6</f>
        <v>0</v>
      </c>
      <c r="E6" s="654"/>
      <c r="F6" s="766">
        <f>Lehrpersonen!Q6</f>
        <v>0</v>
      </c>
      <c r="G6" s="767"/>
      <c r="H6" s="768">
        <f>Lehrpersonen!H6</f>
        <v>0</v>
      </c>
      <c r="I6" s="768">
        <f>Lehrpersonen!J6</f>
        <v>0</v>
      </c>
      <c r="J6" s="768">
        <f>Lehrpersonen!K6</f>
        <v>0</v>
      </c>
      <c r="K6" s="769">
        <f>Lehrpersonen!L6</f>
        <v>0</v>
      </c>
      <c r="L6" s="768">
        <f>Lehrpersonen!M6</f>
        <v>0</v>
      </c>
      <c r="M6" s="768">
        <f>Lehrpersonen!O6</f>
        <v>0</v>
      </c>
      <c r="N6" s="768">
        <f>Lehrpersonen!I6</f>
        <v>0</v>
      </c>
      <c r="O6" s="770">
        <f>Lehrpersonen!G6</f>
        <v>0</v>
      </c>
      <c r="R6" s="688" t="str">
        <f>VLOOKUP(A1,CI!C:S,8,FALSE)&amp;" "&amp;VLOOKUP(A1,CI!C:S,9,FALSE)&amp;" Religion 20"&amp;RIGHT(O2,2)-1&amp;"'"&amp;RIGHT(O2,2)</f>
        <v xml:space="preserve">  Religion 2024'25</v>
      </c>
      <c r="V6" s="688"/>
    </row>
    <row r="7" spans="1:30" ht="23.25" customHeight="1" x14ac:dyDescent="0.25">
      <c r="A7" s="776">
        <f>Lehrpersonen!A7</f>
        <v>0</v>
      </c>
      <c r="B7" s="777">
        <f>Lehrpersonen!B7</f>
        <v>0</v>
      </c>
      <c r="C7" s="778">
        <f>Lehrpersonen!C7</f>
        <v>0</v>
      </c>
      <c r="D7" s="779">
        <f>Lehrpersonen!D7</f>
        <v>0</v>
      </c>
      <c r="E7" s="654"/>
      <c r="F7" s="766">
        <f>Lehrpersonen!Q7</f>
        <v>0</v>
      </c>
      <c r="G7" s="767"/>
      <c r="H7" s="768">
        <f>Lehrpersonen!H7</f>
        <v>0</v>
      </c>
      <c r="I7" s="768">
        <f>Lehrpersonen!J7</f>
        <v>0</v>
      </c>
      <c r="J7" s="768">
        <f>Lehrpersonen!K7</f>
        <v>0</v>
      </c>
      <c r="K7" s="769">
        <f>Lehrpersonen!L7</f>
        <v>0</v>
      </c>
      <c r="L7" s="768">
        <f>Lehrpersonen!M7</f>
        <v>0</v>
      </c>
      <c r="M7" s="768">
        <f>Lehrpersonen!O7</f>
        <v>0</v>
      </c>
      <c r="N7" s="768">
        <f>Lehrpersonen!I7</f>
        <v>0</v>
      </c>
      <c r="O7" s="770">
        <f>Lehrpersonen!G7</f>
        <v>0</v>
      </c>
      <c r="R7"/>
      <c r="V7" s="688"/>
    </row>
    <row r="8" spans="1:30" ht="23.25" customHeight="1" x14ac:dyDescent="0.25">
      <c r="A8" s="776">
        <f>Lehrpersonen!A8</f>
        <v>0</v>
      </c>
      <c r="B8" s="777">
        <f>Lehrpersonen!B8</f>
        <v>0</v>
      </c>
      <c r="C8" s="778">
        <f>Lehrpersonen!C8</f>
        <v>0</v>
      </c>
      <c r="D8" s="779">
        <f>Lehrpersonen!D8</f>
        <v>0</v>
      </c>
      <c r="E8" s="654"/>
      <c r="F8" s="766">
        <f>Lehrpersonen!Q8</f>
        <v>0</v>
      </c>
      <c r="G8" s="767"/>
      <c r="H8" s="768">
        <f>Lehrpersonen!H8</f>
        <v>0</v>
      </c>
      <c r="I8" s="768">
        <f>Lehrpersonen!J8</f>
        <v>0</v>
      </c>
      <c r="J8" s="768">
        <f>Lehrpersonen!K8</f>
        <v>0</v>
      </c>
      <c r="K8" s="769">
        <f>Lehrpersonen!L8</f>
        <v>0</v>
      </c>
      <c r="L8" s="768">
        <f>Lehrpersonen!M8</f>
        <v>0</v>
      </c>
      <c r="M8" s="768">
        <f>Lehrpersonen!O8</f>
        <v>0</v>
      </c>
      <c r="N8" s="768">
        <f>Lehrpersonen!I8</f>
        <v>0</v>
      </c>
      <c r="O8" s="770">
        <f>Lehrpersonen!G8</f>
        <v>0</v>
      </c>
      <c r="V8" s="688"/>
    </row>
    <row r="9" spans="1:30" ht="23.25" customHeight="1" x14ac:dyDescent="0.25">
      <c r="A9" s="776">
        <f>Lehrpersonen!A9</f>
        <v>0</v>
      </c>
      <c r="B9" s="777">
        <f>Lehrpersonen!B9</f>
        <v>0</v>
      </c>
      <c r="C9" s="778">
        <f>Lehrpersonen!C9</f>
        <v>0</v>
      </c>
      <c r="D9" s="779">
        <f>Lehrpersonen!D9</f>
        <v>0</v>
      </c>
      <c r="E9" s="654"/>
      <c r="F9" s="766">
        <f>Lehrpersonen!Q9</f>
        <v>0</v>
      </c>
      <c r="G9" s="767"/>
      <c r="H9" s="768">
        <f>Lehrpersonen!H9</f>
        <v>0</v>
      </c>
      <c r="I9" s="768">
        <f>Lehrpersonen!J9</f>
        <v>0</v>
      </c>
      <c r="J9" s="768">
        <f>Lehrpersonen!K9</f>
        <v>0</v>
      </c>
      <c r="K9" s="769">
        <f>Lehrpersonen!L9</f>
        <v>0</v>
      </c>
      <c r="L9" s="768">
        <f>Lehrpersonen!M9</f>
        <v>0</v>
      </c>
      <c r="M9" s="768">
        <f>Lehrpersonen!O9</f>
        <v>0</v>
      </c>
      <c r="N9" s="768">
        <f>Lehrpersonen!I9</f>
        <v>0</v>
      </c>
      <c r="O9" s="770">
        <f>Lehrpersonen!G9</f>
        <v>0</v>
      </c>
      <c r="Q9" s="549"/>
    </row>
    <row r="10" spans="1:30" ht="23.25" customHeight="1" x14ac:dyDescent="0.25">
      <c r="A10" s="776">
        <f>Lehrpersonen!A10</f>
        <v>0</v>
      </c>
      <c r="B10" s="777">
        <f>Lehrpersonen!B10</f>
        <v>0</v>
      </c>
      <c r="C10" s="778">
        <f>Lehrpersonen!C10</f>
        <v>0</v>
      </c>
      <c r="D10" s="779">
        <f>Lehrpersonen!D10</f>
        <v>0</v>
      </c>
      <c r="E10" s="654"/>
      <c r="F10" s="766">
        <f>Lehrpersonen!Q10</f>
        <v>0</v>
      </c>
      <c r="G10" s="767"/>
      <c r="H10" s="768">
        <f>Lehrpersonen!H10</f>
        <v>0</v>
      </c>
      <c r="I10" s="768">
        <f>Lehrpersonen!J10</f>
        <v>0</v>
      </c>
      <c r="J10" s="768">
        <f>Lehrpersonen!K10</f>
        <v>0</v>
      </c>
      <c r="K10" s="769">
        <f>Lehrpersonen!L10</f>
        <v>0</v>
      </c>
      <c r="L10" s="768">
        <f>Lehrpersonen!M10</f>
        <v>0</v>
      </c>
      <c r="M10" s="768">
        <f>Lehrpersonen!O10</f>
        <v>0</v>
      </c>
      <c r="N10" s="768">
        <f>Lehrpersonen!I10</f>
        <v>0</v>
      </c>
      <c r="O10" s="770">
        <f>Lehrpersonen!G10</f>
        <v>0</v>
      </c>
      <c r="Q10" s="549"/>
    </row>
    <row r="11" spans="1:30" ht="23.25" customHeight="1" x14ac:dyDescent="0.25">
      <c r="A11" s="776">
        <f>Lehrpersonen!A11</f>
        <v>0</v>
      </c>
      <c r="B11" s="777">
        <f>Lehrpersonen!B11</f>
        <v>0</v>
      </c>
      <c r="C11" s="778">
        <f>Lehrpersonen!C11</f>
        <v>0</v>
      </c>
      <c r="D11" s="779">
        <f>Lehrpersonen!D11</f>
        <v>0</v>
      </c>
      <c r="E11" s="654"/>
      <c r="F11" s="766">
        <f>Lehrpersonen!Q11</f>
        <v>0</v>
      </c>
      <c r="G11" s="767"/>
      <c r="H11" s="768">
        <f>Lehrpersonen!H11</f>
        <v>0</v>
      </c>
      <c r="I11" s="768">
        <f>Lehrpersonen!J11</f>
        <v>0</v>
      </c>
      <c r="J11" s="768">
        <f>Lehrpersonen!K11</f>
        <v>0</v>
      </c>
      <c r="K11" s="769">
        <f>Lehrpersonen!L11</f>
        <v>0</v>
      </c>
      <c r="L11" s="768">
        <f>Lehrpersonen!M11</f>
        <v>0</v>
      </c>
      <c r="M11" s="768">
        <f>Lehrpersonen!O11</f>
        <v>0</v>
      </c>
      <c r="N11" s="768">
        <f>Lehrpersonen!I11</f>
        <v>0</v>
      </c>
      <c r="O11" s="770">
        <f>Lehrpersonen!G11</f>
        <v>0</v>
      </c>
      <c r="Q11" s="549"/>
    </row>
    <row r="12" spans="1:30" ht="23.25" customHeight="1" x14ac:dyDescent="0.25">
      <c r="A12" s="776">
        <f>Lehrpersonen!A12</f>
        <v>0</v>
      </c>
      <c r="B12" s="777">
        <f>Lehrpersonen!B12</f>
        <v>0</v>
      </c>
      <c r="C12" s="778">
        <f>Lehrpersonen!C12</f>
        <v>0</v>
      </c>
      <c r="D12" s="779">
        <f>Lehrpersonen!D12</f>
        <v>0</v>
      </c>
      <c r="E12" s="654"/>
      <c r="F12" s="766">
        <f>Lehrpersonen!Q12</f>
        <v>0</v>
      </c>
      <c r="G12" s="767"/>
      <c r="H12" s="768">
        <f>Lehrpersonen!H12</f>
        <v>0</v>
      </c>
      <c r="I12" s="768">
        <f>Lehrpersonen!J12</f>
        <v>0</v>
      </c>
      <c r="J12" s="768">
        <f>Lehrpersonen!K12</f>
        <v>0</v>
      </c>
      <c r="K12" s="769">
        <f>Lehrpersonen!L12</f>
        <v>0</v>
      </c>
      <c r="L12" s="768">
        <f>Lehrpersonen!M12</f>
        <v>0</v>
      </c>
      <c r="M12" s="768">
        <f>Lehrpersonen!O12</f>
        <v>0</v>
      </c>
      <c r="N12" s="768">
        <f>Lehrpersonen!I12</f>
        <v>0</v>
      </c>
      <c r="O12" s="770">
        <f>Lehrpersonen!G12</f>
        <v>0</v>
      </c>
      <c r="Q12" s="549"/>
    </row>
    <row r="13" spans="1:30" ht="23.25" customHeight="1" x14ac:dyDescent="0.25">
      <c r="A13" s="776">
        <f>Lehrpersonen!A13</f>
        <v>0</v>
      </c>
      <c r="B13" s="777">
        <f>Lehrpersonen!B13</f>
        <v>0</v>
      </c>
      <c r="C13" s="778">
        <f>Lehrpersonen!C13</f>
        <v>0</v>
      </c>
      <c r="D13" s="779">
        <f>Lehrpersonen!D13</f>
        <v>0</v>
      </c>
      <c r="E13" s="654"/>
      <c r="F13" s="766">
        <f>Lehrpersonen!Q13</f>
        <v>0</v>
      </c>
      <c r="G13" s="767"/>
      <c r="H13" s="768">
        <f>Lehrpersonen!H13</f>
        <v>0</v>
      </c>
      <c r="I13" s="768">
        <f>Lehrpersonen!J13</f>
        <v>0</v>
      </c>
      <c r="J13" s="768">
        <f>Lehrpersonen!K13</f>
        <v>0</v>
      </c>
      <c r="K13" s="769">
        <f>Lehrpersonen!L13</f>
        <v>0</v>
      </c>
      <c r="L13" s="768">
        <f>Lehrpersonen!M13</f>
        <v>0</v>
      </c>
      <c r="M13" s="768">
        <f>Lehrpersonen!O13</f>
        <v>0</v>
      </c>
      <c r="N13" s="768">
        <f>Lehrpersonen!I13</f>
        <v>0</v>
      </c>
      <c r="O13" s="770">
        <f>Lehrpersonen!G13</f>
        <v>0</v>
      </c>
      <c r="Q13" s="549"/>
    </row>
    <row r="14" spans="1:30" ht="23.25" customHeight="1" x14ac:dyDescent="0.25">
      <c r="A14" s="776">
        <f>Lehrpersonen!A14</f>
        <v>0</v>
      </c>
      <c r="B14" s="777">
        <f>Lehrpersonen!B14</f>
        <v>0</v>
      </c>
      <c r="C14" s="778">
        <f>Lehrpersonen!C14</f>
        <v>0</v>
      </c>
      <c r="D14" s="779">
        <f>Lehrpersonen!D14</f>
        <v>0</v>
      </c>
      <c r="E14" s="654"/>
      <c r="F14" s="766">
        <f>Lehrpersonen!Q14</f>
        <v>0</v>
      </c>
      <c r="G14" s="767"/>
      <c r="H14" s="768">
        <f>Lehrpersonen!H14</f>
        <v>0</v>
      </c>
      <c r="I14" s="768">
        <f>Lehrpersonen!J14</f>
        <v>0</v>
      </c>
      <c r="J14" s="768">
        <f>Lehrpersonen!K14</f>
        <v>0</v>
      </c>
      <c r="K14" s="769">
        <f>Lehrpersonen!L14</f>
        <v>0</v>
      </c>
      <c r="L14" s="768">
        <f>Lehrpersonen!M14</f>
        <v>0</v>
      </c>
      <c r="M14" s="768">
        <f>Lehrpersonen!O14</f>
        <v>0</v>
      </c>
      <c r="N14" s="768">
        <f>Lehrpersonen!I14</f>
        <v>0</v>
      </c>
      <c r="O14" s="770">
        <f>Lehrpersonen!G14</f>
        <v>0</v>
      </c>
      <c r="Q14" s="549"/>
    </row>
    <row r="15" spans="1:30" ht="23.25" customHeight="1" x14ac:dyDescent="0.25">
      <c r="A15" s="776">
        <f>Lehrpersonen!A15</f>
        <v>0</v>
      </c>
      <c r="B15" s="777">
        <f>Lehrpersonen!B15</f>
        <v>0</v>
      </c>
      <c r="C15" s="778">
        <f>Lehrpersonen!C15</f>
        <v>0</v>
      </c>
      <c r="D15" s="779">
        <f>Lehrpersonen!D15</f>
        <v>0</v>
      </c>
      <c r="E15" s="654"/>
      <c r="F15" s="766">
        <f>Lehrpersonen!Q15</f>
        <v>0</v>
      </c>
      <c r="G15" s="767"/>
      <c r="H15" s="768">
        <f>Lehrpersonen!H15</f>
        <v>0</v>
      </c>
      <c r="I15" s="768">
        <f>Lehrpersonen!J15</f>
        <v>0</v>
      </c>
      <c r="J15" s="768">
        <f>Lehrpersonen!K15</f>
        <v>0</v>
      </c>
      <c r="K15" s="769">
        <f>Lehrpersonen!L15</f>
        <v>0</v>
      </c>
      <c r="L15" s="768">
        <f>Lehrpersonen!M15</f>
        <v>0</v>
      </c>
      <c r="M15" s="768">
        <f>Lehrpersonen!O15</f>
        <v>0</v>
      </c>
      <c r="N15" s="768">
        <f>Lehrpersonen!I15</f>
        <v>0</v>
      </c>
      <c r="O15" s="770">
        <f>Lehrpersonen!G15</f>
        <v>0</v>
      </c>
      <c r="Q15" s="549"/>
    </row>
    <row r="16" spans="1:30" ht="23.25" customHeight="1" x14ac:dyDescent="0.25">
      <c r="A16" s="776">
        <f>Lehrpersonen!A16</f>
        <v>0</v>
      </c>
      <c r="B16" s="777">
        <f>Lehrpersonen!B16</f>
        <v>0</v>
      </c>
      <c r="C16" s="778">
        <f>Lehrpersonen!C16</f>
        <v>0</v>
      </c>
      <c r="D16" s="779">
        <f>Lehrpersonen!D16</f>
        <v>0</v>
      </c>
      <c r="E16" s="654"/>
      <c r="F16" s="766">
        <f>Lehrpersonen!Q16</f>
        <v>0</v>
      </c>
      <c r="G16" s="767"/>
      <c r="H16" s="768">
        <f>Lehrpersonen!H16</f>
        <v>0</v>
      </c>
      <c r="I16" s="768">
        <f>Lehrpersonen!J16</f>
        <v>0</v>
      </c>
      <c r="J16" s="768">
        <f>Lehrpersonen!K16</f>
        <v>0</v>
      </c>
      <c r="K16" s="769">
        <f>Lehrpersonen!L16</f>
        <v>0</v>
      </c>
      <c r="L16" s="768">
        <f>Lehrpersonen!M16</f>
        <v>0</v>
      </c>
      <c r="M16" s="768">
        <f>Lehrpersonen!O16</f>
        <v>0</v>
      </c>
      <c r="N16" s="768">
        <f>Lehrpersonen!I16</f>
        <v>0</v>
      </c>
      <c r="O16" s="770">
        <f>Lehrpersonen!G16</f>
        <v>0</v>
      </c>
      <c r="Q16" s="549"/>
    </row>
    <row r="17" spans="1:17" ht="23.25" customHeight="1" x14ac:dyDescent="0.25">
      <c r="A17" s="776">
        <f>Lehrpersonen!A17</f>
        <v>0</v>
      </c>
      <c r="B17" s="777">
        <f>Lehrpersonen!B17</f>
        <v>0</v>
      </c>
      <c r="C17" s="778">
        <f>Lehrpersonen!C17</f>
        <v>0</v>
      </c>
      <c r="D17" s="779">
        <f>Lehrpersonen!D17</f>
        <v>0</v>
      </c>
      <c r="E17" s="654"/>
      <c r="F17" s="766">
        <f>Lehrpersonen!Q17</f>
        <v>0</v>
      </c>
      <c r="G17" s="767"/>
      <c r="H17" s="768">
        <f>Lehrpersonen!H17</f>
        <v>0</v>
      </c>
      <c r="I17" s="768">
        <f>Lehrpersonen!J17</f>
        <v>0</v>
      </c>
      <c r="J17" s="768">
        <f>Lehrpersonen!K17</f>
        <v>0</v>
      </c>
      <c r="K17" s="769">
        <f>Lehrpersonen!L17</f>
        <v>0</v>
      </c>
      <c r="L17" s="768">
        <f>Lehrpersonen!M17</f>
        <v>0</v>
      </c>
      <c r="M17" s="768">
        <f>Lehrpersonen!O17</f>
        <v>0</v>
      </c>
      <c r="N17" s="768">
        <f>Lehrpersonen!I17</f>
        <v>0</v>
      </c>
      <c r="O17" s="770">
        <f>Lehrpersonen!G17</f>
        <v>0</v>
      </c>
      <c r="Q17" s="549"/>
    </row>
    <row r="18" spans="1:17" ht="23.25" customHeight="1" x14ac:dyDescent="0.25">
      <c r="A18" s="776">
        <f>Lehrpersonen!A18</f>
        <v>0</v>
      </c>
      <c r="B18" s="777">
        <f>Lehrpersonen!B18</f>
        <v>0</v>
      </c>
      <c r="C18" s="778">
        <f>Lehrpersonen!C18</f>
        <v>0</v>
      </c>
      <c r="D18" s="779">
        <f>Lehrpersonen!D18</f>
        <v>0</v>
      </c>
      <c r="E18" s="654"/>
      <c r="F18" s="766">
        <f>Lehrpersonen!Q18</f>
        <v>0</v>
      </c>
      <c r="G18" s="767"/>
      <c r="H18" s="768">
        <f>Lehrpersonen!H18</f>
        <v>0</v>
      </c>
      <c r="I18" s="768">
        <f>Lehrpersonen!J18</f>
        <v>0</v>
      </c>
      <c r="J18" s="768">
        <f>Lehrpersonen!K18</f>
        <v>0</v>
      </c>
      <c r="K18" s="769">
        <f>Lehrpersonen!L18</f>
        <v>0</v>
      </c>
      <c r="L18" s="768">
        <f>Lehrpersonen!M18</f>
        <v>0</v>
      </c>
      <c r="M18" s="768">
        <f>Lehrpersonen!O18</f>
        <v>0</v>
      </c>
      <c r="N18" s="768">
        <f>Lehrpersonen!I18</f>
        <v>0</v>
      </c>
      <c r="O18" s="770">
        <f>Lehrpersonen!G18</f>
        <v>0</v>
      </c>
      <c r="Q18" s="549"/>
    </row>
    <row r="19" spans="1:17" ht="23.25" customHeight="1" x14ac:dyDescent="0.25">
      <c r="A19" s="776">
        <f>Lehrpersonen!A19</f>
        <v>0</v>
      </c>
      <c r="B19" s="777">
        <f>Lehrpersonen!B19</f>
        <v>0</v>
      </c>
      <c r="C19" s="778">
        <f>Lehrpersonen!C19</f>
        <v>0</v>
      </c>
      <c r="D19" s="779">
        <f>Lehrpersonen!D19</f>
        <v>0</v>
      </c>
      <c r="E19" s="654"/>
      <c r="F19" s="766">
        <f>Lehrpersonen!Q19</f>
        <v>0</v>
      </c>
      <c r="G19" s="767"/>
      <c r="H19" s="768">
        <f>Lehrpersonen!H19</f>
        <v>0</v>
      </c>
      <c r="I19" s="768">
        <f>Lehrpersonen!J19</f>
        <v>0</v>
      </c>
      <c r="J19" s="768">
        <f>Lehrpersonen!K19</f>
        <v>0</v>
      </c>
      <c r="K19" s="769">
        <f>Lehrpersonen!L19</f>
        <v>0</v>
      </c>
      <c r="L19" s="768">
        <f>Lehrpersonen!M19</f>
        <v>0</v>
      </c>
      <c r="M19" s="768">
        <f>Lehrpersonen!O19</f>
        <v>0</v>
      </c>
      <c r="N19" s="768">
        <f>Lehrpersonen!I19</f>
        <v>0</v>
      </c>
      <c r="O19" s="770">
        <f>Lehrpersonen!G19</f>
        <v>0</v>
      </c>
      <c r="Q19" s="549"/>
    </row>
    <row r="20" spans="1:17" ht="23.25" customHeight="1" x14ac:dyDescent="0.25">
      <c r="A20" s="776">
        <f>Lehrpersonen!A20</f>
        <v>0</v>
      </c>
      <c r="B20" s="777">
        <f>Lehrpersonen!B20</f>
        <v>0</v>
      </c>
      <c r="C20" s="778">
        <f>Lehrpersonen!C20</f>
        <v>0</v>
      </c>
      <c r="D20" s="779">
        <f>Lehrpersonen!D20</f>
        <v>0</v>
      </c>
      <c r="E20" s="654"/>
      <c r="F20" s="766">
        <f>Lehrpersonen!Q20</f>
        <v>0</v>
      </c>
      <c r="G20" s="767"/>
      <c r="H20" s="768">
        <f>Lehrpersonen!H20</f>
        <v>0</v>
      </c>
      <c r="I20" s="768">
        <f>Lehrpersonen!J20</f>
        <v>0</v>
      </c>
      <c r="J20" s="768">
        <f>Lehrpersonen!K20</f>
        <v>0</v>
      </c>
      <c r="K20" s="769">
        <f>Lehrpersonen!L20</f>
        <v>0</v>
      </c>
      <c r="L20" s="768">
        <f>Lehrpersonen!M20</f>
        <v>0</v>
      </c>
      <c r="M20" s="768">
        <f>Lehrpersonen!O20</f>
        <v>0</v>
      </c>
      <c r="N20" s="768">
        <f>Lehrpersonen!I20</f>
        <v>0</v>
      </c>
      <c r="O20" s="770">
        <f>Lehrpersonen!G20</f>
        <v>0</v>
      </c>
      <c r="Q20" s="549"/>
    </row>
    <row r="21" spans="1:17" ht="23.25" customHeight="1" x14ac:dyDescent="0.25">
      <c r="A21" s="776">
        <f>Lehrpersonen!A21</f>
        <v>0</v>
      </c>
      <c r="B21" s="777">
        <f>Lehrpersonen!B21</f>
        <v>0</v>
      </c>
      <c r="C21" s="778">
        <f>Lehrpersonen!C21</f>
        <v>0</v>
      </c>
      <c r="D21" s="779">
        <f>Lehrpersonen!D21</f>
        <v>0</v>
      </c>
      <c r="E21" s="654"/>
      <c r="F21" s="766">
        <f>Lehrpersonen!Q21</f>
        <v>0</v>
      </c>
      <c r="G21" s="767"/>
      <c r="H21" s="768">
        <f>Lehrpersonen!H21</f>
        <v>0</v>
      </c>
      <c r="I21" s="768">
        <f>Lehrpersonen!J21</f>
        <v>0</v>
      </c>
      <c r="J21" s="768">
        <f>Lehrpersonen!K21</f>
        <v>0</v>
      </c>
      <c r="K21" s="769">
        <f>Lehrpersonen!L21</f>
        <v>0</v>
      </c>
      <c r="L21" s="768">
        <f>Lehrpersonen!M21</f>
        <v>0</v>
      </c>
      <c r="M21" s="768">
        <f>Lehrpersonen!O21</f>
        <v>0</v>
      </c>
      <c r="N21" s="768">
        <f>Lehrpersonen!I21</f>
        <v>0</v>
      </c>
      <c r="O21" s="770">
        <f>Lehrpersonen!G21</f>
        <v>0</v>
      </c>
      <c r="Q21" s="549"/>
    </row>
    <row r="22" spans="1:17" ht="23.25" customHeight="1" x14ac:dyDescent="0.25">
      <c r="A22" s="776">
        <f>Lehrpersonen!A22</f>
        <v>0</v>
      </c>
      <c r="B22" s="777">
        <f>Lehrpersonen!B22</f>
        <v>0</v>
      </c>
      <c r="C22" s="778">
        <f>Lehrpersonen!C22</f>
        <v>0</v>
      </c>
      <c r="D22" s="779">
        <f>Lehrpersonen!D22</f>
        <v>0</v>
      </c>
      <c r="E22" s="654"/>
      <c r="F22" s="766">
        <f>Lehrpersonen!Q22</f>
        <v>0</v>
      </c>
      <c r="G22" s="767"/>
      <c r="H22" s="768">
        <f>Lehrpersonen!H22</f>
        <v>0</v>
      </c>
      <c r="I22" s="768">
        <f>Lehrpersonen!J22</f>
        <v>0</v>
      </c>
      <c r="J22" s="768">
        <f>Lehrpersonen!K22</f>
        <v>0</v>
      </c>
      <c r="K22" s="769">
        <f>Lehrpersonen!L22</f>
        <v>0</v>
      </c>
      <c r="L22" s="768">
        <f>Lehrpersonen!M22</f>
        <v>0</v>
      </c>
      <c r="M22" s="768">
        <f>Lehrpersonen!O22</f>
        <v>0</v>
      </c>
      <c r="N22" s="768">
        <f>Lehrpersonen!I22</f>
        <v>0</v>
      </c>
      <c r="O22" s="770">
        <f>Lehrpersonen!G22</f>
        <v>0</v>
      </c>
      <c r="Q22" s="549"/>
    </row>
    <row r="23" spans="1:17" ht="23.25" customHeight="1" x14ac:dyDescent="0.25">
      <c r="A23" s="776">
        <f>Lehrpersonen!A23</f>
        <v>0</v>
      </c>
      <c r="B23" s="777">
        <f>Lehrpersonen!B23</f>
        <v>0</v>
      </c>
      <c r="C23" s="778">
        <f>Lehrpersonen!C23</f>
        <v>0</v>
      </c>
      <c r="D23" s="779">
        <f>Lehrpersonen!D23</f>
        <v>0</v>
      </c>
      <c r="E23" s="654"/>
      <c r="F23" s="766">
        <f>Lehrpersonen!Q23</f>
        <v>0</v>
      </c>
      <c r="G23" s="767"/>
      <c r="H23" s="768">
        <f>Lehrpersonen!H23</f>
        <v>0</v>
      </c>
      <c r="I23" s="768">
        <f>Lehrpersonen!J23</f>
        <v>0</v>
      </c>
      <c r="J23" s="768">
        <f>Lehrpersonen!K23</f>
        <v>0</v>
      </c>
      <c r="K23" s="769">
        <f>Lehrpersonen!L23</f>
        <v>0</v>
      </c>
      <c r="L23" s="768">
        <f>Lehrpersonen!M23</f>
        <v>0</v>
      </c>
      <c r="M23" s="768">
        <f>Lehrpersonen!O23</f>
        <v>0</v>
      </c>
      <c r="N23" s="768">
        <f>Lehrpersonen!I23</f>
        <v>0</v>
      </c>
      <c r="O23" s="770">
        <f>Lehrpersonen!G23</f>
        <v>0</v>
      </c>
      <c r="Q23" s="549"/>
    </row>
    <row r="24" spans="1:17" ht="23.25" customHeight="1" x14ac:dyDescent="0.25">
      <c r="A24" s="776">
        <f>Lehrpersonen!A24</f>
        <v>0</v>
      </c>
      <c r="B24" s="777">
        <f>Lehrpersonen!B24</f>
        <v>0</v>
      </c>
      <c r="C24" s="778">
        <f>Lehrpersonen!C24</f>
        <v>0</v>
      </c>
      <c r="D24" s="779">
        <f>Lehrpersonen!D24</f>
        <v>0</v>
      </c>
      <c r="E24" s="654"/>
      <c r="F24" s="766">
        <f>Lehrpersonen!Q24</f>
        <v>0</v>
      </c>
      <c r="G24" s="767"/>
      <c r="H24" s="768">
        <f>Lehrpersonen!H24</f>
        <v>0</v>
      </c>
      <c r="I24" s="768">
        <f>Lehrpersonen!J24</f>
        <v>0</v>
      </c>
      <c r="J24" s="768">
        <f>Lehrpersonen!K24</f>
        <v>0</v>
      </c>
      <c r="K24" s="769">
        <f>Lehrpersonen!L24</f>
        <v>0</v>
      </c>
      <c r="L24" s="768">
        <f>Lehrpersonen!M24</f>
        <v>0</v>
      </c>
      <c r="M24" s="768">
        <f>Lehrpersonen!O24</f>
        <v>0</v>
      </c>
      <c r="N24" s="768">
        <f>Lehrpersonen!I24</f>
        <v>0</v>
      </c>
      <c r="O24" s="770">
        <f>Lehrpersonen!G24</f>
        <v>0</v>
      </c>
      <c r="Q24" s="549"/>
    </row>
    <row r="25" spans="1:17" ht="23.25" customHeight="1" x14ac:dyDescent="0.25">
      <c r="A25" s="776">
        <f>Lehrpersonen!A25</f>
        <v>0</v>
      </c>
      <c r="B25" s="777">
        <f>Lehrpersonen!B25</f>
        <v>0</v>
      </c>
      <c r="C25" s="778">
        <f>Lehrpersonen!C25</f>
        <v>0</v>
      </c>
      <c r="D25" s="779">
        <f>Lehrpersonen!D25</f>
        <v>0</v>
      </c>
      <c r="E25" s="654"/>
      <c r="F25" s="766">
        <f>Lehrpersonen!Q25</f>
        <v>0</v>
      </c>
      <c r="G25" s="767"/>
      <c r="H25" s="768">
        <f>Lehrpersonen!H25</f>
        <v>0</v>
      </c>
      <c r="I25" s="768">
        <f>Lehrpersonen!J25</f>
        <v>0</v>
      </c>
      <c r="J25" s="768">
        <f>Lehrpersonen!K25</f>
        <v>0</v>
      </c>
      <c r="K25" s="769">
        <f>Lehrpersonen!L25</f>
        <v>0</v>
      </c>
      <c r="L25" s="768">
        <f>Lehrpersonen!M25</f>
        <v>0</v>
      </c>
      <c r="M25" s="768">
        <f>Lehrpersonen!O25</f>
        <v>0</v>
      </c>
      <c r="N25" s="768">
        <f>Lehrpersonen!I25</f>
        <v>0</v>
      </c>
      <c r="O25" s="770">
        <f>Lehrpersonen!G25</f>
        <v>0</v>
      </c>
      <c r="Q25" s="549"/>
    </row>
    <row r="26" spans="1:17" ht="23.25" customHeight="1" x14ac:dyDescent="0.25">
      <c r="A26" s="776">
        <f>Lehrpersonen!A26</f>
        <v>0</v>
      </c>
      <c r="B26" s="777">
        <f>Lehrpersonen!B26</f>
        <v>0</v>
      </c>
      <c r="C26" s="778">
        <f>Lehrpersonen!C26</f>
        <v>0</v>
      </c>
      <c r="D26" s="779">
        <f>Lehrpersonen!D26</f>
        <v>0</v>
      </c>
      <c r="E26" s="654"/>
      <c r="F26" s="766">
        <f>Lehrpersonen!Q26</f>
        <v>0</v>
      </c>
      <c r="G26" s="767"/>
      <c r="H26" s="768">
        <f>Lehrpersonen!H26</f>
        <v>0</v>
      </c>
      <c r="I26" s="768">
        <f>Lehrpersonen!J26</f>
        <v>0</v>
      </c>
      <c r="J26" s="768">
        <f>Lehrpersonen!K26</f>
        <v>0</v>
      </c>
      <c r="K26" s="769">
        <f>Lehrpersonen!L26</f>
        <v>0</v>
      </c>
      <c r="L26" s="768">
        <f>Lehrpersonen!M26</f>
        <v>0</v>
      </c>
      <c r="M26" s="768">
        <f>Lehrpersonen!O26</f>
        <v>0</v>
      </c>
      <c r="N26" s="768">
        <f>Lehrpersonen!I26</f>
        <v>0</v>
      </c>
      <c r="O26" s="770">
        <f>Lehrpersonen!G26</f>
        <v>0</v>
      </c>
      <c r="Q26" s="549"/>
    </row>
    <row r="27" spans="1:17" ht="23.25" customHeight="1" x14ac:dyDescent="0.25">
      <c r="A27" s="776">
        <f>Lehrpersonen!A27</f>
        <v>0</v>
      </c>
      <c r="B27" s="777">
        <f>Lehrpersonen!B27</f>
        <v>0</v>
      </c>
      <c r="C27" s="778">
        <f>Lehrpersonen!C27</f>
        <v>0</v>
      </c>
      <c r="D27" s="779">
        <f>Lehrpersonen!D27</f>
        <v>0</v>
      </c>
      <c r="E27" s="654"/>
      <c r="F27" s="766">
        <f>Lehrpersonen!Q27</f>
        <v>0</v>
      </c>
      <c r="G27" s="767"/>
      <c r="H27" s="768">
        <f>Lehrpersonen!H27</f>
        <v>0</v>
      </c>
      <c r="I27" s="768">
        <f>Lehrpersonen!J27</f>
        <v>0</v>
      </c>
      <c r="J27" s="768">
        <f>Lehrpersonen!K27</f>
        <v>0</v>
      </c>
      <c r="K27" s="769">
        <f>Lehrpersonen!L27</f>
        <v>0</v>
      </c>
      <c r="L27" s="768">
        <f>Lehrpersonen!M27</f>
        <v>0</v>
      </c>
      <c r="M27" s="768">
        <f>Lehrpersonen!O27</f>
        <v>0</v>
      </c>
      <c r="N27" s="768">
        <f>Lehrpersonen!I27</f>
        <v>0</v>
      </c>
      <c r="O27" s="770">
        <f>Lehrpersonen!G27</f>
        <v>0</v>
      </c>
      <c r="Q27" s="549"/>
    </row>
    <row r="28" spans="1:17" ht="23.25" customHeight="1" x14ac:dyDescent="0.25">
      <c r="A28" s="776">
        <f>Lehrpersonen!A28</f>
        <v>0</v>
      </c>
      <c r="B28" s="777">
        <f>Lehrpersonen!B28</f>
        <v>0</v>
      </c>
      <c r="C28" s="778">
        <f>Lehrpersonen!C28</f>
        <v>0</v>
      </c>
      <c r="D28" s="779">
        <f>Lehrpersonen!D28</f>
        <v>0</v>
      </c>
      <c r="E28" s="654"/>
      <c r="F28" s="766">
        <f>Lehrpersonen!Q28</f>
        <v>0</v>
      </c>
      <c r="G28" s="767"/>
      <c r="H28" s="768">
        <f>Lehrpersonen!H28</f>
        <v>0</v>
      </c>
      <c r="I28" s="768">
        <f>Lehrpersonen!J28</f>
        <v>0</v>
      </c>
      <c r="J28" s="768">
        <f>Lehrpersonen!K28</f>
        <v>0</v>
      </c>
      <c r="K28" s="769">
        <f>Lehrpersonen!L28</f>
        <v>0</v>
      </c>
      <c r="L28" s="768">
        <f>Lehrpersonen!M28</f>
        <v>0</v>
      </c>
      <c r="M28" s="768">
        <f>Lehrpersonen!O28</f>
        <v>0</v>
      </c>
      <c r="N28" s="768">
        <f>Lehrpersonen!I28</f>
        <v>0</v>
      </c>
      <c r="O28" s="770">
        <f>Lehrpersonen!G28</f>
        <v>0</v>
      </c>
      <c r="Q28" s="549"/>
    </row>
    <row r="29" spans="1:17" ht="23.25" customHeight="1" x14ac:dyDescent="0.25">
      <c r="A29" s="776">
        <f>Lehrpersonen!A29</f>
        <v>0</v>
      </c>
      <c r="B29" s="777">
        <f>Lehrpersonen!B29</f>
        <v>0</v>
      </c>
      <c r="C29" s="778">
        <f>Lehrpersonen!C29</f>
        <v>0</v>
      </c>
      <c r="D29" s="779">
        <f>Lehrpersonen!D29</f>
        <v>0</v>
      </c>
      <c r="E29" s="654"/>
      <c r="F29" s="766">
        <f>Lehrpersonen!Q29</f>
        <v>0</v>
      </c>
      <c r="G29" s="767"/>
      <c r="H29" s="768">
        <f>Lehrpersonen!H29</f>
        <v>0</v>
      </c>
      <c r="I29" s="768">
        <f>Lehrpersonen!J29</f>
        <v>0</v>
      </c>
      <c r="J29" s="768">
        <f>Lehrpersonen!K29</f>
        <v>0</v>
      </c>
      <c r="K29" s="769">
        <f>Lehrpersonen!L29</f>
        <v>0</v>
      </c>
      <c r="L29" s="768">
        <f>Lehrpersonen!M29</f>
        <v>0</v>
      </c>
      <c r="M29" s="768">
        <f>Lehrpersonen!O29</f>
        <v>0</v>
      </c>
      <c r="N29" s="768">
        <f>Lehrpersonen!I29</f>
        <v>0</v>
      </c>
      <c r="O29" s="770">
        <f>Lehrpersonen!G29</f>
        <v>0</v>
      </c>
      <c r="Q29" s="549"/>
    </row>
    <row r="30" spans="1:17" ht="23.25" customHeight="1" x14ac:dyDescent="0.25">
      <c r="A30" s="776">
        <f>Lehrpersonen!A30</f>
        <v>0</v>
      </c>
      <c r="B30" s="777">
        <f>Lehrpersonen!B30</f>
        <v>0</v>
      </c>
      <c r="C30" s="778">
        <f>Lehrpersonen!C30</f>
        <v>0</v>
      </c>
      <c r="D30" s="779">
        <f>Lehrpersonen!D30</f>
        <v>0</v>
      </c>
      <c r="E30" s="654"/>
      <c r="F30" s="766">
        <f>Lehrpersonen!Q30</f>
        <v>0</v>
      </c>
      <c r="G30" s="767"/>
      <c r="H30" s="768">
        <f>Lehrpersonen!H30</f>
        <v>0</v>
      </c>
      <c r="I30" s="768">
        <f>Lehrpersonen!J30</f>
        <v>0</v>
      </c>
      <c r="J30" s="768">
        <f>Lehrpersonen!K30</f>
        <v>0</v>
      </c>
      <c r="K30" s="769">
        <f>Lehrpersonen!L30</f>
        <v>0</v>
      </c>
      <c r="L30" s="768">
        <f>Lehrpersonen!M30</f>
        <v>0</v>
      </c>
      <c r="M30" s="768">
        <f>Lehrpersonen!O30</f>
        <v>0</v>
      </c>
      <c r="N30" s="768">
        <f>Lehrpersonen!I30</f>
        <v>0</v>
      </c>
      <c r="O30" s="770">
        <f>Lehrpersonen!G30</f>
        <v>0</v>
      </c>
      <c r="Q30" s="549"/>
    </row>
    <row r="31" spans="1:17" ht="23.25" customHeight="1" x14ac:dyDescent="0.25">
      <c r="A31" s="776">
        <f>Lehrpersonen!A31</f>
        <v>0</v>
      </c>
      <c r="B31" s="777">
        <f>Lehrpersonen!B31</f>
        <v>0</v>
      </c>
      <c r="C31" s="778">
        <f>Lehrpersonen!C31</f>
        <v>0</v>
      </c>
      <c r="D31" s="779">
        <f>Lehrpersonen!D31</f>
        <v>0</v>
      </c>
      <c r="E31" s="654"/>
      <c r="F31" s="766">
        <f>Lehrpersonen!Q31</f>
        <v>0</v>
      </c>
      <c r="G31" s="767"/>
      <c r="H31" s="768">
        <f>Lehrpersonen!H31</f>
        <v>0</v>
      </c>
      <c r="I31" s="768">
        <f>Lehrpersonen!J31</f>
        <v>0</v>
      </c>
      <c r="J31" s="768">
        <f>Lehrpersonen!K31</f>
        <v>0</v>
      </c>
      <c r="K31" s="769">
        <f>Lehrpersonen!L31</f>
        <v>0</v>
      </c>
      <c r="L31" s="768">
        <f>Lehrpersonen!M31</f>
        <v>0</v>
      </c>
      <c r="M31" s="768">
        <f>Lehrpersonen!O31</f>
        <v>0</v>
      </c>
      <c r="N31" s="768">
        <f>Lehrpersonen!I31</f>
        <v>0</v>
      </c>
      <c r="O31" s="770">
        <f>Lehrpersonen!G31</f>
        <v>0</v>
      </c>
      <c r="Q31" s="549"/>
    </row>
    <row r="32" spans="1:17" ht="23.25" customHeight="1" x14ac:dyDescent="0.25">
      <c r="A32" s="776">
        <f>Lehrpersonen!A32</f>
        <v>0</v>
      </c>
      <c r="B32" s="777">
        <f>Lehrpersonen!B32</f>
        <v>0</v>
      </c>
      <c r="C32" s="778">
        <f>Lehrpersonen!C32</f>
        <v>0</v>
      </c>
      <c r="D32" s="779">
        <f>Lehrpersonen!D32</f>
        <v>0</v>
      </c>
      <c r="E32" s="654"/>
      <c r="F32" s="766">
        <f>Lehrpersonen!Q32</f>
        <v>0</v>
      </c>
      <c r="G32" s="767"/>
      <c r="H32" s="768">
        <f>Lehrpersonen!H32</f>
        <v>0</v>
      </c>
      <c r="I32" s="768">
        <f>Lehrpersonen!J32</f>
        <v>0</v>
      </c>
      <c r="J32" s="768">
        <f>Lehrpersonen!K32</f>
        <v>0</v>
      </c>
      <c r="K32" s="769">
        <f>Lehrpersonen!L32</f>
        <v>0</v>
      </c>
      <c r="L32" s="768">
        <f>Lehrpersonen!M32</f>
        <v>0</v>
      </c>
      <c r="M32" s="768">
        <f>Lehrpersonen!O32</f>
        <v>0</v>
      </c>
      <c r="N32" s="768">
        <f>Lehrpersonen!I32</f>
        <v>0</v>
      </c>
      <c r="O32" s="770">
        <f>Lehrpersonen!G32</f>
        <v>0</v>
      </c>
      <c r="Q32" s="549"/>
    </row>
    <row r="33" spans="1:17" ht="23.25" customHeight="1" x14ac:dyDescent="0.25">
      <c r="A33" s="776">
        <f>Lehrpersonen!A33</f>
        <v>0</v>
      </c>
      <c r="B33" s="777">
        <f>Lehrpersonen!B33</f>
        <v>0</v>
      </c>
      <c r="C33" s="778">
        <f>Lehrpersonen!C33</f>
        <v>0</v>
      </c>
      <c r="D33" s="779">
        <f>Lehrpersonen!D33</f>
        <v>0</v>
      </c>
      <c r="E33" s="654"/>
      <c r="F33" s="766">
        <f>Lehrpersonen!Q33</f>
        <v>0</v>
      </c>
      <c r="G33" s="767"/>
      <c r="H33" s="768">
        <f>Lehrpersonen!H33</f>
        <v>0</v>
      </c>
      <c r="I33" s="768">
        <f>Lehrpersonen!J33</f>
        <v>0</v>
      </c>
      <c r="J33" s="768">
        <f>Lehrpersonen!K33</f>
        <v>0</v>
      </c>
      <c r="K33" s="769">
        <f>Lehrpersonen!L33</f>
        <v>0</v>
      </c>
      <c r="L33" s="768">
        <f>Lehrpersonen!M33</f>
        <v>0</v>
      </c>
      <c r="M33" s="768">
        <f>Lehrpersonen!O33</f>
        <v>0</v>
      </c>
      <c r="N33" s="768">
        <f>Lehrpersonen!I33</f>
        <v>0</v>
      </c>
      <c r="O33" s="770">
        <f>Lehrpersonen!G33</f>
        <v>0</v>
      </c>
      <c r="Q33" s="549"/>
    </row>
    <row r="34" spans="1:17" ht="23.25" customHeight="1" x14ac:dyDescent="0.25">
      <c r="A34" s="776">
        <f>Lehrpersonen!A34</f>
        <v>0</v>
      </c>
      <c r="B34" s="777">
        <f>Lehrpersonen!B34</f>
        <v>0</v>
      </c>
      <c r="C34" s="778">
        <f>Lehrpersonen!C34</f>
        <v>0</v>
      </c>
      <c r="D34" s="779">
        <f>Lehrpersonen!D34</f>
        <v>0</v>
      </c>
      <c r="E34" s="654"/>
      <c r="F34" s="766">
        <f>Lehrpersonen!Q34</f>
        <v>0</v>
      </c>
      <c r="G34" s="767"/>
      <c r="H34" s="768">
        <f>Lehrpersonen!H34</f>
        <v>0</v>
      </c>
      <c r="I34" s="768">
        <f>Lehrpersonen!J34</f>
        <v>0</v>
      </c>
      <c r="J34" s="768">
        <f>Lehrpersonen!K34</f>
        <v>0</v>
      </c>
      <c r="K34" s="769">
        <f>Lehrpersonen!L34</f>
        <v>0</v>
      </c>
      <c r="L34" s="768">
        <f>Lehrpersonen!M34</f>
        <v>0</v>
      </c>
      <c r="M34" s="768">
        <f>Lehrpersonen!O34</f>
        <v>0</v>
      </c>
      <c r="N34" s="768">
        <f>Lehrpersonen!I34</f>
        <v>0</v>
      </c>
      <c r="O34" s="770">
        <f>Lehrpersonen!G34</f>
        <v>0</v>
      </c>
      <c r="Q34" s="549"/>
    </row>
    <row r="35" spans="1:17" ht="23.25" customHeight="1" x14ac:dyDescent="0.25">
      <c r="A35" s="776">
        <f>Lehrpersonen!A35</f>
        <v>0</v>
      </c>
      <c r="B35" s="777">
        <f>Lehrpersonen!B35</f>
        <v>0</v>
      </c>
      <c r="C35" s="778">
        <f>Lehrpersonen!C35</f>
        <v>0</v>
      </c>
      <c r="D35" s="779">
        <f>Lehrpersonen!D35</f>
        <v>0</v>
      </c>
      <c r="E35" s="654"/>
      <c r="F35" s="766">
        <f>Lehrpersonen!Q35</f>
        <v>0</v>
      </c>
      <c r="G35" s="767"/>
      <c r="H35" s="768">
        <f>Lehrpersonen!H35</f>
        <v>0</v>
      </c>
      <c r="I35" s="768">
        <f>Lehrpersonen!J35</f>
        <v>0</v>
      </c>
      <c r="J35" s="768">
        <f>Lehrpersonen!K35</f>
        <v>0</v>
      </c>
      <c r="K35" s="769">
        <f>Lehrpersonen!L35</f>
        <v>0</v>
      </c>
      <c r="L35" s="768">
        <f>Lehrpersonen!M35</f>
        <v>0</v>
      </c>
      <c r="M35" s="768">
        <f>Lehrpersonen!O35</f>
        <v>0</v>
      </c>
      <c r="N35" s="768">
        <f>Lehrpersonen!I35</f>
        <v>0</v>
      </c>
      <c r="O35" s="770">
        <f>Lehrpersonen!G35</f>
        <v>0</v>
      </c>
      <c r="Q35" s="549"/>
    </row>
    <row r="36" spans="1:17" ht="23.25" customHeight="1" x14ac:dyDescent="0.25">
      <c r="A36" s="776">
        <f>Lehrpersonen!A36</f>
        <v>0</v>
      </c>
      <c r="B36" s="777">
        <f>Lehrpersonen!B36</f>
        <v>0</v>
      </c>
      <c r="C36" s="778">
        <f>Lehrpersonen!C36</f>
        <v>0</v>
      </c>
      <c r="D36" s="779">
        <f>Lehrpersonen!D36</f>
        <v>0</v>
      </c>
      <c r="E36" s="654"/>
      <c r="F36" s="766">
        <f>Lehrpersonen!Q36</f>
        <v>0</v>
      </c>
      <c r="G36" s="767"/>
      <c r="H36" s="768">
        <f>Lehrpersonen!H36</f>
        <v>0</v>
      </c>
      <c r="I36" s="768">
        <f>Lehrpersonen!J36</f>
        <v>0</v>
      </c>
      <c r="J36" s="768">
        <f>Lehrpersonen!K36</f>
        <v>0</v>
      </c>
      <c r="K36" s="769">
        <f>Lehrpersonen!L36</f>
        <v>0</v>
      </c>
      <c r="L36" s="768">
        <f>Lehrpersonen!M36</f>
        <v>0</v>
      </c>
      <c r="M36" s="768">
        <f>Lehrpersonen!O36</f>
        <v>0</v>
      </c>
      <c r="N36" s="768">
        <f>Lehrpersonen!I36</f>
        <v>0</v>
      </c>
      <c r="O36" s="770">
        <f>Lehrpersonen!G36</f>
        <v>0</v>
      </c>
      <c r="Q36" s="549"/>
    </row>
    <row r="37" spans="1:17" ht="23.25" customHeight="1" x14ac:dyDescent="0.25">
      <c r="A37" s="776">
        <f>Lehrpersonen!A37</f>
        <v>0</v>
      </c>
      <c r="B37" s="777">
        <f>Lehrpersonen!B37</f>
        <v>0</v>
      </c>
      <c r="C37" s="778">
        <f>Lehrpersonen!C37</f>
        <v>0</v>
      </c>
      <c r="D37" s="779">
        <f>Lehrpersonen!D37</f>
        <v>0</v>
      </c>
      <c r="E37" s="654"/>
      <c r="F37" s="766">
        <f>Lehrpersonen!Q37</f>
        <v>0</v>
      </c>
      <c r="G37" s="767"/>
      <c r="H37" s="768">
        <f>Lehrpersonen!H37</f>
        <v>0</v>
      </c>
      <c r="I37" s="768">
        <f>Lehrpersonen!J37</f>
        <v>0</v>
      </c>
      <c r="J37" s="768">
        <f>Lehrpersonen!K37</f>
        <v>0</v>
      </c>
      <c r="K37" s="769">
        <f>Lehrpersonen!L37</f>
        <v>0</v>
      </c>
      <c r="L37" s="768">
        <f>Lehrpersonen!M37</f>
        <v>0</v>
      </c>
      <c r="M37" s="768">
        <f>Lehrpersonen!O37</f>
        <v>0</v>
      </c>
      <c r="N37" s="768">
        <f>Lehrpersonen!I37</f>
        <v>0</v>
      </c>
      <c r="O37" s="770">
        <f>Lehrpersonen!G37</f>
        <v>0</v>
      </c>
      <c r="Q37" s="549"/>
    </row>
    <row r="38" spans="1:17" ht="23.25" customHeight="1" x14ac:dyDescent="0.25">
      <c r="A38" s="776">
        <f>Lehrpersonen!A38</f>
        <v>0</v>
      </c>
      <c r="B38" s="777">
        <f>Lehrpersonen!B38</f>
        <v>0</v>
      </c>
      <c r="C38" s="778">
        <f>Lehrpersonen!C38</f>
        <v>0</v>
      </c>
      <c r="D38" s="779">
        <f>Lehrpersonen!D38</f>
        <v>0</v>
      </c>
      <c r="E38" s="654"/>
      <c r="F38" s="766">
        <f>Lehrpersonen!Q38</f>
        <v>0</v>
      </c>
      <c r="G38" s="767"/>
      <c r="H38" s="768">
        <f>Lehrpersonen!H38</f>
        <v>0</v>
      </c>
      <c r="I38" s="768">
        <f>Lehrpersonen!J38</f>
        <v>0</v>
      </c>
      <c r="J38" s="768">
        <f>Lehrpersonen!K38</f>
        <v>0</v>
      </c>
      <c r="K38" s="769">
        <f>Lehrpersonen!L38</f>
        <v>0</v>
      </c>
      <c r="L38" s="768">
        <f>Lehrpersonen!M38</f>
        <v>0</v>
      </c>
      <c r="M38" s="768">
        <f>Lehrpersonen!O38</f>
        <v>0</v>
      </c>
      <c r="N38" s="768">
        <f>Lehrpersonen!I38</f>
        <v>0</v>
      </c>
      <c r="O38" s="770">
        <f>Lehrpersonen!G38</f>
        <v>0</v>
      </c>
      <c r="Q38" s="549"/>
    </row>
    <row r="39" spans="1:17" ht="23.25" customHeight="1" x14ac:dyDescent="0.25">
      <c r="A39" s="776">
        <f>Lehrpersonen!A39</f>
        <v>0</v>
      </c>
      <c r="B39" s="777">
        <f>Lehrpersonen!B39</f>
        <v>0</v>
      </c>
      <c r="C39" s="778">
        <f>Lehrpersonen!C39</f>
        <v>0</v>
      </c>
      <c r="D39" s="779">
        <f>Lehrpersonen!D39</f>
        <v>0</v>
      </c>
      <c r="E39" s="654"/>
      <c r="F39" s="766">
        <f>Lehrpersonen!Q39</f>
        <v>0</v>
      </c>
      <c r="G39" s="767"/>
      <c r="H39" s="768">
        <f>Lehrpersonen!H39</f>
        <v>0</v>
      </c>
      <c r="I39" s="768">
        <f>Lehrpersonen!J39</f>
        <v>0</v>
      </c>
      <c r="J39" s="768">
        <f>Lehrpersonen!K39</f>
        <v>0</v>
      </c>
      <c r="K39" s="769">
        <f>Lehrpersonen!L39</f>
        <v>0</v>
      </c>
      <c r="L39" s="768">
        <f>Lehrpersonen!M39</f>
        <v>0</v>
      </c>
      <c r="M39" s="768">
        <f>Lehrpersonen!O39</f>
        <v>0</v>
      </c>
      <c r="N39" s="768">
        <f>Lehrpersonen!I39</f>
        <v>0</v>
      </c>
      <c r="O39" s="770">
        <f>Lehrpersonen!G39</f>
        <v>0</v>
      </c>
      <c r="Q39" s="549"/>
    </row>
    <row r="40" spans="1:17" ht="23.25" customHeight="1" x14ac:dyDescent="0.25">
      <c r="A40" s="776">
        <f>Lehrpersonen!A40</f>
        <v>0</v>
      </c>
      <c r="B40" s="777">
        <f>Lehrpersonen!B40</f>
        <v>0</v>
      </c>
      <c r="C40" s="778">
        <f>Lehrpersonen!C40</f>
        <v>0</v>
      </c>
      <c r="D40" s="779">
        <f>Lehrpersonen!D40</f>
        <v>0</v>
      </c>
      <c r="E40" s="654"/>
      <c r="F40" s="766">
        <f>Lehrpersonen!Q40</f>
        <v>0</v>
      </c>
      <c r="G40" s="767"/>
      <c r="H40" s="768">
        <f>Lehrpersonen!H40</f>
        <v>0</v>
      </c>
      <c r="I40" s="768">
        <f>Lehrpersonen!J40</f>
        <v>0</v>
      </c>
      <c r="J40" s="768">
        <f>Lehrpersonen!K40</f>
        <v>0</v>
      </c>
      <c r="K40" s="769">
        <f>Lehrpersonen!L40</f>
        <v>0</v>
      </c>
      <c r="L40" s="768">
        <f>Lehrpersonen!M40</f>
        <v>0</v>
      </c>
      <c r="M40" s="768">
        <f>Lehrpersonen!O40</f>
        <v>0</v>
      </c>
      <c r="N40" s="768">
        <f>Lehrpersonen!I40</f>
        <v>0</v>
      </c>
      <c r="O40" s="770">
        <f>Lehrpersonen!G40</f>
        <v>0</v>
      </c>
      <c r="Q40" s="549"/>
    </row>
    <row r="41" spans="1:17" ht="23.25" customHeight="1" x14ac:dyDescent="0.25">
      <c r="A41" s="776">
        <f>Lehrpersonen!A41</f>
        <v>0</v>
      </c>
      <c r="B41" s="777">
        <f>Lehrpersonen!B41</f>
        <v>0</v>
      </c>
      <c r="C41" s="778">
        <f>Lehrpersonen!C41</f>
        <v>0</v>
      </c>
      <c r="D41" s="779">
        <f>Lehrpersonen!D41</f>
        <v>0</v>
      </c>
      <c r="E41" s="654"/>
      <c r="F41" s="766">
        <f>Lehrpersonen!Q41</f>
        <v>0</v>
      </c>
      <c r="G41" s="767"/>
      <c r="H41" s="768">
        <f>Lehrpersonen!H41</f>
        <v>0</v>
      </c>
      <c r="I41" s="768">
        <f>Lehrpersonen!J41</f>
        <v>0</v>
      </c>
      <c r="J41" s="768">
        <f>Lehrpersonen!K41</f>
        <v>0</v>
      </c>
      <c r="K41" s="769">
        <f>Lehrpersonen!L41</f>
        <v>0</v>
      </c>
      <c r="L41" s="768">
        <f>Lehrpersonen!M41</f>
        <v>0</v>
      </c>
      <c r="M41" s="768">
        <f>Lehrpersonen!O41</f>
        <v>0</v>
      </c>
      <c r="N41" s="768">
        <f>Lehrpersonen!I41</f>
        <v>0</v>
      </c>
      <c r="O41" s="770">
        <f>Lehrpersonen!G41</f>
        <v>0</v>
      </c>
      <c r="Q41" s="549"/>
    </row>
    <row r="42" spans="1:17" ht="23.25" customHeight="1" x14ac:dyDescent="0.25">
      <c r="A42" s="776">
        <f>Lehrpersonen!A42</f>
        <v>0</v>
      </c>
      <c r="B42" s="777">
        <f>Lehrpersonen!B42</f>
        <v>0</v>
      </c>
      <c r="C42" s="778">
        <f>Lehrpersonen!C42</f>
        <v>0</v>
      </c>
      <c r="D42" s="779">
        <f>Lehrpersonen!D42</f>
        <v>0</v>
      </c>
      <c r="E42" s="654"/>
      <c r="F42" s="766">
        <f>Lehrpersonen!Q42</f>
        <v>0</v>
      </c>
      <c r="G42" s="767"/>
      <c r="H42" s="768">
        <f>Lehrpersonen!H42</f>
        <v>0</v>
      </c>
      <c r="I42" s="768">
        <f>Lehrpersonen!J42</f>
        <v>0</v>
      </c>
      <c r="J42" s="768">
        <f>Lehrpersonen!K42</f>
        <v>0</v>
      </c>
      <c r="K42" s="769">
        <f>Lehrpersonen!L42</f>
        <v>0</v>
      </c>
      <c r="L42" s="768">
        <f>Lehrpersonen!M42</f>
        <v>0</v>
      </c>
      <c r="M42" s="768">
        <f>Lehrpersonen!O42</f>
        <v>0</v>
      </c>
      <c r="N42" s="768">
        <f>Lehrpersonen!I42</f>
        <v>0</v>
      </c>
      <c r="O42" s="770">
        <f>Lehrpersonen!G42</f>
        <v>0</v>
      </c>
      <c r="Q42" s="549"/>
    </row>
    <row r="43" spans="1:17" ht="23.25" customHeight="1" x14ac:dyDescent="0.25">
      <c r="A43" s="776">
        <f>Lehrpersonen!A43</f>
        <v>0</v>
      </c>
      <c r="B43" s="777">
        <f>Lehrpersonen!B43</f>
        <v>0</v>
      </c>
      <c r="C43" s="778">
        <f>Lehrpersonen!C43</f>
        <v>0</v>
      </c>
      <c r="D43" s="779">
        <f>Lehrpersonen!D43</f>
        <v>0</v>
      </c>
      <c r="E43" s="654"/>
      <c r="F43" s="766">
        <f>Lehrpersonen!Q43</f>
        <v>0</v>
      </c>
      <c r="G43" s="767"/>
      <c r="H43" s="768">
        <f>Lehrpersonen!H43</f>
        <v>0</v>
      </c>
      <c r="I43" s="768">
        <f>Lehrpersonen!J43</f>
        <v>0</v>
      </c>
      <c r="J43" s="768">
        <f>Lehrpersonen!K43</f>
        <v>0</v>
      </c>
      <c r="K43" s="769">
        <f>Lehrpersonen!L43</f>
        <v>0</v>
      </c>
      <c r="L43" s="768">
        <f>Lehrpersonen!M43</f>
        <v>0</v>
      </c>
      <c r="M43" s="768">
        <f>Lehrpersonen!O43</f>
        <v>0</v>
      </c>
      <c r="N43" s="768">
        <f>Lehrpersonen!I43</f>
        <v>0</v>
      </c>
      <c r="O43" s="770">
        <f>Lehrpersonen!G43</f>
        <v>0</v>
      </c>
      <c r="Q43" s="549"/>
    </row>
    <row r="44" spans="1:17" ht="23.25" customHeight="1" x14ac:dyDescent="0.25">
      <c r="A44" s="776">
        <f>Lehrpersonen!A44</f>
        <v>0</v>
      </c>
      <c r="B44" s="777">
        <f>Lehrpersonen!B44</f>
        <v>0</v>
      </c>
      <c r="C44" s="778">
        <f>Lehrpersonen!C44</f>
        <v>0</v>
      </c>
      <c r="D44" s="779">
        <f>Lehrpersonen!D44</f>
        <v>0</v>
      </c>
      <c r="E44" s="654"/>
      <c r="F44" s="766">
        <f>Lehrpersonen!Q44</f>
        <v>0</v>
      </c>
      <c r="G44" s="767"/>
      <c r="H44" s="768">
        <f>Lehrpersonen!H44</f>
        <v>0</v>
      </c>
      <c r="I44" s="768">
        <f>Lehrpersonen!J44</f>
        <v>0</v>
      </c>
      <c r="J44" s="768">
        <f>Lehrpersonen!K44</f>
        <v>0</v>
      </c>
      <c r="K44" s="769">
        <f>Lehrpersonen!L44</f>
        <v>0</v>
      </c>
      <c r="L44" s="768">
        <f>Lehrpersonen!M44</f>
        <v>0</v>
      </c>
      <c r="M44" s="768">
        <f>Lehrpersonen!O44</f>
        <v>0</v>
      </c>
      <c r="N44" s="768">
        <f>Lehrpersonen!I44</f>
        <v>0</v>
      </c>
      <c r="O44" s="770">
        <f>Lehrpersonen!G44</f>
        <v>0</v>
      </c>
      <c r="Q44" s="549"/>
    </row>
    <row r="45" spans="1:17" ht="23.25" customHeight="1" x14ac:dyDescent="0.25">
      <c r="A45" s="776">
        <f>Lehrpersonen!A45</f>
        <v>0</v>
      </c>
      <c r="B45" s="777">
        <f>Lehrpersonen!B45</f>
        <v>0</v>
      </c>
      <c r="C45" s="778">
        <f>Lehrpersonen!C45</f>
        <v>0</v>
      </c>
      <c r="D45" s="779">
        <f>Lehrpersonen!D45</f>
        <v>0</v>
      </c>
      <c r="E45" s="654"/>
      <c r="F45" s="766">
        <f>Lehrpersonen!Q45</f>
        <v>0</v>
      </c>
      <c r="G45" s="767"/>
      <c r="H45" s="768">
        <f>Lehrpersonen!H45</f>
        <v>0</v>
      </c>
      <c r="I45" s="768">
        <f>Lehrpersonen!J45</f>
        <v>0</v>
      </c>
      <c r="J45" s="768">
        <f>Lehrpersonen!K45</f>
        <v>0</v>
      </c>
      <c r="K45" s="769">
        <f>Lehrpersonen!L45</f>
        <v>0</v>
      </c>
      <c r="L45" s="768">
        <f>Lehrpersonen!M45</f>
        <v>0</v>
      </c>
      <c r="M45" s="768">
        <f>Lehrpersonen!O45</f>
        <v>0</v>
      </c>
      <c r="N45" s="768">
        <f>Lehrpersonen!I45</f>
        <v>0</v>
      </c>
      <c r="O45" s="770">
        <f>Lehrpersonen!G45</f>
        <v>0</v>
      </c>
      <c r="Q45" s="549"/>
    </row>
    <row r="46" spans="1:17" ht="23.25" customHeight="1" x14ac:dyDescent="0.25">
      <c r="A46" s="776">
        <f>Lehrpersonen!A46</f>
        <v>0</v>
      </c>
      <c r="B46" s="777">
        <f>Lehrpersonen!B46</f>
        <v>0</v>
      </c>
      <c r="C46" s="778">
        <f>Lehrpersonen!C46</f>
        <v>0</v>
      </c>
      <c r="D46" s="779">
        <f>Lehrpersonen!D46</f>
        <v>0</v>
      </c>
      <c r="E46" s="654"/>
      <c r="F46" s="766">
        <f>Lehrpersonen!Q46</f>
        <v>0</v>
      </c>
      <c r="G46" s="767"/>
      <c r="H46" s="768">
        <f>Lehrpersonen!H46</f>
        <v>0</v>
      </c>
      <c r="I46" s="768">
        <f>Lehrpersonen!J46</f>
        <v>0</v>
      </c>
      <c r="J46" s="768">
        <f>Lehrpersonen!K46</f>
        <v>0</v>
      </c>
      <c r="K46" s="769">
        <f>Lehrpersonen!L46</f>
        <v>0</v>
      </c>
      <c r="L46" s="768">
        <f>Lehrpersonen!M46</f>
        <v>0</v>
      </c>
      <c r="M46" s="768">
        <f>Lehrpersonen!O46</f>
        <v>0</v>
      </c>
      <c r="N46" s="768">
        <f>Lehrpersonen!I46</f>
        <v>0</v>
      </c>
      <c r="O46" s="770">
        <f>Lehrpersonen!G46</f>
        <v>0</v>
      </c>
      <c r="Q46" s="549"/>
    </row>
    <row r="47" spans="1:17" ht="23.25" customHeight="1" x14ac:dyDescent="0.25">
      <c r="A47" s="776">
        <f>Lehrpersonen!A47</f>
        <v>0</v>
      </c>
      <c r="B47" s="777">
        <f>Lehrpersonen!B47</f>
        <v>0</v>
      </c>
      <c r="C47" s="778">
        <f>Lehrpersonen!C47</f>
        <v>0</v>
      </c>
      <c r="D47" s="779">
        <f>Lehrpersonen!D47</f>
        <v>0</v>
      </c>
      <c r="E47" s="654"/>
      <c r="F47" s="766">
        <f>Lehrpersonen!Q47</f>
        <v>0</v>
      </c>
      <c r="G47" s="767"/>
      <c r="H47" s="768">
        <f>Lehrpersonen!H47</f>
        <v>0</v>
      </c>
      <c r="I47" s="768">
        <f>Lehrpersonen!J47</f>
        <v>0</v>
      </c>
      <c r="J47" s="768">
        <f>Lehrpersonen!K47</f>
        <v>0</v>
      </c>
      <c r="K47" s="769">
        <f>Lehrpersonen!L47</f>
        <v>0</v>
      </c>
      <c r="L47" s="768">
        <f>Lehrpersonen!M47</f>
        <v>0</v>
      </c>
      <c r="M47" s="768">
        <f>Lehrpersonen!O47</f>
        <v>0</v>
      </c>
      <c r="N47" s="768">
        <f>Lehrpersonen!I47</f>
        <v>0</v>
      </c>
      <c r="O47" s="770">
        <f>Lehrpersonen!G47</f>
        <v>0</v>
      </c>
      <c r="Q47" s="549"/>
    </row>
    <row r="48" spans="1:17" ht="23.25" customHeight="1" x14ac:dyDescent="0.25">
      <c r="A48" s="776">
        <f>Lehrpersonen!A48</f>
        <v>0</v>
      </c>
      <c r="B48" s="777">
        <f>Lehrpersonen!B48</f>
        <v>0</v>
      </c>
      <c r="C48" s="778">
        <f>Lehrpersonen!C48</f>
        <v>0</v>
      </c>
      <c r="D48" s="779">
        <f>Lehrpersonen!D48</f>
        <v>0</v>
      </c>
      <c r="E48" s="654"/>
      <c r="F48" s="766">
        <f>Lehrpersonen!Q48</f>
        <v>0</v>
      </c>
      <c r="G48" s="767"/>
      <c r="H48" s="768">
        <f>Lehrpersonen!H48</f>
        <v>0</v>
      </c>
      <c r="I48" s="768">
        <f>Lehrpersonen!J48</f>
        <v>0</v>
      </c>
      <c r="J48" s="768">
        <f>Lehrpersonen!K48</f>
        <v>0</v>
      </c>
      <c r="K48" s="769">
        <f>Lehrpersonen!L48</f>
        <v>0</v>
      </c>
      <c r="L48" s="768">
        <f>Lehrpersonen!M48</f>
        <v>0</v>
      </c>
      <c r="M48" s="768">
        <f>Lehrpersonen!O48</f>
        <v>0</v>
      </c>
      <c r="N48" s="768">
        <f>Lehrpersonen!I48</f>
        <v>0</v>
      </c>
      <c r="O48" s="770">
        <f>Lehrpersonen!G48</f>
        <v>0</v>
      </c>
      <c r="Q48" s="549"/>
    </row>
    <row r="49" spans="1:17" ht="23.25" customHeight="1" x14ac:dyDescent="0.25">
      <c r="A49" s="776">
        <f>Lehrpersonen!A49</f>
        <v>0</v>
      </c>
      <c r="B49" s="777">
        <f>Lehrpersonen!B49</f>
        <v>0</v>
      </c>
      <c r="C49" s="778">
        <f>Lehrpersonen!C49</f>
        <v>0</v>
      </c>
      <c r="D49" s="779">
        <f>Lehrpersonen!D49</f>
        <v>0</v>
      </c>
      <c r="E49" s="654"/>
      <c r="F49" s="766">
        <f>Lehrpersonen!Q49</f>
        <v>0</v>
      </c>
      <c r="G49" s="767"/>
      <c r="H49" s="768">
        <f>Lehrpersonen!H49</f>
        <v>0</v>
      </c>
      <c r="I49" s="768">
        <f>Lehrpersonen!J49</f>
        <v>0</v>
      </c>
      <c r="J49" s="768">
        <f>Lehrpersonen!K49</f>
        <v>0</v>
      </c>
      <c r="K49" s="769">
        <f>Lehrpersonen!L49</f>
        <v>0</v>
      </c>
      <c r="L49" s="768">
        <f>Lehrpersonen!M49</f>
        <v>0</v>
      </c>
      <c r="M49" s="768">
        <f>Lehrpersonen!O49</f>
        <v>0</v>
      </c>
      <c r="N49" s="768">
        <f>Lehrpersonen!I49</f>
        <v>0</v>
      </c>
      <c r="O49" s="770">
        <f>Lehrpersonen!G49</f>
        <v>0</v>
      </c>
      <c r="Q49" s="549"/>
    </row>
    <row r="50" spans="1:17" ht="23.25" customHeight="1" x14ac:dyDescent="0.25">
      <c r="A50" s="776">
        <f>Lehrpersonen!A50</f>
        <v>0</v>
      </c>
      <c r="B50" s="777">
        <f>Lehrpersonen!B50</f>
        <v>0</v>
      </c>
      <c r="C50" s="778">
        <f>Lehrpersonen!C50</f>
        <v>0</v>
      </c>
      <c r="D50" s="779">
        <f>Lehrpersonen!D50</f>
        <v>0</v>
      </c>
      <c r="E50" s="654"/>
      <c r="F50" s="766">
        <f>Lehrpersonen!Q50</f>
        <v>0</v>
      </c>
      <c r="G50" s="767"/>
      <c r="H50" s="768">
        <f>Lehrpersonen!H50</f>
        <v>0</v>
      </c>
      <c r="I50" s="768">
        <f>Lehrpersonen!J50</f>
        <v>0</v>
      </c>
      <c r="J50" s="768">
        <f>Lehrpersonen!K50</f>
        <v>0</v>
      </c>
      <c r="K50" s="769">
        <f>Lehrpersonen!L50</f>
        <v>0</v>
      </c>
      <c r="L50" s="768">
        <f>Lehrpersonen!M50</f>
        <v>0</v>
      </c>
      <c r="M50" s="768">
        <f>Lehrpersonen!O50</f>
        <v>0</v>
      </c>
      <c r="N50" s="768">
        <f>Lehrpersonen!I50</f>
        <v>0</v>
      </c>
      <c r="O50" s="770">
        <f>Lehrpersonen!G50</f>
        <v>0</v>
      </c>
      <c r="Q50" s="549"/>
    </row>
    <row r="51" spans="1:17" ht="23.25" customHeight="1" x14ac:dyDescent="0.25">
      <c r="A51" s="776">
        <f>Lehrpersonen!A51</f>
        <v>0</v>
      </c>
      <c r="B51" s="777">
        <f>Lehrpersonen!B51</f>
        <v>0</v>
      </c>
      <c r="C51" s="778">
        <f>Lehrpersonen!C51</f>
        <v>0</v>
      </c>
      <c r="D51" s="779">
        <f>Lehrpersonen!D51</f>
        <v>0</v>
      </c>
      <c r="E51" s="654"/>
      <c r="F51" s="766">
        <f>Lehrpersonen!Q51</f>
        <v>0</v>
      </c>
      <c r="G51" s="767"/>
      <c r="H51" s="768">
        <f>Lehrpersonen!H51</f>
        <v>0</v>
      </c>
      <c r="I51" s="768">
        <f>Lehrpersonen!J51</f>
        <v>0</v>
      </c>
      <c r="J51" s="768">
        <f>Lehrpersonen!K51</f>
        <v>0</v>
      </c>
      <c r="K51" s="769">
        <f>Lehrpersonen!L51</f>
        <v>0</v>
      </c>
      <c r="L51" s="768">
        <f>Lehrpersonen!M51</f>
        <v>0</v>
      </c>
      <c r="M51" s="768">
        <f>Lehrpersonen!O51</f>
        <v>0</v>
      </c>
      <c r="N51" s="768">
        <f>Lehrpersonen!I51</f>
        <v>0</v>
      </c>
      <c r="O51" s="770">
        <f>Lehrpersonen!G51</f>
        <v>0</v>
      </c>
      <c r="Q51" s="549"/>
    </row>
    <row r="52" spans="1:17" ht="23.25" customHeight="1" x14ac:dyDescent="0.25">
      <c r="A52" s="776">
        <f>Lehrpersonen!A52</f>
        <v>0</v>
      </c>
      <c r="B52" s="777">
        <f>Lehrpersonen!B52</f>
        <v>0</v>
      </c>
      <c r="C52" s="778">
        <f>Lehrpersonen!C52</f>
        <v>0</v>
      </c>
      <c r="D52" s="779">
        <f>Lehrpersonen!D52</f>
        <v>0</v>
      </c>
      <c r="E52" s="654"/>
      <c r="F52" s="766">
        <f>Lehrpersonen!Q52</f>
        <v>0</v>
      </c>
      <c r="G52" s="767"/>
      <c r="H52" s="768">
        <f>Lehrpersonen!H52</f>
        <v>0</v>
      </c>
      <c r="I52" s="768">
        <f>Lehrpersonen!J52</f>
        <v>0</v>
      </c>
      <c r="J52" s="768">
        <f>Lehrpersonen!K52</f>
        <v>0</v>
      </c>
      <c r="K52" s="769">
        <f>Lehrpersonen!L52</f>
        <v>0</v>
      </c>
      <c r="L52" s="768">
        <f>Lehrpersonen!M52</f>
        <v>0</v>
      </c>
      <c r="M52" s="768">
        <f>Lehrpersonen!O52</f>
        <v>0</v>
      </c>
      <c r="N52" s="768">
        <f>Lehrpersonen!I52</f>
        <v>0</v>
      </c>
      <c r="O52" s="770">
        <f>Lehrpersonen!G52</f>
        <v>0</v>
      </c>
      <c r="Q52" s="549"/>
    </row>
    <row r="53" spans="1:17" ht="23.25" customHeight="1" x14ac:dyDescent="0.25">
      <c r="A53" s="776">
        <f>Lehrpersonen!A53</f>
        <v>0</v>
      </c>
      <c r="B53" s="777">
        <f>Lehrpersonen!B53</f>
        <v>0</v>
      </c>
      <c r="C53" s="778">
        <f>Lehrpersonen!C53</f>
        <v>0</v>
      </c>
      <c r="D53" s="779">
        <f>Lehrpersonen!D53</f>
        <v>0</v>
      </c>
      <c r="E53" s="654"/>
      <c r="F53" s="766">
        <f>Lehrpersonen!Q53</f>
        <v>0</v>
      </c>
      <c r="G53" s="767"/>
      <c r="H53" s="768">
        <f>Lehrpersonen!H53</f>
        <v>0</v>
      </c>
      <c r="I53" s="768">
        <f>Lehrpersonen!J53</f>
        <v>0</v>
      </c>
      <c r="J53" s="768">
        <f>Lehrpersonen!K53</f>
        <v>0</v>
      </c>
      <c r="K53" s="769">
        <f>Lehrpersonen!L53</f>
        <v>0</v>
      </c>
      <c r="L53" s="768">
        <f>Lehrpersonen!M53</f>
        <v>0</v>
      </c>
      <c r="M53" s="768">
        <f>Lehrpersonen!O53</f>
        <v>0</v>
      </c>
      <c r="N53" s="768">
        <f>Lehrpersonen!I53</f>
        <v>0</v>
      </c>
      <c r="O53" s="770">
        <f>Lehrpersonen!G53</f>
        <v>0</v>
      </c>
      <c r="Q53" s="549"/>
    </row>
    <row r="54" spans="1:17" ht="23.25" customHeight="1" x14ac:dyDescent="0.25">
      <c r="A54" s="776">
        <f>Lehrpersonen!A54</f>
        <v>0</v>
      </c>
      <c r="B54" s="777">
        <f>Lehrpersonen!B54</f>
        <v>0</v>
      </c>
      <c r="C54" s="778">
        <f>Lehrpersonen!C54</f>
        <v>0</v>
      </c>
      <c r="D54" s="779">
        <f>Lehrpersonen!D54</f>
        <v>0</v>
      </c>
      <c r="E54" s="654"/>
      <c r="F54" s="766">
        <f>Lehrpersonen!Q54</f>
        <v>0</v>
      </c>
      <c r="G54" s="767"/>
      <c r="H54" s="768">
        <f>Lehrpersonen!H54</f>
        <v>0</v>
      </c>
      <c r="I54" s="768">
        <f>Lehrpersonen!J54</f>
        <v>0</v>
      </c>
      <c r="J54" s="768">
        <f>Lehrpersonen!K54</f>
        <v>0</v>
      </c>
      <c r="K54" s="769">
        <f>Lehrpersonen!L54</f>
        <v>0</v>
      </c>
      <c r="L54" s="768">
        <f>Lehrpersonen!M54</f>
        <v>0</v>
      </c>
      <c r="M54" s="768">
        <f>Lehrpersonen!O54</f>
        <v>0</v>
      </c>
      <c r="N54" s="768">
        <f>Lehrpersonen!I54</f>
        <v>0</v>
      </c>
      <c r="O54" s="770">
        <f>Lehrpersonen!G54</f>
        <v>0</v>
      </c>
      <c r="Q54" s="549"/>
    </row>
    <row r="55" spans="1:17" ht="23.25" customHeight="1" x14ac:dyDescent="0.25">
      <c r="A55" s="776">
        <f>Lehrpersonen!A55</f>
        <v>0</v>
      </c>
      <c r="B55" s="777">
        <f>Lehrpersonen!B55</f>
        <v>0</v>
      </c>
      <c r="C55" s="778">
        <f>Lehrpersonen!C55</f>
        <v>0</v>
      </c>
      <c r="D55" s="779">
        <f>Lehrpersonen!D55</f>
        <v>0</v>
      </c>
      <c r="E55" s="654"/>
      <c r="F55" s="766">
        <f>Lehrpersonen!Q55</f>
        <v>0</v>
      </c>
      <c r="G55" s="767"/>
      <c r="H55" s="768">
        <f>Lehrpersonen!H55</f>
        <v>0</v>
      </c>
      <c r="I55" s="768">
        <f>Lehrpersonen!J55</f>
        <v>0</v>
      </c>
      <c r="J55" s="768">
        <f>Lehrpersonen!K55</f>
        <v>0</v>
      </c>
      <c r="K55" s="769">
        <f>Lehrpersonen!L55</f>
        <v>0</v>
      </c>
      <c r="L55" s="768">
        <f>Lehrpersonen!M55</f>
        <v>0</v>
      </c>
      <c r="M55" s="768">
        <f>Lehrpersonen!O55</f>
        <v>0</v>
      </c>
      <c r="N55" s="768">
        <f>Lehrpersonen!I55</f>
        <v>0</v>
      </c>
      <c r="O55" s="770">
        <f>Lehrpersonen!G55</f>
        <v>0</v>
      </c>
      <c r="Q55" s="549"/>
    </row>
    <row r="56" spans="1:17" ht="23.25" customHeight="1" x14ac:dyDescent="0.25">
      <c r="A56" s="776">
        <f>Lehrpersonen!A56</f>
        <v>0</v>
      </c>
      <c r="B56" s="777">
        <f>Lehrpersonen!B56</f>
        <v>0</v>
      </c>
      <c r="C56" s="778">
        <f>Lehrpersonen!C56</f>
        <v>0</v>
      </c>
      <c r="D56" s="779">
        <f>Lehrpersonen!D56</f>
        <v>0</v>
      </c>
      <c r="E56" s="654"/>
      <c r="F56" s="766">
        <f>Lehrpersonen!Q56</f>
        <v>0</v>
      </c>
      <c r="G56" s="767"/>
      <c r="H56" s="768">
        <f>Lehrpersonen!H56</f>
        <v>0</v>
      </c>
      <c r="I56" s="768">
        <f>Lehrpersonen!J56</f>
        <v>0</v>
      </c>
      <c r="J56" s="768">
        <f>Lehrpersonen!K56</f>
        <v>0</v>
      </c>
      <c r="K56" s="769">
        <f>Lehrpersonen!L56</f>
        <v>0</v>
      </c>
      <c r="L56" s="768">
        <f>Lehrpersonen!M56</f>
        <v>0</v>
      </c>
      <c r="M56" s="768">
        <f>Lehrpersonen!O56</f>
        <v>0</v>
      </c>
      <c r="N56" s="768">
        <f>Lehrpersonen!I56</f>
        <v>0</v>
      </c>
      <c r="O56" s="770">
        <f>Lehrpersonen!G56</f>
        <v>0</v>
      </c>
      <c r="Q56" s="549"/>
    </row>
    <row r="57" spans="1:17" ht="23.25" customHeight="1" x14ac:dyDescent="0.25">
      <c r="A57" s="776">
        <f>Lehrpersonen!A57</f>
        <v>0</v>
      </c>
      <c r="B57" s="777">
        <f>Lehrpersonen!B57</f>
        <v>0</v>
      </c>
      <c r="C57" s="778">
        <f>Lehrpersonen!C57</f>
        <v>0</v>
      </c>
      <c r="D57" s="779">
        <f>Lehrpersonen!D57</f>
        <v>0</v>
      </c>
      <c r="E57" s="654"/>
      <c r="F57" s="766">
        <f>Lehrpersonen!Q57</f>
        <v>0</v>
      </c>
      <c r="G57" s="767"/>
      <c r="H57" s="768">
        <f>Lehrpersonen!H57</f>
        <v>0</v>
      </c>
      <c r="I57" s="768">
        <f>Lehrpersonen!J57</f>
        <v>0</v>
      </c>
      <c r="J57" s="768">
        <f>Lehrpersonen!K57</f>
        <v>0</v>
      </c>
      <c r="K57" s="769">
        <f>Lehrpersonen!L57</f>
        <v>0</v>
      </c>
      <c r="L57" s="768">
        <f>Lehrpersonen!M57</f>
        <v>0</v>
      </c>
      <c r="M57" s="768">
        <f>Lehrpersonen!O57</f>
        <v>0</v>
      </c>
      <c r="N57" s="768">
        <f>Lehrpersonen!I57</f>
        <v>0</v>
      </c>
      <c r="O57" s="770">
        <f>Lehrpersonen!G57</f>
        <v>0</v>
      </c>
      <c r="Q57" s="549"/>
    </row>
    <row r="58" spans="1:17" ht="23.25" customHeight="1" x14ac:dyDescent="0.25">
      <c r="A58" s="776">
        <f>Lehrpersonen!A58</f>
        <v>0</v>
      </c>
      <c r="B58" s="777">
        <f>Lehrpersonen!B58</f>
        <v>0</v>
      </c>
      <c r="C58" s="778">
        <f>Lehrpersonen!C58</f>
        <v>0</v>
      </c>
      <c r="D58" s="779">
        <f>Lehrpersonen!D58</f>
        <v>0</v>
      </c>
      <c r="E58" s="654"/>
      <c r="F58" s="766">
        <f>Lehrpersonen!Q58</f>
        <v>0</v>
      </c>
      <c r="G58" s="767"/>
      <c r="H58" s="768">
        <f>Lehrpersonen!H58</f>
        <v>0</v>
      </c>
      <c r="I58" s="768">
        <f>Lehrpersonen!J58</f>
        <v>0</v>
      </c>
      <c r="J58" s="768">
        <f>Lehrpersonen!K58</f>
        <v>0</v>
      </c>
      <c r="K58" s="769">
        <f>Lehrpersonen!L58</f>
        <v>0</v>
      </c>
      <c r="L58" s="768">
        <f>Lehrpersonen!M58</f>
        <v>0</v>
      </c>
      <c r="M58" s="768">
        <f>Lehrpersonen!O58</f>
        <v>0</v>
      </c>
      <c r="N58" s="768">
        <f>Lehrpersonen!I58</f>
        <v>0</v>
      </c>
      <c r="O58" s="770">
        <f>Lehrpersonen!G58</f>
        <v>0</v>
      </c>
      <c r="Q58" s="549"/>
    </row>
    <row r="59" spans="1:17" ht="23.25" customHeight="1" x14ac:dyDescent="0.25">
      <c r="A59" s="776">
        <f>Lehrpersonen!A59</f>
        <v>0</v>
      </c>
      <c r="B59" s="777">
        <f>Lehrpersonen!B59</f>
        <v>0</v>
      </c>
      <c r="C59" s="778">
        <f>Lehrpersonen!C59</f>
        <v>0</v>
      </c>
      <c r="D59" s="779">
        <f>Lehrpersonen!D59</f>
        <v>0</v>
      </c>
      <c r="E59" s="654"/>
      <c r="F59" s="766">
        <f>Lehrpersonen!Q59</f>
        <v>0</v>
      </c>
      <c r="G59" s="767"/>
      <c r="H59" s="768">
        <f>Lehrpersonen!H59</f>
        <v>0</v>
      </c>
      <c r="I59" s="768">
        <f>Lehrpersonen!J59</f>
        <v>0</v>
      </c>
      <c r="J59" s="768">
        <f>Lehrpersonen!K59</f>
        <v>0</v>
      </c>
      <c r="K59" s="769">
        <f>Lehrpersonen!L59</f>
        <v>0</v>
      </c>
      <c r="L59" s="768">
        <f>Lehrpersonen!M59</f>
        <v>0</v>
      </c>
      <c r="M59" s="768">
        <f>Lehrpersonen!O59</f>
        <v>0</v>
      </c>
      <c r="N59" s="768">
        <f>Lehrpersonen!I59</f>
        <v>0</v>
      </c>
      <c r="O59" s="770">
        <f>Lehrpersonen!G59</f>
        <v>0</v>
      </c>
      <c r="Q59" s="549"/>
    </row>
    <row r="60" spans="1:17" ht="23.25" customHeight="1" x14ac:dyDescent="0.25">
      <c r="A60" s="776">
        <f>Lehrpersonen!A60</f>
        <v>0</v>
      </c>
      <c r="B60" s="777">
        <f>Lehrpersonen!B60</f>
        <v>0</v>
      </c>
      <c r="C60" s="778">
        <f>Lehrpersonen!C60</f>
        <v>0</v>
      </c>
      <c r="D60" s="779">
        <f>Lehrpersonen!D60</f>
        <v>0</v>
      </c>
      <c r="E60" s="654"/>
      <c r="F60" s="766">
        <f>Lehrpersonen!Q60</f>
        <v>0</v>
      </c>
      <c r="G60" s="767"/>
      <c r="H60" s="768">
        <f>Lehrpersonen!H60</f>
        <v>0</v>
      </c>
      <c r="I60" s="768">
        <f>Lehrpersonen!J60</f>
        <v>0</v>
      </c>
      <c r="J60" s="768">
        <f>Lehrpersonen!K60</f>
        <v>0</v>
      </c>
      <c r="K60" s="769">
        <f>Lehrpersonen!L60</f>
        <v>0</v>
      </c>
      <c r="L60" s="768">
        <f>Lehrpersonen!M60</f>
        <v>0</v>
      </c>
      <c r="M60" s="768">
        <f>Lehrpersonen!O60</f>
        <v>0</v>
      </c>
      <c r="N60" s="768">
        <f>Lehrpersonen!I60</f>
        <v>0</v>
      </c>
      <c r="O60" s="770">
        <f>Lehrpersonen!G60</f>
        <v>0</v>
      </c>
      <c r="Q60" s="549"/>
    </row>
    <row r="61" spans="1:17" ht="23.25" customHeight="1" x14ac:dyDescent="0.25">
      <c r="A61" s="776">
        <f>Lehrpersonen!A61</f>
        <v>0</v>
      </c>
      <c r="B61" s="777">
        <f>Lehrpersonen!B61</f>
        <v>0</v>
      </c>
      <c r="C61" s="778">
        <f>Lehrpersonen!C61</f>
        <v>0</v>
      </c>
      <c r="D61" s="779">
        <f>Lehrpersonen!D61</f>
        <v>0</v>
      </c>
      <c r="E61" s="654"/>
      <c r="F61" s="766">
        <f>Lehrpersonen!Q61</f>
        <v>0</v>
      </c>
      <c r="G61" s="767"/>
      <c r="H61" s="768">
        <f>Lehrpersonen!H61</f>
        <v>0</v>
      </c>
      <c r="I61" s="768">
        <f>Lehrpersonen!J61</f>
        <v>0</v>
      </c>
      <c r="J61" s="768">
        <f>Lehrpersonen!K61</f>
        <v>0</v>
      </c>
      <c r="K61" s="769">
        <f>Lehrpersonen!L61</f>
        <v>0</v>
      </c>
      <c r="L61" s="768">
        <f>Lehrpersonen!M61</f>
        <v>0</v>
      </c>
      <c r="M61" s="768">
        <f>Lehrpersonen!O61</f>
        <v>0</v>
      </c>
      <c r="N61" s="768">
        <f>Lehrpersonen!I61</f>
        <v>0</v>
      </c>
      <c r="O61" s="770">
        <f>Lehrpersonen!G61</f>
        <v>0</v>
      </c>
      <c r="Q61" s="549"/>
    </row>
    <row r="62" spans="1:17" ht="23.25" customHeight="1" x14ac:dyDescent="0.25">
      <c r="A62" s="776">
        <f>Lehrpersonen!A62</f>
        <v>0</v>
      </c>
      <c r="B62" s="777">
        <f>Lehrpersonen!B62</f>
        <v>0</v>
      </c>
      <c r="C62" s="778">
        <f>Lehrpersonen!C62</f>
        <v>0</v>
      </c>
      <c r="D62" s="779">
        <f>Lehrpersonen!D62</f>
        <v>0</v>
      </c>
      <c r="E62" s="654"/>
      <c r="F62" s="766">
        <f>Lehrpersonen!Q62</f>
        <v>0</v>
      </c>
      <c r="G62" s="767"/>
      <c r="H62" s="768">
        <f>Lehrpersonen!H62</f>
        <v>0</v>
      </c>
      <c r="I62" s="768">
        <f>Lehrpersonen!J62</f>
        <v>0</v>
      </c>
      <c r="J62" s="768">
        <f>Lehrpersonen!K62</f>
        <v>0</v>
      </c>
      <c r="K62" s="769">
        <f>Lehrpersonen!L62</f>
        <v>0</v>
      </c>
      <c r="L62" s="768">
        <f>Lehrpersonen!M62</f>
        <v>0</v>
      </c>
      <c r="M62" s="768">
        <f>Lehrpersonen!O62</f>
        <v>0</v>
      </c>
      <c r="N62" s="768">
        <f>Lehrpersonen!I62</f>
        <v>0</v>
      </c>
      <c r="O62" s="770">
        <f>Lehrpersonen!G62</f>
        <v>0</v>
      </c>
      <c r="Q62" s="549"/>
    </row>
    <row r="63" spans="1:17" ht="23.25" customHeight="1" x14ac:dyDescent="0.25">
      <c r="A63" s="776">
        <f>Lehrpersonen!A63</f>
        <v>0</v>
      </c>
      <c r="B63" s="777">
        <f>Lehrpersonen!B63</f>
        <v>0</v>
      </c>
      <c r="C63" s="778">
        <f>Lehrpersonen!C63</f>
        <v>0</v>
      </c>
      <c r="D63" s="779">
        <f>Lehrpersonen!D63</f>
        <v>0</v>
      </c>
      <c r="E63" s="654"/>
      <c r="F63" s="766">
        <f>Lehrpersonen!Q63</f>
        <v>0</v>
      </c>
      <c r="G63" s="767"/>
      <c r="H63" s="768">
        <f>Lehrpersonen!H63</f>
        <v>0</v>
      </c>
      <c r="I63" s="768">
        <f>Lehrpersonen!J63</f>
        <v>0</v>
      </c>
      <c r="J63" s="768">
        <f>Lehrpersonen!K63</f>
        <v>0</v>
      </c>
      <c r="K63" s="769">
        <f>Lehrpersonen!L63</f>
        <v>0</v>
      </c>
      <c r="L63" s="768">
        <f>Lehrpersonen!M63</f>
        <v>0</v>
      </c>
      <c r="M63" s="768">
        <f>Lehrpersonen!O63</f>
        <v>0</v>
      </c>
      <c r="N63" s="768">
        <f>Lehrpersonen!I63</f>
        <v>0</v>
      </c>
      <c r="O63" s="770">
        <f>Lehrpersonen!G63</f>
        <v>0</v>
      </c>
      <c r="Q63" s="549"/>
    </row>
    <row r="64" spans="1:17" ht="23.25" customHeight="1" x14ac:dyDescent="0.25">
      <c r="A64" s="776">
        <f>Lehrpersonen!A64</f>
        <v>0</v>
      </c>
      <c r="B64" s="777">
        <f>Lehrpersonen!B64</f>
        <v>0</v>
      </c>
      <c r="C64" s="778">
        <f>Lehrpersonen!C64</f>
        <v>0</v>
      </c>
      <c r="D64" s="779">
        <f>Lehrpersonen!D64</f>
        <v>0</v>
      </c>
      <c r="E64" s="654"/>
      <c r="F64" s="766">
        <f>Lehrpersonen!Q64</f>
        <v>0</v>
      </c>
      <c r="G64" s="767"/>
      <c r="H64" s="768">
        <f>Lehrpersonen!H64</f>
        <v>0</v>
      </c>
      <c r="I64" s="768">
        <f>Lehrpersonen!J64</f>
        <v>0</v>
      </c>
      <c r="J64" s="768">
        <f>Lehrpersonen!K64</f>
        <v>0</v>
      </c>
      <c r="K64" s="769">
        <f>Lehrpersonen!L64</f>
        <v>0</v>
      </c>
      <c r="L64" s="768">
        <f>Lehrpersonen!M64</f>
        <v>0</v>
      </c>
      <c r="M64" s="768">
        <f>Lehrpersonen!O64</f>
        <v>0</v>
      </c>
      <c r="N64" s="768">
        <f>Lehrpersonen!I64</f>
        <v>0</v>
      </c>
      <c r="O64" s="770">
        <f>Lehrpersonen!G64</f>
        <v>0</v>
      </c>
      <c r="Q64" s="549"/>
    </row>
    <row r="65" spans="1:17" ht="23.25" customHeight="1" x14ac:dyDescent="0.25">
      <c r="A65" s="776">
        <f>Lehrpersonen!A65</f>
        <v>0</v>
      </c>
      <c r="B65" s="777">
        <f>Lehrpersonen!B65</f>
        <v>0</v>
      </c>
      <c r="C65" s="778">
        <f>Lehrpersonen!C65</f>
        <v>0</v>
      </c>
      <c r="D65" s="779">
        <f>Lehrpersonen!D65</f>
        <v>0</v>
      </c>
      <c r="E65" s="654"/>
      <c r="F65" s="766">
        <f>Lehrpersonen!Q65</f>
        <v>0</v>
      </c>
      <c r="G65" s="767"/>
      <c r="H65" s="768">
        <f>Lehrpersonen!H65</f>
        <v>0</v>
      </c>
      <c r="I65" s="768">
        <f>Lehrpersonen!J65</f>
        <v>0</v>
      </c>
      <c r="J65" s="768">
        <f>Lehrpersonen!K65</f>
        <v>0</v>
      </c>
      <c r="K65" s="769">
        <f>Lehrpersonen!L65</f>
        <v>0</v>
      </c>
      <c r="L65" s="768">
        <f>Lehrpersonen!M65</f>
        <v>0</v>
      </c>
      <c r="M65" s="768">
        <f>Lehrpersonen!O65</f>
        <v>0</v>
      </c>
      <c r="N65" s="768">
        <f>Lehrpersonen!I65</f>
        <v>0</v>
      </c>
      <c r="O65" s="770">
        <f>Lehrpersonen!G65</f>
        <v>0</v>
      </c>
      <c r="Q65" s="549"/>
    </row>
    <row r="66" spans="1:17" ht="23.25" customHeight="1" x14ac:dyDescent="0.25">
      <c r="A66" s="776">
        <f>Lehrpersonen!A66</f>
        <v>0</v>
      </c>
      <c r="B66" s="777">
        <f>Lehrpersonen!B66</f>
        <v>0</v>
      </c>
      <c r="C66" s="778">
        <f>Lehrpersonen!C66</f>
        <v>0</v>
      </c>
      <c r="D66" s="779">
        <f>Lehrpersonen!D66</f>
        <v>0</v>
      </c>
      <c r="E66" s="654"/>
      <c r="F66" s="766">
        <f>Lehrpersonen!Q66</f>
        <v>0</v>
      </c>
      <c r="G66" s="767"/>
      <c r="H66" s="768">
        <f>Lehrpersonen!H66</f>
        <v>0</v>
      </c>
      <c r="I66" s="768">
        <f>Lehrpersonen!J66</f>
        <v>0</v>
      </c>
      <c r="J66" s="768">
        <f>Lehrpersonen!K66</f>
        <v>0</v>
      </c>
      <c r="K66" s="769">
        <f>Lehrpersonen!L66</f>
        <v>0</v>
      </c>
      <c r="L66" s="768">
        <f>Lehrpersonen!M66</f>
        <v>0</v>
      </c>
      <c r="M66" s="768">
        <f>Lehrpersonen!O66</f>
        <v>0</v>
      </c>
      <c r="N66" s="768">
        <f>Lehrpersonen!I66</f>
        <v>0</v>
      </c>
      <c r="O66" s="770">
        <f>Lehrpersonen!G66</f>
        <v>0</v>
      </c>
      <c r="Q66" s="549"/>
    </row>
    <row r="67" spans="1:17" ht="23.25" customHeight="1" x14ac:dyDescent="0.25">
      <c r="A67" s="776">
        <f>Lehrpersonen!A67</f>
        <v>0</v>
      </c>
      <c r="B67" s="777">
        <f>Lehrpersonen!B67</f>
        <v>0</v>
      </c>
      <c r="C67" s="778">
        <f>Lehrpersonen!C67</f>
        <v>0</v>
      </c>
      <c r="D67" s="779">
        <f>Lehrpersonen!D67</f>
        <v>0</v>
      </c>
      <c r="E67" s="654"/>
      <c r="F67" s="766">
        <f>Lehrpersonen!Q67</f>
        <v>0</v>
      </c>
      <c r="G67" s="767"/>
      <c r="H67" s="768">
        <f>Lehrpersonen!H67</f>
        <v>0</v>
      </c>
      <c r="I67" s="768">
        <f>Lehrpersonen!J67</f>
        <v>0</v>
      </c>
      <c r="J67" s="768">
        <f>Lehrpersonen!K67</f>
        <v>0</v>
      </c>
      <c r="K67" s="769">
        <f>Lehrpersonen!L67</f>
        <v>0</v>
      </c>
      <c r="L67" s="768">
        <f>Lehrpersonen!M67</f>
        <v>0</v>
      </c>
      <c r="M67" s="768">
        <f>Lehrpersonen!O67</f>
        <v>0</v>
      </c>
      <c r="N67" s="768">
        <f>Lehrpersonen!I67</f>
        <v>0</v>
      </c>
      <c r="O67" s="770">
        <f>Lehrpersonen!G67</f>
        <v>0</v>
      </c>
      <c r="Q67" s="549"/>
    </row>
    <row r="68" spans="1:17" ht="23.25" customHeight="1" x14ac:dyDescent="0.25">
      <c r="A68" s="776">
        <f>Lehrpersonen!A68</f>
        <v>0</v>
      </c>
      <c r="B68" s="777">
        <f>Lehrpersonen!B68</f>
        <v>0</v>
      </c>
      <c r="C68" s="778">
        <f>Lehrpersonen!C68</f>
        <v>0</v>
      </c>
      <c r="D68" s="779">
        <f>Lehrpersonen!D68</f>
        <v>0</v>
      </c>
      <c r="E68" s="654"/>
      <c r="F68" s="766">
        <f>Lehrpersonen!Q68</f>
        <v>0</v>
      </c>
      <c r="G68" s="767"/>
      <c r="H68" s="768">
        <f>Lehrpersonen!H68</f>
        <v>0</v>
      </c>
      <c r="I68" s="768">
        <f>Lehrpersonen!J68</f>
        <v>0</v>
      </c>
      <c r="J68" s="768">
        <f>Lehrpersonen!K68</f>
        <v>0</v>
      </c>
      <c r="K68" s="769">
        <f>Lehrpersonen!L68</f>
        <v>0</v>
      </c>
      <c r="L68" s="768">
        <f>Lehrpersonen!M68</f>
        <v>0</v>
      </c>
      <c r="M68" s="768">
        <f>Lehrpersonen!O68</f>
        <v>0</v>
      </c>
      <c r="N68" s="768">
        <f>Lehrpersonen!I68</f>
        <v>0</v>
      </c>
      <c r="O68" s="770">
        <f>Lehrpersonen!G68</f>
        <v>0</v>
      </c>
      <c r="Q68" s="549"/>
    </row>
    <row r="69" spans="1:17" ht="23.25" customHeight="1" x14ac:dyDescent="0.25">
      <c r="A69" s="776">
        <f>Lehrpersonen!A69</f>
        <v>0</v>
      </c>
      <c r="B69" s="777">
        <f>Lehrpersonen!B69</f>
        <v>0</v>
      </c>
      <c r="C69" s="778">
        <f>Lehrpersonen!C69</f>
        <v>0</v>
      </c>
      <c r="D69" s="779">
        <f>Lehrpersonen!D69</f>
        <v>0</v>
      </c>
      <c r="E69" s="654"/>
      <c r="F69" s="766">
        <f>Lehrpersonen!Q69</f>
        <v>0</v>
      </c>
      <c r="G69" s="767"/>
      <c r="H69" s="768">
        <f>Lehrpersonen!H69</f>
        <v>0</v>
      </c>
      <c r="I69" s="768">
        <f>Lehrpersonen!J69</f>
        <v>0</v>
      </c>
      <c r="J69" s="768">
        <f>Lehrpersonen!K69</f>
        <v>0</v>
      </c>
      <c r="K69" s="769">
        <f>Lehrpersonen!L69</f>
        <v>0</v>
      </c>
      <c r="L69" s="768">
        <f>Lehrpersonen!M69</f>
        <v>0</v>
      </c>
      <c r="M69" s="768">
        <f>Lehrpersonen!O69</f>
        <v>0</v>
      </c>
      <c r="N69" s="768">
        <f>Lehrpersonen!I69</f>
        <v>0</v>
      </c>
      <c r="O69" s="770">
        <f>Lehrpersonen!G69</f>
        <v>0</v>
      </c>
      <c r="Q69" s="549"/>
    </row>
    <row r="70" spans="1:17" ht="23.25" customHeight="1" x14ac:dyDescent="0.25">
      <c r="A70" s="776">
        <f>Lehrpersonen!A70</f>
        <v>0</v>
      </c>
      <c r="B70" s="777">
        <f>Lehrpersonen!B70</f>
        <v>0</v>
      </c>
      <c r="C70" s="778">
        <f>Lehrpersonen!C70</f>
        <v>0</v>
      </c>
      <c r="D70" s="779">
        <f>Lehrpersonen!D70</f>
        <v>0</v>
      </c>
      <c r="E70" s="654"/>
      <c r="F70" s="766">
        <f>Lehrpersonen!Q70</f>
        <v>0</v>
      </c>
      <c r="G70" s="767"/>
      <c r="H70" s="768">
        <f>Lehrpersonen!H70</f>
        <v>0</v>
      </c>
      <c r="I70" s="768">
        <f>Lehrpersonen!J70</f>
        <v>0</v>
      </c>
      <c r="J70" s="768">
        <f>Lehrpersonen!K70</f>
        <v>0</v>
      </c>
      <c r="K70" s="769">
        <f>Lehrpersonen!L70</f>
        <v>0</v>
      </c>
      <c r="L70" s="768">
        <f>Lehrpersonen!M70</f>
        <v>0</v>
      </c>
      <c r="M70" s="768">
        <f>Lehrpersonen!O70</f>
        <v>0</v>
      </c>
      <c r="N70" s="768">
        <f>Lehrpersonen!I70</f>
        <v>0</v>
      </c>
      <c r="O70" s="770">
        <f>Lehrpersonen!G70</f>
        <v>0</v>
      </c>
      <c r="Q70" s="549"/>
    </row>
    <row r="71" spans="1:17" ht="23.25" customHeight="1" x14ac:dyDescent="0.25">
      <c r="A71" s="776">
        <f>Lehrpersonen!A71</f>
        <v>0</v>
      </c>
      <c r="B71" s="777">
        <f>Lehrpersonen!B71</f>
        <v>0</v>
      </c>
      <c r="C71" s="778">
        <f>Lehrpersonen!C71</f>
        <v>0</v>
      </c>
      <c r="D71" s="779">
        <f>Lehrpersonen!D71</f>
        <v>0</v>
      </c>
      <c r="E71" s="654"/>
      <c r="F71" s="766">
        <f>Lehrpersonen!Q71</f>
        <v>0</v>
      </c>
      <c r="G71" s="767"/>
      <c r="H71" s="768">
        <f>Lehrpersonen!H71</f>
        <v>0</v>
      </c>
      <c r="I71" s="768">
        <f>Lehrpersonen!J71</f>
        <v>0</v>
      </c>
      <c r="J71" s="768">
        <f>Lehrpersonen!K71</f>
        <v>0</v>
      </c>
      <c r="K71" s="769">
        <f>Lehrpersonen!L71</f>
        <v>0</v>
      </c>
      <c r="L71" s="768">
        <f>Lehrpersonen!M71</f>
        <v>0</v>
      </c>
      <c r="M71" s="768">
        <f>Lehrpersonen!O71</f>
        <v>0</v>
      </c>
      <c r="N71" s="768">
        <f>Lehrpersonen!I71</f>
        <v>0</v>
      </c>
      <c r="O71" s="770">
        <f>Lehrpersonen!G71</f>
        <v>0</v>
      </c>
      <c r="Q71" s="549"/>
    </row>
    <row r="72" spans="1:17" ht="23.25" customHeight="1" x14ac:dyDescent="0.25">
      <c r="A72" s="776">
        <f>Lehrpersonen!A72</f>
        <v>0</v>
      </c>
      <c r="B72" s="777">
        <f>Lehrpersonen!B72</f>
        <v>0</v>
      </c>
      <c r="C72" s="778">
        <f>Lehrpersonen!C72</f>
        <v>0</v>
      </c>
      <c r="D72" s="779">
        <f>Lehrpersonen!D72</f>
        <v>0</v>
      </c>
      <c r="E72" s="654"/>
      <c r="F72" s="766">
        <f>Lehrpersonen!Q72</f>
        <v>0</v>
      </c>
      <c r="G72" s="767"/>
      <c r="H72" s="768">
        <f>Lehrpersonen!H72</f>
        <v>0</v>
      </c>
      <c r="I72" s="768">
        <f>Lehrpersonen!J72</f>
        <v>0</v>
      </c>
      <c r="J72" s="768">
        <f>Lehrpersonen!K72</f>
        <v>0</v>
      </c>
      <c r="K72" s="769">
        <f>Lehrpersonen!L72</f>
        <v>0</v>
      </c>
      <c r="L72" s="768">
        <f>Lehrpersonen!M72</f>
        <v>0</v>
      </c>
      <c r="M72" s="768">
        <f>Lehrpersonen!O72</f>
        <v>0</v>
      </c>
      <c r="N72" s="768">
        <f>Lehrpersonen!I72</f>
        <v>0</v>
      </c>
      <c r="O72" s="770">
        <f>Lehrpersonen!G72</f>
        <v>0</v>
      </c>
      <c r="Q72" s="549"/>
    </row>
    <row r="73" spans="1:17" ht="23.25" customHeight="1" x14ac:dyDescent="0.25">
      <c r="A73" s="776">
        <f>Lehrpersonen!A73</f>
        <v>0</v>
      </c>
      <c r="B73" s="777">
        <f>Lehrpersonen!B73</f>
        <v>0</v>
      </c>
      <c r="C73" s="778">
        <f>Lehrpersonen!C73</f>
        <v>0</v>
      </c>
      <c r="D73" s="779">
        <f>Lehrpersonen!D73</f>
        <v>0</v>
      </c>
      <c r="E73" s="654"/>
      <c r="F73" s="766">
        <f>Lehrpersonen!Q73</f>
        <v>0</v>
      </c>
      <c r="G73" s="767"/>
      <c r="H73" s="768">
        <f>Lehrpersonen!H73</f>
        <v>0</v>
      </c>
      <c r="I73" s="768">
        <f>Lehrpersonen!J73</f>
        <v>0</v>
      </c>
      <c r="J73" s="768">
        <f>Lehrpersonen!K73</f>
        <v>0</v>
      </c>
      <c r="K73" s="769">
        <f>Lehrpersonen!L73</f>
        <v>0</v>
      </c>
      <c r="L73" s="768">
        <f>Lehrpersonen!M73</f>
        <v>0</v>
      </c>
      <c r="M73" s="768">
        <f>Lehrpersonen!O73</f>
        <v>0</v>
      </c>
      <c r="N73" s="768">
        <f>Lehrpersonen!I73</f>
        <v>0</v>
      </c>
      <c r="O73" s="770">
        <f>Lehrpersonen!G73</f>
        <v>0</v>
      </c>
      <c r="Q73" s="549"/>
    </row>
    <row r="74" spans="1:17" ht="23.25" customHeight="1" x14ac:dyDescent="0.25">
      <c r="A74" s="776">
        <f>Lehrpersonen!A74</f>
        <v>0</v>
      </c>
      <c r="B74" s="777">
        <f>Lehrpersonen!B74</f>
        <v>0</v>
      </c>
      <c r="C74" s="778">
        <f>Lehrpersonen!C74</f>
        <v>0</v>
      </c>
      <c r="D74" s="779">
        <f>Lehrpersonen!D74</f>
        <v>0</v>
      </c>
      <c r="E74" s="654"/>
      <c r="F74" s="766">
        <f>Lehrpersonen!Q74</f>
        <v>0</v>
      </c>
      <c r="G74" s="767"/>
      <c r="H74" s="768">
        <f>Lehrpersonen!H74</f>
        <v>0</v>
      </c>
      <c r="I74" s="768">
        <f>Lehrpersonen!J74</f>
        <v>0</v>
      </c>
      <c r="J74" s="768">
        <f>Lehrpersonen!K74</f>
        <v>0</v>
      </c>
      <c r="K74" s="769">
        <f>Lehrpersonen!L74</f>
        <v>0</v>
      </c>
      <c r="L74" s="768">
        <f>Lehrpersonen!M74</f>
        <v>0</v>
      </c>
      <c r="M74" s="768">
        <f>Lehrpersonen!O74</f>
        <v>0</v>
      </c>
      <c r="N74" s="768">
        <f>Lehrpersonen!I74</f>
        <v>0</v>
      </c>
      <c r="O74" s="770">
        <f>Lehrpersonen!G74</f>
        <v>0</v>
      </c>
      <c r="Q74" s="549"/>
    </row>
    <row r="75" spans="1:17" ht="23.25" customHeight="1" x14ac:dyDescent="0.25">
      <c r="A75" s="776">
        <f>Lehrpersonen!A75</f>
        <v>0</v>
      </c>
      <c r="B75" s="777">
        <f>Lehrpersonen!B75</f>
        <v>0</v>
      </c>
      <c r="C75" s="778">
        <f>Lehrpersonen!C75</f>
        <v>0</v>
      </c>
      <c r="D75" s="779">
        <f>Lehrpersonen!D75</f>
        <v>0</v>
      </c>
      <c r="E75" s="654"/>
      <c r="F75" s="766">
        <f>Lehrpersonen!Q75</f>
        <v>0</v>
      </c>
      <c r="G75" s="767"/>
      <c r="H75" s="768">
        <f>Lehrpersonen!H75</f>
        <v>0</v>
      </c>
      <c r="I75" s="768">
        <f>Lehrpersonen!J75</f>
        <v>0</v>
      </c>
      <c r="J75" s="768">
        <f>Lehrpersonen!K75</f>
        <v>0</v>
      </c>
      <c r="K75" s="769">
        <f>Lehrpersonen!L75</f>
        <v>0</v>
      </c>
      <c r="L75" s="768">
        <f>Lehrpersonen!M75</f>
        <v>0</v>
      </c>
      <c r="M75" s="768">
        <f>Lehrpersonen!O75</f>
        <v>0</v>
      </c>
      <c r="N75" s="768">
        <f>Lehrpersonen!I75</f>
        <v>0</v>
      </c>
      <c r="O75" s="770">
        <f>Lehrpersonen!G75</f>
        <v>0</v>
      </c>
      <c r="Q75" s="549"/>
    </row>
    <row r="76" spans="1:17" ht="23.25" customHeight="1" x14ac:dyDescent="0.25">
      <c r="A76" s="776">
        <f>Lehrpersonen!A76</f>
        <v>0</v>
      </c>
      <c r="B76" s="777">
        <f>Lehrpersonen!B76</f>
        <v>0</v>
      </c>
      <c r="C76" s="778">
        <f>Lehrpersonen!C76</f>
        <v>0</v>
      </c>
      <c r="D76" s="779">
        <f>Lehrpersonen!D76</f>
        <v>0</v>
      </c>
      <c r="E76" s="654"/>
      <c r="F76" s="766">
        <f>Lehrpersonen!Q76</f>
        <v>0</v>
      </c>
      <c r="G76" s="767"/>
      <c r="H76" s="768">
        <f>Lehrpersonen!H76</f>
        <v>0</v>
      </c>
      <c r="I76" s="768">
        <f>Lehrpersonen!J76</f>
        <v>0</v>
      </c>
      <c r="J76" s="768">
        <f>Lehrpersonen!K76</f>
        <v>0</v>
      </c>
      <c r="K76" s="769">
        <f>Lehrpersonen!L76</f>
        <v>0</v>
      </c>
      <c r="L76" s="768">
        <f>Lehrpersonen!M76</f>
        <v>0</v>
      </c>
      <c r="M76" s="768">
        <f>Lehrpersonen!O76</f>
        <v>0</v>
      </c>
      <c r="N76" s="768">
        <f>Lehrpersonen!I76</f>
        <v>0</v>
      </c>
      <c r="O76" s="770">
        <f>Lehrpersonen!G76</f>
        <v>0</v>
      </c>
      <c r="Q76" s="549"/>
    </row>
    <row r="77" spans="1:17" ht="23.25" customHeight="1" x14ac:dyDescent="0.25">
      <c r="A77" s="776">
        <f>Lehrpersonen!A77</f>
        <v>0</v>
      </c>
      <c r="B77" s="777">
        <f>Lehrpersonen!B77</f>
        <v>0</v>
      </c>
      <c r="C77" s="778">
        <f>Lehrpersonen!C77</f>
        <v>0</v>
      </c>
      <c r="D77" s="779">
        <f>Lehrpersonen!D77</f>
        <v>0</v>
      </c>
      <c r="E77" s="654"/>
      <c r="F77" s="766">
        <f>Lehrpersonen!Q77</f>
        <v>0</v>
      </c>
      <c r="G77" s="767"/>
      <c r="H77" s="768">
        <f>Lehrpersonen!H77</f>
        <v>0</v>
      </c>
      <c r="I77" s="768">
        <f>Lehrpersonen!J77</f>
        <v>0</v>
      </c>
      <c r="J77" s="768">
        <f>Lehrpersonen!K77</f>
        <v>0</v>
      </c>
      <c r="K77" s="769">
        <f>Lehrpersonen!L77</f>
        <v>0</v>
      </c>
      <c r="L77" s="768">
        <f>Lehrpersonen!M77</f>
        <v>0</v>
      </c>
      <c r="M77" s="768">
        <f>Lehrpersonen!O77</f>
        <v>0</v>
      </c>
      <c r="N77" s="768">
        <f>Lehrpersonen!I77</f>
        <v>0</v>
      </c>
      <c r="O77" s="770">
        <f>Lehrpersonen!G77</f>
        <v>0</v>
      </c>
      <c r="Q77" s="549"/>
    </row>
    <row r="78" spans="1:17" ht="23.25" customHeight="1" x14ac:dyDescent="0.25">
      <c r="A78" s="776">
        <f>Lehrpersonen!A78</f>
        <v>0</v>
      </c>
      <c r="B78" s="777">
        <f>Lehrpersonen!B78</f>
        <v>0</v>
      </c>
      <c r="C78" s="778">
        <f>Lehrpersonen!C78</f>
        <v>0</v>
      </c>
      <c r="D78" s="779">
        <f>Lehrpersonen!D78</f>
        <v>0</v>
      </c>
      <c r="E78" s="654"/>
      <c r="F78" s="766">
        <f>Lehrpersonen!Q78</f>
        <v>0</v>
      </c>
      <c r="G78" s="767"/>
      <c r="H78" s="768">
        <f>Lehrpersonen!H78</f>
        <v>0</v>
      </c>
      <c r="I78" s="768">
        <f>Lehrpersonen!J78</f>
        <v>0</v>
      </c>
      <c r="J78" s="768">
        <f>Lehrpersonen!K78</f>
        <v>0</v>
      </c>
      <c r="K78" s="769">
        <f>Lehrpersonen!L78</f>
        <v>0</v>
      </c>
      <c r="L78" s="768">
        <f>Lehrpersonen!M78</f>
        <v>0</v>
      </c>
      <c r="M78" s="768">
        <f>Lehrpersonen!O78</f>
        <v>0</v>
      </c>
      <c r="N78" s="768">
        <f>Lehrpersonen!I78</f>
        <v>0</v>
      </c>
      <c r="O78" s="770">
        <f>Lehrpersonen!G78</f>
        <v>0</v>
      </c>
      <c r="Q78" s="549"/>
    </row>
    <row r="79" spans="1:17" ht="23.25" customHeight="1" x14ac:dyDescent="0.25">
      <c r="A79" s="776">
        <f>Lehrpersonen!A79</f>
        <v>0</v>
      </c>
      <c r="B79" s="777">
        <f>Lehrpersonen!B79</f>
        <v>0</v>
      </c>
      <c r="C79" s="778">
        <f>Lehrpersonen!C79</f>
        <v>0</v>
      </c>
      <c r="D79" s="779">
        <f>Lehrpersonen!D79</f>
        <v>0</v>
      </c>
      <c r="E79" s="654"/>
      <c r="F79" s="766">
        <f>Lehrpersonen!Q79</f>
        <v>0</v>
      </c>
      <c r="G79" s="767"/>
      <c r="H79" s="768">
        <f>Lehrpersonen!H79</f>
        <v>0</v>
      </c>
      <c r="I79" s="768">
        <f>Lehrpersonen!J79</f>
        <v>0</v>
      </c>
      <c r="J79" s="768">
        <f>Lehrpersonen!K79</f>
        <v>0</v>
      </c>
      <c r="K79" s="769">
        <f>Lehrpersonen!L79</f>
        <v>0</v>
      </c>
      <c r="L79" s="768">
        <f>Lehrpersonen!M79</f>
        <v>0</v>
      </c>
      <c r="M79" s="768">
        <f>Lehrpersonen!O79</f>
        <v>0</v>
      </c>
      <c r="N79" s="768">
        <f>Lehrpersonen!I79</f>
        <v>0</v>
      </c>
      <c r="O79" s="770">
        <f>Lehrpersonen!G79</f>
        <v>0</v>
      </c>
      <c r="Q79" s="549"/>
    </row>
    <row r="80" spans="1:17" ht="23.25" customHeight="1" x14ac:dyDescent="0.25">
      <c r="A80" s="776">
        <f>Lehrpersonen!A80</f>
        <v>0</v>
      </c>
      <c r="B80" s="777">
        <f>Lehrpersonen!B80</f>
        <v>0</v>
      </c>
      <c r="C80" s="778">
        <f>Lehrpersonen!C80</f>
        <v>0</v>
      </c>
      <c r="D80" s="779">
        <f>Lehrpersonen!D80</f>
        <v>0</v>
      </c>
      <c r="E80" s="654"/>
      <c r="F80" s="766">
        <f>Lehrpersonen!Q80</f>
        <v>0</v>
      </c>
      <c r="G80" s="767"/>
      <c r="H80" s="768">
        <f>Lehrpersonen!H80</f>
        <v>0</v>
      </c>
      <c r="I80" s="768">
        <f>Lehrpersonen!J80</f>
        <v>0</v>
      </c>
      <c r="J80" s="768">
        <f>Lehrpersonen!K80</f>
        <v>0</v>
      </c>
      <c r="K80" s="769">
        <f>Lehrpersonen!L80</f>
        <v>0</v>
      </c>
      <c r="L80" s="768">
        <f>Lehrpersonen!M80</f>
        <v>0</v>
      </c>
      <c r="M80" s="768">
        <f>Lehrpersonen!O80</f>
        <v>0</v>
      </c>
      <c r="N80" s="768">
        <f>Lehrpersonen!I80</f>
        <v>0</v>
      </c>
      <c r="O80" s="770">
        <f>Lehrpersonen!G80</f>
        <v>0</v>
      </c>
      <c r="Q80" s="549"/>
    </row>
    <row r="81" spans="1:21" ht="23.25" customHeight="1" x14ac:dyDescent="0.25">
      <c r="A81" s="776">
        <f>Lehrpersonen!A81</f>
        <v>0</v>
      </c>
      <c r="B81" s="777">
        <f>Lehrpersonen!B81</f>
        <v>0</v>
      </c>
      <c r="C81" s="778">
        <f>Lehrpersonen!C81</f>
        <v>0</v>
      </c>
      <c r="D81" s="779">
        <f>Lehrpersonen!D81</f>
        <v>0</v>
      </c>
      <c r="E81" s="654"/>
      <c r="F81" s="766">
        <f>Lehrpersonen!Q81</f>
        <v>0</v>
      </c>
      <c r="G81" s="767"/>
      <c r="H81" s="768">
        <f>Lehrpersonen!H81</f>
        <v>0</v>
      </c>
      <c r="I81" s="768">
        <f>Lehrpersonen!J81</f>
        <v>0</v>
      </c>
      <c r="J81" s="768">
        <f>Lehrpersonen!K81</f>
        <v>0</v>
      </c>
      <c r="K81" s="769">
        <f>Lehrpersonen!L81</f>
        <v>0</v>
      </c>
      <c r="L81" s="768">
        <f>Lehrpersonen!M81</f>
        <v>0</v>
      </c>
      <c r="M81" s="768">
        <f>Lehrpersonen!O81</f>
        <v>0</v>
      </c>
      <c r="N81" s="768">
        <f>Lehrpersonen!I81</f>
        <v>0</v>
      </c>
      <c r="O81" s="770">
        <f>Lehrpersonen!G81</f>
        <v>0</v>
      </c>
      <c r="Q81" s="549"/>
    </row>
    <row r="82" spans="1:21" ht="23.25" customHeight="1" x14ac:dyDescent="0.25">
      <c r="A82" s="776">
        <f>Lehrpersonen!A82</f>
        <v>0</v>
      </c>
      <c r="B82" s="777">
        <f>Lehrpersonen!B82</f>
        <v>0</v>
      </c>
      <c r="C82" s="778">
        <f>Lehrpersonen!C82</f>
        <v>0</v>
      </c>
      <c r="D82" s="779">
        <f>Lehrpersonen!D82</f>
        <v>0</v>
      </c>
      <c r="E82" s="654"/>
      <c r="F82" s="766">
        <f>Lehrpersonen!Q82</f>
        <v>0</v>
      </c>
      <c r="G82" s="767"/>
      <c r="H82" s="768">
        <f>Lehrpersonen!H82</f>
        <v>0</v>
      </c>
      <c r="I82" s="768">
        <f>Lehrpersonen!J82</f>
        <v>0</v>
      </c>
      <c r="J82" s="768">
        <f>Lehrpersonen!K82</f>
        <v>0</v>
      </c>
      <c r="K82" s="769">
        <f>Lehrpersonen!L82</f>
        <v>0</v>
      </c>
      <c r="L82" s="768">
        <f>Lehrpersonen!M82</f>
        <v>0</v>
      </c>
      <c r="M82" s="768">
        <f>Lehrpersonen!O82</f>
        <v>0</v>
      </c>
      <c r="N82" s="768">
        <f>Lehrpersonen!I82</f>
        <v>0</v>
      </c>
      <c r="O82" s="770">
        <f>Lehrpersonen!G82</f>
        <v>0</v>
      </c>
      <c r="Q82" s="549"/>
    </row>
    <row r="83" spans="1:21" ht="23.25" customHeight="1" x14ac:dyDescent="0.25">
      <c r="A83" s="776">
        <f>Lehrpersonen!A83</f>
        <v>0</v>
      </c>
      <c r="B83" s="777">
        <f>Lehrpersonen!B83</f>
        <v>0</v>
      </c>
      <c r="C83" s="778">
        <f>Lehrpersonen!C83</f>
        <v>0</v>
      </c>
      <c r="D83" s="779">
        <f>Lehrpersonen!D83</f>
        <v>0</v>
      </c>
      <c r="E83" s="654"/>
      <c r="F83" s="766">
        <f>Lehrpersonen!Q83</f>
        <v>0</v>
      </c>
      <c r="G83" s="767"/>
      <c r="H83" s="768">
        <f>Lehrpersonen!H83</f>
        <v>0</v>
      </c>
      <c r="I83" s="768">
        <f>Lehrpersonen!J83</f>
        <v>0</v>
      </c>
      <c r="J83" s="768">
        <f>Lehrpersonen!K83</f>
        <v>0</v>
      </c>
      <c r="K83" s="769">
        <f>Lehrpersonen!L83</f>
        <v>0</v>
      </c>
      <c r="L83" s="768">
        <f>Lehrpersonen!M83</f>
        <v>0</v>
      </c>
      <c r="M83" s="768">
        <f>Lehrpersonen!O83</f>
        <v>0</v>
      </c>
      <c r="N83" s="768">
        <f>Lehrpersonen!I83</f>
        <v>0</v>
      </c>
      <c r="O83" s="770">
        <f>Lehrpersonen!G83</f>
        <v>0</v>
      </c>
      <c r="Q83" s="549"/>
    </row>
    <row r="84" spans="1:21" ht="23.25" customHeight="1" thickBot="1" x14ac:dyDescent="0.3">
      <c r="A84" s="780">
        <f>Lehrpersonen!A84</f>
        <v>0</v>
      </c>
      <c r="B84" s="781">
        <f>Lehrpersonen!B84</f>
        <v>0</v>
      </c>
      <c r="C84" s="782">
        <f>Lehrpersonen!C84</f>
        <v>0</v>
      </c>
      <c r="D84" s="783">
        <f>Lehrpersonen!D84</f>
        <v>0</v>
      </c>
      <c r="E84" s="654"/>
      <c r="F84" s="771">
        <f>Lehrpersonen!Q84</f>
        <v>0</v>
      </c>
      <c r="G84" s="772"/>
      <c r="H84" s="773">
        <f>Lehrpersonen!H84</f>
        <v>0</v>
      </c>
      <c r="I84" s="773">
        <f>Lehrpersonen!J84</f>
        <v>0</v>
      </c>
      <c r="J84" s="773">
        <f>Lehrpersonen!K84</f>
        <v>0</v>
      </c>
      <c r="K84" s="774">
        <f>Lehrpersonen!L84</f>
        <v>0</v>
      </c>
      <c r="L84" s="773">
        <f>Lehrpersonen!M84</f>
        <v>0</v>
      </c>
      <c r="M84" s="773">
        <f>Lehrpersonen!O84</f>
        <v>0</v>
      </c>
      <c r="N84" s="773">
        <f>Lehrpersonen!I84</f>
        <v>0</v>
      </c>
      <c r="O84" s="775">
        <f>Lehrpersonen!G84</f>
        <v>0</v>
      </c>
      <c r="Q84" s="549"/>
    </row>
    <row r="85" spans="1:21" s="708" customFormat="1" ht="23.25" customHeight="1" thickTop="1" thickBot="1" x14ac:dyDescent="0.3">
      <c r="A85" s="858" t="s">
        <v>696</v>
      </c>
      <c r="B85" s="859" t="s">
        <v>696</v>
      </c>
      <c r="C85" s="860"/>
      <c r="D85" s="861" t="s">
        <v>730</v>
      </c>
      <c r="E85" s="701"/>
      <c r="F85" s="702">
        <f>Lehrpersonen!Q85</f>
        <v>0</v>
      </c>
      <c r="G85" s="703"/>
      <c r="H85" s="704">
        <f>Lehrpersonen!H85</f>
        <v>0</v>
      </c>
      <c r="I85" s="705">
        <f>Lehrpersonen!K85</f>
        <v>0</v>
      </c>
      <c r="J85" s="704">
        <f>Lehrpersonen!J85</f>
        <v>0</v>
      </c>
      <c r="K85" s="706">
        <f>Lehrpersonen!L85</f>
        <v>0</v>
      </c>
      <c r="L85" s="704">
        <f>Lehrpersonen!M85</f>
        <v>0</v>
      </c>
      <c r="M85" s="704">
        <f>Lehrpersonen!O85</f>
        <v>0</v>
      </c>
      <c r="N85" s="704">
        <f>Lehrpersonen!I85</f>
        <v>0</v>
      </c>
      <c r="O85" s="707">
        <f>Lehrpersonen!G85</f>
        <v>0</v>
      </c>
    </row>
    <row r="86" spans="1:21" ht="3.75" customHeight="1" thickTop="1" x14ac:dyDescent="0.25">
      <c r="D86" s="549"/>
      <c r="E86" s="586"/>
      <c r="F86" s="684"/>
      <c r="G86" s="549"/>
      <c r="K86" s="549"/>
      <c r="M86" s="633"/>
      <c r="O86" s="633"/>
      <c r="P86" s="633"/>
      <c r="Q86" s="549"/>
      <c r="U86" s="549"/>
    </row>
    <row r="87" spans="1:21" ht="15" x14ac:dyDescent="0.25">
      <c r="B87" s="709"/>
      <c r="C87" s="710"/>
      <c r="D87" s="709" t="s">
        <v>731</v>
      </c>
      <c r="E87" s="549"/>
      <c r="F87" s="684"/>
      <c r="H87" s="761">
        <f>Lehrpersonen!H87</f>
        <v>0</v>
      </c>
      <c r="I87" s="710"/>
      <c r="J87" s="710"/>
      <c r="K87" s="712">
        <f>Lehrpersonen!L87</f>
        <v>0</v>
      </c>
      <c r="L87" s="713">
        <f>Lehrpersonen!M87</f>
        <v>0</v>
      </c>
      <c r="N87" s="586"/>
      <c r="O87" s="714">
        <f>Lehrpersonen!G87</f>
        <v>0</v>
      </c>
      <c r="P87" s="635"/>
      <c r="Q87" s="549"/>
      <c r="S87" s="635"/>
      <c r="U87" s="549"/>
    </row>
    <row r="88" spans="1:21" ht="3.75" customHeight="1" x14ac:dyDescent="0.25">
      <c r="D88" s="549"/>
      <c r="E88" s="549"/>
      <c r="F88" s="684"/>
      <c r="P88" s="633"/>
      <c r="Q88" s="549"/>
      <c r="S88" s="633"/>
      <c r="U88" s="549"/>
    </row>
    <row r="89" spans="1:21" ht="15" x14ac:dyDescent="0.25">
      <c r="B89" s="709"/>
      <c r="C89" s="710"/>
      <c r="D89" s="709" t="s">
        <v>732</v>
      </c>
      <c r="E89" s="549"/>
      <c r="F89" s="684"/>
      <c r="H89" s="711">
        <f>Lehrpersonen!H89</f>
        <v>0</v>
      </c>
      <c r="I89" s="710"/>
      <c r="J89" s="710"/>
      <c r="K89" s="712">
        <f>Lehrpersonen!L89</f>
        <v>0</v>
      </c>
      <c r="L89" s="713">
        <f>Lehrpersonen!M89</f>
        <v>0</v>
      </c>
      <c r="N89" s="586"/>
      <c r="O89" s="714">
        <f>Lehrpersonen!G89</f>
        <v>0</v>
      </c>
      <c r="P89" s="635"/>
      <c r="Q89" s="549"/>
      <c r="S89" s="635"/>
      <c r="U89" s="549"/>
    </row>
    <row r="90" spans="1:21" ht="15" x14ac:dyDescent="0.25">
      <c r="B90" s="865"/>
      <c r="M90" s="657"/>
      <c r="Q90" s="549"/>
    </row>
    <row r="91" spans="1:21" ht="3.75" customHeight="1" x14ac:dyDescent="0.25">
      <c r="A91" s="867"/>
      <c r="B91" s="867"/>
      <c r="C91" s="868"/>
      <c r="D91" s="867"/>
      <c r="E91" s="867"/>
      <c r="F91" s="869"/>
      <c r="G91" s="868"/>
      <c r="H91" s="867"/>
      <c r="I91" s="867"/>
      <c r="J91" s="867"/>
      <c r="K91" s="870"/>
      <c r="L91" s="870"/>
      <c r="M91" s="871"/>
      <c r="N91" s="867"/>
      <c r="O91" s="867"/>
      <c r="P91" s="633"/>
      <c r="Q91" s="549"/>
      <c r="S91" s="633"/>
      <c r="U91" s="549"/>
    </row>
    <row r="92" spans="1:21" ht="15" x14ac:dyDescent="0.25">
      <c r="B92" s="709" t="str">
        <f>Konti_MS!C78</f>
        <v>Schulleit. mit Unterr.Verpflichtung</v>
      </c>
      <c r="C92" s="701">
        <f>IF(OR(Konti_MS!L73="b",B92="SchulleiterIn ist freigestellt!"),"",20+Konti_MS!I77)</f>
        <v>20</v>
      </c>
      <c r="D92" s="872"/>
      <c r="J92" s="865" t="str">
        <f>"Anzahl berechneter Klassen: "&amp;Konti_MS!C26</f>
        <v>Anzahl berechneter Klassen: 0</v>
      </c>
      <c r="M92" s="657"/>
      <c r="N92" s="709" t="s">
        <v>873</v>
      </c>
      <c r="O92" s="866">
        <f>Konti_MS!E43+Konti_MS!F46+Konti_MS!E51</f>
        <v>0</v>
      </c>
      <c r="Q92" s="549"/>
    </row>
    <row r="93" spans="1:21" ht="15" x14ac:dyDescent="0.25">
      <c r="B93" s="865" t="str">
        <f>LOOKUP(Konti_MS!L73,Konti_MS!N73:N76,Konti_MS!M73:M76)</f>
        <v xml:space="preserve">  ist im Altrecht angestellt (meist L2a2)</v>
      </c>
      <c r="D93" s="549"/>
      <c r="J93" s="865" t="str">
        <f>IF(Konti_MS!D27-Konti_MS!C26&lt;&gt;0,"Anzahl eingerichteter Klassen: "&amp;Konti_MS!D27,"")</f>
        <v/>
      </c>
      <c r="M93" s="657"/>
      <c r="N93" s="709" t="s">
        <v>874</v>
      </c>
      <c r="O93" s="866">
        <f>Konti_MS!B85</f>
        <v>0</v>
      </c>
      <c r="Q93" s="549"/>
    </row>
    <row r="94" spans="1:21" ht="15" x14ac:dyDescent="0.25">
      <c r="C94" s="549"/>
      <c r="D94" s="549"/>
      <c r="J94" s="709" t="str">
        <f>IF(Konti_MS!D27-Konti_MS!C26&lt;&gt;0,"Anzahl schulautonomer Klassen: "&amp;Konti_MS!D27-Konti_MS!C26,"")</f>
        <v/>
      </c>
      <c r="M94" s="657"/>
      <c r="Q94" s="549"/>
    </row>
    <row r="95" spans="1:21" ht="3.75" customHeight="1" x14ac:dyDescent="0.25">
      <c r="A95" s="873"/>
      <c r="B95" s="873"/>
      <c r="C95" s="874"/>
      <c r="D95" s="873"/>
      <c r="E95" s="873"/>
      <c r="F95" s="875"/>
      <c r="G95" s="874"/>
      <c r="H95" s="873"/>
      <c r="I95" s="873"/>
      <c r="J95" s="873"/>
      <c r="K95" s="876"/>
      <c r="L95" s="876"/>
      <c r="M95" s="877"/>
      <c r="N95" s="873"/>
      <c r="O95" s="873"/>
      <c r="P95" s="633"/>
      <c r="Q95" s="549"/>
      <c r="S95" s="633"/>
      <c r="U95" s="549"/>
    </row>
    <row r="96" spans="1:21" ht="15" x14ac:dyDescent="0.25">
      <c r="M96" s="657"/>
      <c r="Q96" s="549"/>
    </row>
    <row r="97" spans="1:17" ht="15" x14ac:dyDescent="0.25">
      <c r="M97" s="657"/>
      <c r="Q97" s="549"/>
    </row>
    <row r="98" spans="1:17" s="715" customFormat="1" ht="15" x14ac:dyDescent="0.25">
      <c r="A98" s="549"/>
      <c r="B98" s="549"/>
      <c r="C98" s="586"/>
      <c r="D98" s="586"/>
      <c r="E98" s="684"/>
      <c r="F98" s="549"/>
      <c r="G98" s="586"/>
      <c r="H98" s="549"/>
      <c r="I98" s="549"/>
      <c r="J98" s="549"/>
      <c r="K98" s="633"/>
      <c r="L98" s="633"/>
      <c r="M98" s="657"/>
      <c r="N98" s="549"/>
      <c r="O98" s="549"/>
      <c r="P98" s="549"/>
    </row>
    <row r="99" spans="1:17" s="715" customFormat="1" ht="15" x14ac:dyDescent="0.25">
      <c r="A99" s="549"/>
      <c r="B99" s="549"/>
      <c r="C99" s="586"/>
      <c r="D99" s="586"/>
      <c r="E99" s="684"/>
      <c r="F99" s="549"/>
      <c r="G99" s="586"/>
      <c r="H99" s="549"/>
      <c r="I99" s="549"/>
      <c r="J99" s="549"/>
      <c r="K99" s="633"/>
      <c r="L99" s="633"/>
      <c r="M99" s="657"/>
      <c r="N99" s="549"/>
      <c r="O99" s="549"/>
      <c r="P99" s="549"/>
    </row>
    <row r="100" spans="1:17" s="715" customFormat="1" ht="15" x14ac:dyDescent="0.25">
      <c r="A100" s="549"/>
      <c r="B100" s="549"/>
      <c r="C100" s="586"/>
      <c r="D100" s="586"/>
      <c r="E100" s="684"/>
      <c r="F100" s="549"/>
      <c r="G100" s="586"/>
      <c r="H100" s="549"/>
      <c r="I100" s="549"/>
      <c r="J100" s="549"/>
      <c r="K100" s="633"/>
      <c r="L100" s="633"/>
      <c r="M100" s="657"/>
      <c r="N100" s="549"/>
      <c r="O100" s="549"/>
      <c r="P100" s="549"/>
    </row>
    <row r="101" spans="1:17" s="715" customFormat="1" ht="15" x14ac:dyDescent="0.25">
      <c r="A101" s="549"/>
      <c r="B101" s="549"/>
      <c r="C101" s="586"/>
      <c r="D101" s="586"/>
      <c r="E101" s="684"/>
      <c r="F101" s="549"/>
      <c r="G101" s="586"/>
      <c r="H101" s="549"/>
      <c r="I101" s="549"/>
      <c r="J101" s="549"/>
      <c r="K101" s="633"/>
      <c r="L101" s="633"/>
      <c r="M101" s="657"/>
      <c r="N101" s="549"/>
      <c r="O101" s="549"/>
      <c r="P101" s="549"/>
    </row>
    <row r="102" spans="1:17" s="715" customFormat="1" ht="15" x14ac:dyDescent="0.25">
      <c r="A102" s="549"/>
      <c r="B102" s="549"/>
      <c r="C102" s="586"/>
      <c r="D102" s="586"/>
      <c r="E102" s="684"/>
      <c r="F102" s="549"/>
      <c r="G102" s="586"/>
      <c r="H102" s="549"/>
      <c r="I102" s="549"/>
      <c r="J102" s="549"/>
      <c r="K102" s="633"/>
      <c r="L102" s="633"/>
      <c r="M102" s="657"/>
      <c r="N102" s="549"/>
      <c r="O102" s="549"/>
      <c r="P102" s="549"/>
    </row>
    <row r="103" spans="1:17" s="715" customFormat="1" ht="15" x14ac:dyDescent="0.25">
      <c r="A103" s="549"/>
      <c r="B103" s="549"/>
      <c r="C103" s="586"/>
      <c r="D103" s="586"/>
      <c r="E103" s="684"/>
      <c r="F103" s="549"/>
      <c r="G103" s="586"/>
      <c r="H103" s="549"/>
      <c r="I103" s="549"/>
      <c r="J103" s="549"/>
      <c r="K103" s="633"/>
      <c r="L103" s="633"/>
      <c r="M103" s="657"/>
      <c r="N103" s="549"/>
      <c r="O103" s="549"/>
      <c r="P103" s="549"/>
    </row>
    <row r="104" spans="1:17" s="715" customFormat="1" ht="15" x14ac:dyDescent="0.25">
      <c r="A104" s="549"/>
      <c r="B104" s="549"/>
      <c r="C104" s="586"/>
      <c r="D104" s="586"/>
      <c r="E104" s="684"/>
      <c r="F104" s="549"/>
      <c r="G104" s="586"/>
      <c r="H104" s="549"/>
      <c r="I104" s="549"/>
      <c r="J104" s="549"/>
      <c r="K104" s="633"/>
      <c r="L104" s="633"/>
      <c r="M104" s="657"/>
      <c r="N104" s="549"/>
      <c r="O104" s="549"/>
      <c r="P104" s="549"/>
    </row>
    <row r="105" spans="1:17" s="715" customFormat="1" ht="15" x14ac:dyDescent="0.25">
      <c r="A105" s="549"/>
      <c r="B105" s="549"/>
      <c r="C105" s="586"/>
      <c r="D105" s="586"/>
      <c r="E105" s="684"/>
      <c r="F105" s="549"/>
      <c r="G105" s="586"/>
      <c r="H105" s="549"/>
      <c r="I105" s="549"/>
      <c r="J105" s="549"/>
      <c r="K105" s="633"/>
      <c r="L105" s="633"/>
      <c r="M105" s="657"/>
      <c r="N105" s="549"/>
      <c r="O105" s="549"/>
      <c r="P105" s="549"/>
    </row>
    <row r="106" spans="1:17" s="715" customFormat="1" ht="15" x14ac:dyDescent="0.25">
      <c r="A106" s="549"/>
      <c r="B106" s="549"/>
      <c r="C106" s="586"/>
      <c r="D106" s="586"/>
      <c r="E106" s="684"/>
      <c r="F106" s="549"/>
      <c r="G106" s="586"/>
      <c r="H106" s="549"/>
      <c r="I106" s="549"/>
      <c r="J106" s="549"/>
      <c r="K106" s="633"/>
      <c r="L106" s="633"/>
      <c r="M106" s="657"/>
      <c r="N106" s="549"/>
      <c r="O106" s="549"/>
      <c r="P106" s="549"/>
    </row>
    <row r="107" spans="1:17" s="715" customFormat="1" ht="15" x14ac:dyDescent="0.25">
      <c r="A107" s="549"/>
      <c r="B107" s="549"/>
      <c r="C107" s="586"/>
      <c r="D107" s="586"/>
      <c r="E107" s="684"/>
      <c r="F107" s="549"/>
      <c r="G107" s="586"/>
      <c r="H107" s="549"/>
      <c r="I107" s="549"/>
      <c r="J107" s="549"/>
      <c r="K107" s="633"/>
      <c r="L107" s="633"/>
      <c r="M107" s="657"/>
      <c r="N107" s="549"/>
      <c r="O107" s="549"/>
      <c r="P107" s="549"/>
    </row>
    <row r="108" spans="1:17" s="715" customFormat="1" ht="15" x14ac:dyDescent="0.25">
      <c r="A108" s="549"/>
      <c r="B108" s="549"/>
      <c r="C108" s="586"/>
      <c r="D108" s="586"/>
      <c r="E108" s="684"/>
      <c r="F108" s="549"/>
      <c r="G108" s="586"/>
      <c r="H108" s="549"/>
      <c r="I108" s="549"/>
      <c r="J108" s="549"/>
      <c r="K108" s="633"/>
      <c r="L108" s="633"/>
      <c r="M108" s="657"/>
      <c r="N108" s="549"/>
      <c r="O108" s="549"/>
      <c r="P108" s="549"/>
    </row>
    <row r="109" spans="1:17" s="715" customFormat="1" ht="15" x14ac:dyDescent="0.25">
      <c r="A109" s="549"/>
      <c r="B109" s="549"/>
      <c r="C109" s="586"/>
      <c r="D109" s="586"/>
      <c r="E109" s="684"/>
      <c r="F109" s="549"/>
      <c r="G109" s="586"/>
      <c r="H109" s="549"/>
      <c r="I109" s="549"/>
      <c r="J109" s="549"/>
      <c r="K109" s="633"/>
      <c r="L109" s="633"/>
      <c r="M109" s="657"/>
      <c r="N109" s="549"/>
      <c r="O109" s="549"/>
      <c r="P109" s="549"/>
    </row>
    <row r="110" spans="1:17" s="715" customFormat="1" ht="15" x14ac:dyDescent="0.25">
      <c r="A110" s="549"/>
      <c r="B110" s="549"/>
      <c r="C110" s="586"/>
      <c r="D110" s="586"/>
      <c r="E110" s="684"/>
      <c r="F110" s="549"/>
      <c r="G110" s="586"/>
      <c r="H110" s="549"/>
      <c r="I110" s="549"/>
      <c r="J110" s="549"/>
      <c r="K110" s="633"/>
      <c r="L110" s="633"/>
      <c r="M110" s="657"/>
      <c r="N110" s="549"/>
      <c r="O110" s="549"/>
      <c r="P110" s="549"/>
    </row>
    <row r="111" spans="1:17" s="715" customFormat="1" ht="15" x14ac:dyDescent="0.25">
      <c r="A111" s="549"/>
      <c r="B111" s="549"/>
      <c r="C111" s="586"/>
      <c r="D111" s="586"/>
      <c r="E111" s="684"/>
      <c r="F111" s="549"/>
      <c r="G111" s="586"/>
      <c r="H111" s="549"/>
      <c r="I111" s="549"/>
      <c r="J111" s="549"/>
      <c r="K111" s="633"/>
      <c r="L111" s="633"/>
      <c r="M111" s="657"/>
      <c r="N111" s="549"/>
      <c r="O111" s="549"/>
      <c r="P111" s="549"/>
    </row>
    <row r="112" spans="1:17" s="715" customFormat="1" ht="15" x14ac:dyDescent="0.25">
      <c r="A112" s="549"/>
      <c r="B112" s="549"/>
      <c r="C112" s="586"/>
      <c r="D112" s="586"/>
      <c r="E112" s="684"/>
      <c r="F112" s="549"/>
      <c r="G112" s="586"/>
      <c r="H112" s="549"/>
      <c r="I112" s="549"/>
      <c r="J112" s="549"/>
      <c r="K112" s="633"/>
      <c r="L112" s="633"/>
      <c r="M112" s="657"/>
      <c r="N112" s="549"/>
      <c r="O112" s="549"/>
      <c r="P112" s="549"/>
    </row>
    <row r="113" spans="1:16" s="715" customFormat="1" ht="15" x14ac:dyDescent="0.25">
      <c r="A113" s="549"/>
      <c r="B113" s="549"/>
      <c r="C113" s="586"/>
      <c r="D113" s="586"/>
      <c r="E113" s="684"/>
      <c r="F113" s="549"/>
      <c r="G113" s="586"/>
      <c r="H113" s="549"/>
      <c r="I113" s="549"/>
      <c r="J113" s="549"/>
      <c r="K113" s="633"/>
      <c r="L113" s="633"/>
      <c r="M113" s="657"/>
      <c r="N113" s="549"/>
      <c r="O113" s="549"/>
      <c r="P113" s="549"/>
    </row>
    <row r="114" spans="1:16" s="715" customFormat="1" ht="15" x14ac:dyDescent="0.25">
      <c r="A114" s="549"/>
      <c r="B114" s="549"/>
      <c r="C114" s="586"/>
      <c r="D114" s="586"/>
      <c r="E114" s="684"/>
      <c r="F114" s="549"/>
      <c r="G114" s="586"/>
      <c r="H114" s="549"/>
      <c r="I114" s="549"/>
      <c r="J114" s="549"/>
      <c r="K114" s="633"/>
      <c r="L114" s="633"/>
      <c r="M114" s="657"/>
      <c r="N114" s="549"/>
      <c r="O114" s="549"/>
      <c r="P114" s="549"/>
    </row>
    <row r="115" spans="1:16" s="715" customFormat="1" ht="15" x14ac:dyDescent="0.25">
      <c r="A115" s="549"/>
      <c r="B115" s="549"/>
      <c r="C115" s="586"/>
      <c r="D115" s="586"/>
      <c r="E115" s="684"/>
      <c r="F115" s="549"/>
      <c r="G115" s="586"/>
      <c r="H115" s="549"/>
      <c r="I115" s="549"/>
      <c r="J115" s="549"/>
      <c r="K115" s="633"/>
      <c r="L115" s="633"/>
      <c r="M115" s="657"/>
      <c r="N115" s="549"/>
      <c r="O115" s="549"/>
      <c r="P115" s="549"/>
    </row>
    <row r="116" spans="1:16" s="715" customFormat="1" ht="15" x14ac:dyDescent="0.25">
      <c r="A116" s="549"/>
      <c r="B116" s="549"/>
      <c r="C116" s="586"/>
      <c r="D116" s="586"/>
      <c r="E116" s="684"/>
      <c r="F116" s="549"/>
      <c r="G116" s="586"/>
      <c r="H116" s="549"/>
      <c r="I116" s="549"/>
      <c r="J116" s="549"/>
      <c r="K116" s="633"/>
      <c r="L116" s="633"/>
      <c r="M116" s="657"/>
      <c r="N116" s="549"/>
      <c r="O116" s="549"/>
      <c r="P116" s="549"/>
    </row>
    <row r="117" spans="1:16" s="715" customFormat="1" ht="15" x14ac:dyDescent="0.25">
      <c r="A117" s="549"/>
      <c r="B117" s="549"/>
      <c r="C117" s="586"/>
      <c r="D117" s="586"/>
      <c r="E117" s="684"/>
      <c r="F117" s="549"/>
      <c r="G117" s="586"/>
      <c r="H117" s="549"/>
      <c r="I117" s="549"/>
      <c r="J117" s="549"/>
      <c r="K117" s="633"/>
      <c r="L117" s="633"/>
      <c r="M117" s="657"/>
      <c r="N117" s="549"/>
      <c r="O117" s="549"/>
      <c r="P117" s="549"/>
    </row>
    <row r="118" spans="1:16" s="715" customFormat="1" ht="15" x14ac:dyDescent="0.25">
      <c r="A118" s="549"/>
      <c r="B118" s="549"/>
      <c r="C118" s="586"/>
      <c r="D118" s="586"/>
      <c r="E118" s="684"/>
      <c r="F118" s="549"/>
      <c r="G118" s="586"/>
      <c r="H118" s="549"/>
      <c r="I118" s="549"/>
      <c r="J118" s="549"/>
      <c r="K118" s="633"/>
      <c r="L118" s="633"/>
      <c r="M118" s="657"/>
      <c r="N118" s="549"/>
      <c r="O118" s="549"/>
      <c r="P118" s="549"/>
    </row>
    <row r="119" spans="1:16" s="715" customFormat="1" ht="15" x14ac:dyDescent="0.25">
      <c r="A119" s="549"/>
      <c r="B119" s="549"/>
      <c r="C119" s="586"/>
      <c r="D119" s="586"/>
      <c r="E119" s="684"/>
      <c r="F119" s="549"/>
      <c r="G119" s="586"/>
      <c r="H119" s="549"/>
      <c r="I119" s="549"/>
      <c r="J119" s="549"/>
      <c r="K119" s="633"/>
      <c r="L119" s="633"/>
      <c r="M119" s="657"/>
      <c r="N119" s="549"/>
      <c r="O119" s="549"/>
      <c r="P119" s="549"/>
    </row>
    <row r="120" spans="1:16" s="715" customFormat="1" ht="15" x14ac:dyDescent="0.25">
      <c r="A120" s="549"/>
      <c r="B120" s="549"/>
      <c r="C120" s="586"/>
      <c r="D120" s="586"/>
      <c r="E120" s="684"/>
      <c r="F120" s="549"/>
      <c r="G120" s="586"/>
      <c r="H120" s="549"/>
      <c r="I120" s="549"/>
      <c r="J120" s="549"/>
      <c r="K120" s="633"/>
      <c r="L120" s="633"/>
      <c r="M120" s="657"/>
      <c r="N120" s="549"/>
      <c r="O120" s="549"/>
      <c r="P120" s="549"/>
    </row>
    <row r="121" spans="1:16" s="715" customFormat="1" ht="15" x14ac:dyDescent="0.25">
      <c r="A121" s="549"/>
      <c r="B121" s="549"/>
      <c r="C121" s="586"/>
      <c r="D121" s="586"/>
      <c r="E121" s="684"/>
      <c r="F121" s="549"/>
      <c r="G121" s="586"/>
      <c r="H121" s="549"/>
      <c r="I121" s="549"/>
      <c r="J121" s="549"/>
      <c r="K121" s="633"/>
      <c r="L121" s="633"/>
      <c r="M121" s="657"/>
      <c r="N121" s="549"/>
      <c r="O121" s="549"/>
      <c r="P121" s="549"/>
    </row>
    <row r="122" spans="1:16" s="715" customFormat="1" ht="15" x14ac:dyDescent="0.25">
      <c r="A122" s="549"/>
      <c r="B122" s="549"/>
      <c r="C122" s="586"/>
      <c r="D122" s="586"/>
      <c r="E122" s="684"/>
      <c r="F122" s="549"/>
      <c r="G122" s="586"/>
      <c r="H122" s="549"/>
      <c r="I122" s="549"/>
      <c r="J122" s="549"/>
      <c r="K122" s="633"/>
      <c r="L122" s="633"/>
      <c r="M122" s="657"/>
      <c r="N122" s="549"/>
      <c r="O122" s="549"/>
      <c r="P122" s="549"/>
    </row>
    <row r="123" spans="1:16" s="715" customFormat="1" ht="15" x14ac:dyDescent="0.25">
      <c r="A123" s="549"/>
      <c r="B123" s="549"/>
      <c r="C123" s="586"/>
      <c r="D123" s="586"/>
      <c r="E123" s="684"/>
      <c r="F123" s="549"/>
      <c r="G123" s="586"/>
      <c r="H123" s="549"/>
      <c r="I123" s="549"/>
      <c r="J123" s="549"/>
      <c r="K123" s="633"/>
      <c r="L123" s="633"/>
      <c r="M123" s="657"/>
      <c r="N123" s="549"/>
      <c r="O123" s="549"/>
      <c r="P123" s="549"/>
    </row>
    <row r="124" spans="1:16" s="715" customFormat="1" ht="15" x14ac:dyDescent="0.25">
      <c r="A124" s="549"/>
      <c r="B124" s="549"/>
      <c r="C124" s="586"/>
      <c r="D124" s="586"/>
      <c r="E124" s="684"/>
      <c r="F124" s="549"/>
      <c r="G124" s="586"/>
      <c r="H124" s="549"/>
      <c r="I124" s="549"/>
      <c r="J124" s="549"/>
      <c r="K124" s="633"/>
      <c r="L124" s="633"/>
      <c r="M124" s="657"/>
      <c r="N124" s="549"/>
      <c r="O124" s="549"/>
      <c r="P124" s="549"/>
    </row>
    <row r="125" spans="1:16" s="715" customFormat="1" ht="15" x14ac:dyDescent="0.25">
      <c r="A125" s="549"/>
      <c r="B125" s="549"/>
      <c r="C125" s="586"/>
      <c r="D125" s="586"/>
      <c r="E125" s="684"/>
      <c r="F125" s="549"/>
      <c r="G125" s="586"/>
      <c r="H125" s="549"/>
      <c r="I125" s="549"/>
      <c r="J125" s="549"/>
      <c r="K125" s="633"/>
      <c r="L125" s="633"/>
      <c r="M125" s="657"/>
      <c r="N125" s="549"/>
      <c r="O125" s="549"/>
      <c r="P125" s="549"/>
    </row>
    <row r="126" spans="1:16" s="715" customFormat="1" ht="15" x14ac:dyDescent="0.25">
      <c r="A126" s="549"/>
      <c r="B126" s="549"/>
      <c r="C126" s="586"/>
      <c r="D126" s="586"/>
      <c r="E126" s="684"/>
      <c r="F126" s="549"/>
      <c r="G126" s="586"/>
      <c r="H126" s="549"/>
      <c r="I126" s="549"/>
      <c r="J126" s="549"/>
      <c r="K126" s="633"/>
      <c r="L126" s="633"/>
      <c r="M126" s="657"/>
      <c r="N126" s="549"/>
      <c r="O126" s="549"/>
      <c r="P126" s="549"/>
    </row>
    <row r="127" spans="1:16" s="715" customFormat="1" ht="15" x14ac:dyDescent="0.25">
      <c r="A127" s="549"/>
      <c r="B127" s="549"/>
      <c r="C127" s="586"/>
      <c r="D127" s="586"/>
      <c r="E127" s="684"/>
      <c r="F127" s="549"/>
      <c r="G127" s="586"/>
      <c r="H127" s="549"/>
      <c r="I127" s="549"/>
      <c r="J127" s="549"/>
      <c r="K127" s="633"/>
      <c r="L127" s="633"/>
      <c r="M127" s="657"/>
      <c r="N127" s="549"/>
      <c r="O127" s="549"/>
      <c r="P127" s="549"/>
    </row>
    <row r="128" spans="1:16" s="715" customFormat="1" ht="15" x14ac:dyDescent="0.25">
      <c r="A128" s="549"/>
      <c r="B128" s="549"/>
      <c r="C128" s="586"/>
      <c r="D128" s="586"/>
      <c r="E128" s="684"/>
      <c r="F128" s="549"/>
      <c r="G128" s="586"/>
      <c r="H128" s="549"/>
      <c r="I128" s="549"/>
      <c r="J128" s="549"/>
      <c r="K128" s="633"/>
      <c r="L128" s="633"/>
      <c r="M128" s="657"/>
      <c r="N128" s="549"/>
      <c r="O128" s="549"/>
      <c r="P128" s="549"/>
    </row>
    <row r="129" spans="1:16" s="715" customFormat="1" ht="15" x14ac:dyDescent="0.25">
      <c r="A129" s="549"/>
      <c r="B129" s="549"/>
      <c r="C129" s="586"/>
      <c r="D129" s="586"/>
      <c r="E129" s="684"/>
      <c r="F129" s="549"/>
      <c r="G129" s="586"/>
      <c r="H129" s="549"/>
      <c r="I129" s="549"/>
      <c r="J129" s="549"/>
      <c r="K129" s="633"/>
      <c r="L129" s="633"/>
      <c r="M129" s="657"/>
      <c r="N129" s="549"/>
      <c r="O129" s="549"/>
      <c r="P129" s="549"/>
    </row>
    <row r="130" spans="1:16" s="715" customFormat="1" ht="15" x14ac:dyDescent="0.25">
      <c r="A130" s="549"/>
      <c r="B130" s="549"/>
      <c r="C130" s="586"/>
      <c r="D130" s="586"/>
      <c r="E130" s="684"/>
      <c r="F130" s="549"/>
      <c r="G130" s="586"/>
      <c r="H130" s="549"/>
      <c r="I130" s="549"/>
      <c r="J130" s="549"/>
      <c r="K130" s="633"/>
      <c r="L130" s="633"/>
      <c r="M130" s="657"/>
      <c r="N130" s="549"/>
      <c r="O130" s="549"/>
      <c r="P130" s="549"/>
    </row>
    <row r="131" spans="1:16" s="715" customFormat="1" ht="15" x14ac:dyDescent="0.25">
      <c r="A131" s="549"/>
      <c r="B131" s="549"/>
      <c r="C131" s="586"/>
      <c r="D131" s="586"/>
      <c r="E131" s="684"/>
      <c r="F131" s="549"/>
      <c r="G131" s="586"/>
      <c r="H131" s="549"/>
      <c r="I131" s="549"/>
      <c r="J131" s="549"/>
      <c r="K131" s="633"/>
      <c r="L131" s="633"/>
      <c r="M131" s="657"/>
      <c r="N131" s="549"/>
      <c r="O131" s="549"/>
      <c r="P131" s="549"/>
    </row>
    <row r="132" spans="1:16" s="715" customFormat="1" ht="15" x14ac:dyDescent="0.25">
      <c r="A132" s="549"/>
      <c r="B132" s="549"/>
      <c r="C132" s="586"/>
      <c r="D132" s="586"/>
      <c r="E132" s="684"/>
      <c r="F132" s="549"/>
      <c r="G132" s="586"/>
      <c r="H132" s="549"/>
      <c r="I132" s="549"/>
      <c r="J132" s="549"/>
      <c r="K132" s="633"/>
      <c r="L132" s="633"/>
      <c r="M132" s="657"/>
      <c r="N132" s="549"/>
      <c r="O132" s="549"/>
      <c r="P132" s="549"/>
    </row>
    <row r="133" spans="1:16" s="715" customFormat="1" ht="15" x14ac:dyDescent="0.25">
      <c r="A133" s="549"/>
      <c r="B133" s="549"/>
      <c r="C133" s="586"/>
      <c r="D133" s="586"/>
      <c r="E133" s="684"/>
      <c r="F133" s="549"/>
      <c r="G133" s="586"/>
      <c r="H133" s="549"/>
      <c r="I133" s="549"/>
      <c r="J133" s="549"/>
      <c r="K133" s="633"/>
      <c r="L133" s="633"/>
      <c r="M133" s="657"/>
      <c r="N133" s="549"/>
      <c r="O133" s="549"/>
      <c r="P133" s="549"/>
    </row>
    <row r="134" spans="1:16" s="715" customFormat="1" ht="15" x14ac:dyDescent="0.25">
      <c r="A134" s="549"/>
      <c r="B134" s="549"/>
      <c r="C134" s="586"/>
      <c r="D134" s="586"/>
      <c r="E134" s="684"/>
      <c r="F134" s="549"/>
      <c r="G134" s="586"/>
      <c r="H134" s="549"/>
      <c r="I134" s="549"/>
      <c r="J134" s="549"/>
      <c r="K134" s="633"/>
      <c r="L134" s="633"/>
      <c r="M134" s="657"/>
      <c r="N134" s="549"/>
      <c r="O134" s="549"/>
      <c r="P134" s="549"/>
    </row>
    <row r="135" spans="1:16" s="715" customFormat="1" ht="15" x14ac:dyDescent="0.25">
      <c r="A135" s="549"/>
      <c r="B135" s="549"/>
      <c r="C135" s="586"/>
      <c r="D135" s="586"/>
      <c r="E135" s="684"/>
      <c r="F135" s="549"/>
      <c r="G135" s="586"/>
      <c r="H135" s="549"/>
      <c r="I135" s="549"/>
      <c r="J135" s="549"/>
      <c r="K135" s="633"/>
      <c r="L135" s="633"/>
      <c r="M135" s="657"/>
      <c r="N135" s="549"/>
      <c r="O135" s="549"/>
      <c r="P135" s="549"/>
    </row>
    <row r="136" spans="1:16" s="715" customFormat="1" ht="15" x14ac:dyDescent="0.25">
      <c r="A136" s="549"/>
      <c r="B136" s="549"/>
      <c r="C136" s="586"/>
      <c r="D136" s="586"/>
      <c r="E136" s="684"/>
      <c r="F136" s="549"/>
      <c r="G136" s="586"/>
      <c r="H136" s="549"/>
      <c r="I136" s="549"/>
      <c r="J136" s="549"/>
      <c r="K136" s="633"/>
      <c r="L136" s="633"/>
      <c r="M136" s="657"/>
      <c r="N136" s="549"/>
      <c r="O136" s="549"/>
      <c r="P136" s="549"/>
    </row>
    <row r="137" spans="1:16" s="715" customFormat="1" ht="15" x14ac:dyDescent="0.25">
      <c r="A137" s="549"/>
      <c r="B137" s="549"/>
      <c r="C137" s="586"/>
      <c r="D137" s="586"/>
      <c r="E137" s="684"/>
      <c r="F137" s="549"/>
      <c r="G137" s="586"/>
      <c r="H137" s="549"/>
      <c r="I137" s="549"/>
      <c r="J137" s="549"/>
      <c r="K137" s="633"/>
      <c r="L137" s="633"/>
      <c r="M137" s="657"/>
      <c r="N137" s="549"/>
      <c r="O137" s="549"/>
      <c r="P137" s="549"/>
    </row>
    <row r="138" spans="1:16" s="715" customFormat="1" ht="15" x14ac:dyDescent="0.25">
      <c r="A138" s="549"/>
      <c r="B138" s="549"/>
      <c r="C138" s="586"/>
      <c r="D138" s="586"/>
      <c r="E138" s="684"/>
      <c r="F138" s="549"/>
      <c r="G138" s="586"/>
      <c r="H138" s="549"/>
      <c r="I138" s="549"/>
      <c r="J138" s="549"/>
      <c r="K138" s="633"/>
      <c r="L138" s="633"/>
      <c r="M138" s="657"/>
      <c r="N138" s="549"/>
      <c r="O138" s="549"/>
      <c r="P138" s="549"/>
    </row>
    <row r="139" spans="1:16" s="715" customFormat="1" ht="15" x14ac:dyDescent="0.25">
      <c r="A139" s="549"/>
      <c r="B139" s="549"/>
      <c r="C139" s="586"/>
      <c r="D139" s="586"/>
      <c r="E139" s="684"/>
      <c r="F139" s="549"/>
      <c r="G139" s="586"/>
      <c r="H139" s="549"/>
      <c r="I139" s="549"/>
      <c r="J139" s="549"/>
      <c r="K139" s="633"/>
      <c r="L139" s="633"/>
      <c r="M139" s="657"/>
      <c r="N139" s="549"/>
      <c r="O139" s="549"/>
      <c r="P139" s="549"/>
    </row>
    <row r="140" spans="1:16" s="715" customFormat="1" ht="15" x14ac:dyDescent="0.25">
      <c r="A140" s="549"/>
      <c r="B140" s="549"/>
      <c r="C140" s="586"/>
      <c r="D140" s="586"/>
      <c r="E140" s="684"/>
      <c r="F140" s="549"/>
      <c r="G140" s="586"/>
      <c r="H140" s="549"/>
      <c r="I140" s="549"/>
      <c r="J140" s="549"/>
      <c r="K140" s="633"/>
      <c r="L140" s="633"/>
      <c r="M140" s="657"/>
      <c r="N140" s="549"/>
      <c r="O140" s="549"/>
      <c r="P140" s="549"/>
    </row>
    <row r="141" spans="1:16" s="715" customFormat="1" ht="15" x14ac:dyDescent="0.25">
      <c r="A141" s="549"/>
      <c r="B141" s="549"/>
      <c r="C141" s="586"/>
      <c r="D141" s="586"/>
      <c r="E141" s="684"/>
      <c r="F141" s="549"/>
      <c r="G141" s="586"/>
      <c r="H141" s="549"/>
      <c r="I141" s="549"/>
      <c r="J141" s="549"/>
      <c r="K141" s="633"/>
      <c r="L141" s="633"/>
      <c r="M141" s="657"/>
      <c r="N141" s="549"/>
      <c r="O141" s="549"/>
      <c r="P141" s="549"/>
    </row>
    <row r="142" spans="1:16" s="715" customFormat="1" ht="15" x14ac:dyDescent="0.25">
      <c r="A142" s="549"/>
      <c r="B142" s="549"/>
      <c r="C142" s="586"/>
      <c r="D142" s="586"/>
      <c r="E142" s="684"/>
      <c r="F142" s="549"/>
      <c r="G142" s="586"/>
      <c r="H142" s="549"/>
      <c r="I142" s="549"/>
      <c r="J142" s="549"/>
      <c r="K142" s="633"/>
      <c r="L142" s="633"/>
      <c r="M142" s="657"/>
      <c r="N142" s="549"/>
      <c r="O142" s="549"/>
      <c r="P142" s="549"/>
    </row>
    <row r="143" spans="1:16" s="715" customFormat="1" ht="15" x14ac:dyDescent="0.25">
      <c r="A143" s="549"/>
      <c r="B143" s="549"/>
      <c r="C143" s="586"/>
      <c r="D143" s="586"/>
      <c r="E143" s="684"/>
      <c r="F143" s="549"/>
      <c r="G143" s="586"/>
      <c r="H143" s="549"/>
      <c r="I143" s="549"/>
      <c r="J143" s="549"/>
      <c r="K143" s="633"/>
      <c r="L143" s="633"/>
      <c r="M143" s="657"/>
      <c r="N143" s="549"/>
      <c r="O143" s="549"/>
      <c r="P143" s="549"/>
    </row>
    <row r="144" spans="1:16" s="715" customFormat="1" ht="15" x14ac:dyDescent="0.25">
      <c r="A144" s="549"/>
      <c r="B144" s="549"/>
      <c r="C144" s="586"/>
      <c r="D144" s="586"/>
      <c r="E144" s="684"/>
      <c r="F144" s="549"/>
      <c r="G144" s="586"/>
      <c r="H144" s="549"/>
      <c r="I144" s="549"/>
      <c r="J144" s="549"/>
      <c r="K144" s="633"/>
      <c r="L144" s="633"/>
      <c r="M144" s="657"/>
      <c r="N144" s="549"/>
      <c r="O144" s="549"/>
      <c r="P144" s="549"/>
    </row>
    <row r="145" spans="1:16" s="715" customFormat="1" ht="15" x14ac:dyDescent="0.25">
      <c r="A145" s="549"/>
      <c r="B145" s="549"/>
      <c r="C145" s="586"/>
      <c r="D145" s="586"/>
      <c r="E145" s="684"/>
      <c r="F145" s="549"/>
      <c r="G145" s="586"/>
      <c r="H145" s="549"/>
      <c r="I145" s="549"/>
      <c r="J145" s="549"/>
      <c r="K145" s="633"/>
      <c r="L145" s="633"/>
      <c r="M145" s="657"/>
      <c r="N145" s="549"/>
      <c r="O145" s="549"/>
      <c r="P145" s="549"/>
    </row>
    <row r="146" spans="1:16" s="715" customFormat="1" ht="15" x14ac:dyDescent="0.25">
      <c r="A146" s="549"/>
      <c r="B146" s="549"/>
      <c r="C146" s="586"/>
      <c r="D146" s="586"/>
      <c r="E146" s="684"/>
      <c r="F146" s="549"/>
      <c r="G146" s="586"/>
      <c r="H146" s="549"/>
      <c r="I146" s="549"/>
      <c r="J146" s="549"/>
      <c r="K146" s="633"/>
      <c r="L146" s="633"/>
      <c r="M146" s="657"/>
      <c r="N146" s="549"/>
      <c r="O146" s="549"/>
      <c r="P146" s="549"/>
    </row>
    <row r="147" spans="1:16" s="715" customFormat="1" ht="15" x14ac:dyDescent="0.25">
      <c r="A147" s="549"/>
      <c r="B147" s="549"/>
      <c r="C147" s="586"/>
      <c r="D147" s="586"/>
      <c r="E147" s="684"/>
      <c r="F147" s="549"/>
      <c r="G147" s="586"/>
      <c r="H147" s="549"/>
      <c r="I147" s="549"/>
      <c r="J147" s="549"/>
      <c r="K147" s="633"/>
      <c r="L147" s="633"/>
      <c r="M147" s="657"/>
      <c r="N147" s="549"/>
      <c r="O147" s="549"/>
      <c r="P147" s="549"/>
    </row>
    <row r="148" spans="1:16" s="715" customFormat="1" ht="15" x14ac:dyDescent="0.25">
      <c r="A148" s="549"/>
      <c r="B148" s="549"/>
      <c r="C148" s="586"/>
      <c r="D148" s="586"/>
      <c r="E148" s="684"/>
      <c r="F148" s="549"/>
      <c r="G148" s="586"/>
      <c r="H148" s="549"/>
      <c r="I148" s="549"/>
      <c r="J148" s="549"/>
      <c r="K148" s="633"/>
      <c r="L148" s="633"/>
      <c r="M148" s="657"/>
      <c r="N148" s="549"/>
      <c r="O148" s="549"/>
      <c r="P148" s="549"/>
    </row>
    <row r="149" spans="1:16" s="715" customFormat="1" ht="15" x14ac:dyDescent="0.25">
      <c r="A149" s="549"/>
      <c r="B149" s="549"/>
      <c r="C149" s="586"/>
      <c r="D149" s="586"/>
      <c r="E149" s="684"/>
      <c r="F149" s="549"/>
      <c r="G149" s="586"/>
      <c r="H149" s="549"/>
      <c r="I149" s="549"/>
      <c r="J149" s="549"/>
      <c r="K149" s="633"/>
      <c r="L149" s="633"/>
      <c r="M149" s="657"/>
      <c r="N149" s="549"/>
      <c r="O149" s="549"/>
      <c r="P149" s="549"/>
    </row>
    <row r="150" spans="1:16" s="715" customFormat="1" ht="15" x14ac:dyDescent="0.25">
      <c r="A150" s="549"/>
      <c r="B150" s="549"/>
      <c r="C150" s="586"/>
      <c r="D150" s="586"/>
      <c r="E150" s="684"/>
      <c r="F150" s="549"/>
      <c r="G150" s="586"/>
      <c r="H150" s="549"/>
      <c r="I150" s="549"/>
      <c r="J150" s="549"/>
      <c r="K150" s="633"/>
      <c r="L150" s="633"/>
      <c r="M150" s="657"/>
      <c r="N150" s="549"/>
      <c r="O150" s="549"/>
      <c r="P150" s="549"/>
    </row>
    <row r="151" spans="1:16" s="715" customFormat="1" ht="15" x14ac:dyDescent="0.25">
      <c r="A151" s="549"/>
      <c r="B151" s="549"/>
      <c r="C151" s="586"/>
      <c r="D151" s="586"/>
      <c r="E151" s="684"/>
      <c r="F151" s="549"/>
      <c r="G151" s="586"/>
      <c r="H151" s="549"/>
      <c r="I151" s="549"/>
      <c r="J151" s="549"/>
      <c r="K151" s="633"/>
      <c r="L151" s="633"/>
      <c r="M151" s="657"/>
      <c r="N151" s="549"/>
      <c r="O151" s="549"/>
      <c r="P151" s="549"/>
    </row>
    <row r="152" spans="1:16" s="715" customFormat="1" ht="15" x14ac:dyDescent="0.25">
      <c r="A152" s="549"/>
      <c r="B152" s="549"/>
      <c r="C152" s="586"/>
      <c r="D152" s="586"/>
      <c r="E152" s="684"/>
      <c r="F152" s="549"/>
      <c r="G152" s="586"/>
      <c r="H152" s="549"/>
      <c r="I152" s="549"/>
      <c r="J152" s="549"/>
      <c r="K152" s="633"/>
      <c r="L152" s="633"/>
      <c r="M152" s="657"/>
      <c r="N152" s="549"/>
      <c r="O152" s="549"/>
      <c r="P152" s="549"/>
    </row>
    <row r="153" spans="1:16" s="715" customFormat="1" ht="15" x14ac:dyDescent="0.25">
      <c r="A153" s="549"/>
      <c r="B153" s="549"/>
      <c r="C153" s="586"/>
      <c r="D153" s="586"/>
      <c r="E153" s="684"/>
      <c r="F153" s="549"/>
      <c r="G153" s="586"/>
      <c r="H153" s="549"/>
      <c r="I153" s="549"/>
      <c r="J153" s="549"/>
      <c r="K153" s="633"/>
      <c r="L153" s="633"/>
      <c r="M153" s="657"/>
      <c r="N153" s="549"/>
      <c r="O153" s="549"/>
      <c r="P153" s="549"/>
    </row>
    <row r="154" spans="1:16" s="715" customFormat="1" ht="0" hidden="1" customHeight="1" x14ac:dyDescent="0.25">
      <c r="A154" s="549"/>
      <c r="B154" s="549"/>
      <c r="C154" s="586"/>
      <c r="D154" s="586"/>
      <c r="E154" s="684"/>
      <c r="F154" s="549"/>
      <c r="G154" s="586"/>
      <c r="H154" s="549"/>
      <c r="I154" s="549"/>
      <c r="J154" s="549"/>
      <c r="K154" s="633"/>
      <c r="L154" s="633"/>
      <c r="M154" s="657"/>
      <c r="N154" s="549"/>
      <c r="O154" s="549"/>
      <c r="P154" s="549"/>
    </row>
    <row r="155" spans="1:16" s="715" customFormat="1" ht="0" hidden="1" customHeight="1" x14ac:dyDescent="0.25">
      <c r="A155" s="549"/>
      <c r="B155" s="549"/>
      <c r="C155" s="586"/>
      <c r="D155" s="586"/>
      <c r="E155" s="684"/>
      <c r="F155" s="549"/>
      <c r="G155" s="586"/>
      <c r="H155" s="549"/>
      <c r="I155" s="549"/>
      <c r="J155" s="549"/>
      <c r="K155" s="633"/>
      <c r="L155" s="633"/>
      <c r="M155" s="657"/>
      <c r="N155" s="549"/>
      <c r="O155" s="549"/>
      <c r="P155" s="549"/>
    </row>
    <row r="156" spans="1:16" s="715" customFormat="1" ht="0" hidden="1" customHeight="1" x14ac:dyDescent="0.25">
      <c r="A156" s="549"/>
      <c r="B156" s="549"/>
      <c r="C156" s="586"/>
      <c r="D156" s="586"/>
      <c r="E156" s="684"/>
      <c r="F156" s="549"/>
      <c r="G156" s="586"/>
      <c r="H156" s="549"/>
      <c r="I156" s="549"/>
      <c r="J156" s="549"/>
      <c r="K156" s="633"/>
      <c r="L156" s="633"/>
      <c r="M156" s="657"/>
      <c r="N156" s="549"/>
      <c r="O156" s="549"/>
      <c r="P156" s="549"/>
    </row>
    <row r="157" spans="1:16" s="715" customFormat="1" ht="0" hidden="1" customHeight="1" x14ac:dyDescent="0.25">
      <c r="A157" s="549"/>
      <c r="B157" s="549"/>
      <c r="C157" s="586"/>
      <c r="D157" s="586"/>
      <c r="E157" s="684"/>
      <c r="F157" s="549"/>
      <c r="G157" s="586"/>
      <c r="H157" s="549"/>
      <c r="I157" s="549"/>
      <c r="J157" s="549"/>
      <c r="K157" s="633"/>
      <c r="L157" s="633"/>
      <c r="M157" s="657"/>
      <c r="N157" s="549"/>
      <c r="O157" s="549"/>
      <c r="P157" s="549"/>
    </row>
    <row r="158" spans="1:16" s="715" customFormat="1" ht="0" hidden="1" customHeight="1" x14ac:dyDescent="0.25">
      <c r="A158" s="549"/>
      <c r="B158" s="549"/>
      <c r="C158" s="586"/>
      <c r="D158" s="586"/>
      <c r="E158" s="684"/>
      <c r="F158" s="549"/>
      <c r="G158" s="586"/>
      <c r="H158" s="549"/>
      <c r="I158" s="549"/>
      <c r="J158" s="549"/>
      <c r="K158" s="633"/>
      <c r="L158" s="633"/>
      <c r="M158" s="657"/>
      <c r="N158" s="549"/>
      <c r="O158" s="549"/>
      <c r="P158" s="549"/>
    </row>
    <row r="159" spans="1:16" s="715" customFormat="1" ht="0" hidden="1" customHeight="1" x14ac:dyDescent="0.25">
      <c r="A159" s="549"/>
      <c r="B159" s="549"/>
      <c r="C159" s="586"/>
      <c r="D159" s="586"/>
      <c r="E159" s="684"/>
      <c r="F159" s="549"/>
      <c r="G159" s="586"/>
      <c r="H159" s="549"/>
      <c r="I159" s="549"/>
      <c r="J159" s="549"/>
      <c r="K159" s="633"/>
      <c r="L159" s="633"/>
      <c r="M159" s="657"/>
      <c r="N159" s="549"/>
      <c r="O159" s="549"/>
      <c r="P159" s="549"/>
    </row>
    <row r="160" spans="1:16" s="715" customFormat="1" ht="0" hidden="1" customHeight="1" x14ac:dyDescent="0.25">
      <c r="A160" s="549"/>
      <c r="B160" s="549"/>
      <c r="C160" s="586"/>
      <c r="D160" s="586"/>
      <c r="E160" s="684"/>
      <c r="F160" s="549"/>
      <c r="G160" s="586"/>
      <c r="H160" s="549"/>
      <c r="I160" s="549"/>
      <c r="J160" s="549"/>
      <c r="K160" s="633"/>
      <c r="L160" s="633"/>
      <c r="M160" s="657"/>
      <c r="N160" s="549"/>
      <c r="O160" s="549"/>
      <c r="P160" s="549"/>
    </row>
    <row r="161" spans="1:16" s="715" customFormat="1" ht="0" hidden="1" customHeight="1" x14ac:dyDescent="0.25">
      <c r="A161" s="549"/>
      <c r="B161" s="549"/>
      <c r="C161" s="586"/>
      <c r="D161" s="586"/>
      <c r="E161" s="684"/>
      <c r="F161" s="549"/>
      <c r="G161" s="586"/>
      <c r="H161" s="549"/>
      <c r="I161" s="549"/>
      <c r="J161" s="549"/>
      <c r="K161" s="633"/>
      <c r="L161" s="633"/>
      <c r="M161" s="657"/>
      <c r="N161" s="549"/>
      <c r="O161" s="549"/>
      <c r="P161" s="549"/>
    </row>
    <row r="162" spans="1:16" s="715" customFormat="1" ht="0" hidden="1" customHeight="1" x14ac:dyDescent="0.25">
      <c r="A162" s="549"/>
      <c r="B162" s="549"/>
      <c r="C162" s="586"/>
      <c r="D162" s="586"/>
      <c r="E162" s="684"/>
      <c r="F162" s="549"/>
      <c r="G162" s="586"/>
      <c r="H162" s="549"/>
      <c r="I162" s="549"/>
      <c r="J162" s="549"/>
      <c r="K162" s="633"/>
      <c r="L162" s="633"/>
      <c r="M162" s="657"/>
      <c r="N162" s="549"/>
      <c r="O162" s="549"/>
      <c r="P162" s="549"/>
    </row>
    <row r="163" spans="1:16" s="715" customFormat="1" ht="0" hidden="1" customHeight="1" x14ac:dyDescent="0.25">
      <c r="A163" s="549"/>
      <c r="B163" s="549"/>
      <c r="C163" s="586"/>
      <c r="D163" s="586"/>
      <c r="E163" s="684"/>
      <c r="F163" s="549"/>
      <c r="G163" s="586"/>
      <c r="H163" s="549"/>
      <c r="I163" s="549"/>
      <c r="J163" s="549"/>
      <c r="K163" s="633"/>
      <c r="L163" s="633"/>
      <c r="M163" s="657"/>
      <c r="N163" s="549"/>
      <c r="O163" s="549"/>
      <c r="P163" s="549"/>
    </row>
    <row r="164" spans="1:16" s="715" customFormat="1" ht="0" hidden="1" customHeight="1" x14ac:dyDescent="0.25">
      <c r="A164" s="549"/>
      <c r="B164" s="549"/>
      <c r="C164" s="586"/>
      <c r="D164" s="586"/>
      <c r="E164" s="684"/>
      <c r="F164" s="549"/>
      <c r="G164" s="586"/>
      <c r="H164" s="549"/>
      <c r="I164" s="549"/>
      <c r="J164" s="549"/>
      <c r="K164" s="633"/>
      <c r="L164" s="633"/>
      <c r="M164" s="657"/>
      <c r="N164" s="549"/>
      <c r="O164" s="549"/>
      <c r="P164" s="549"/>
    </row>
    <row r="165" spans="1:16" s="715" customFormat="1" ht="0" hidden="1" customHeight="1" x14ac:dyDescent="0.25">
      <c r="A165" s="549"/>
      <c r="B165" s="549"/>
      <c r="C165" s="586"/>
      <c r="D165" s="586"/>
      <c r="E165" s="684"/>
      <c r="F165" s="549"/>
      <c r="G165" s="586"/>
      <c r="H165" s="549"/>
      <c r="I165" s="549"/>
      <c r="J165" s="549"/>
      <c r="K165" s="633"/>
      <c r="L165" s="633"/>
      <c r="M165" s="657"/>
      <c r="N165" s="549"/>
      <c r="O165" s="549"/>
      <c r="P165" s="549"/>
    </row>
    <row r="166" spans="1:16" s="715" customFormat="1" ht="0" hidden="1" customHeight="1" x14ac:dyDescent="0.25">
      <c r="A166" s="549"/>
      <c r="B166" s="549"/>
      <c r="C166" s="586"/>
      <c r="D166" s="586"/>
      <c r="E166" s="684"/>
      <c r="F166" s="549"/>
      <c r="G166" s="586"/>
      <c r="H166" s="549"/>
      <c r="I166" s="549"/>
      <c r="J166" s="549"/>
      <c r="K166" s="633"/>
      <c r="L166" s="633"/>
      <c r="M166" s="657"/>
      <c r="N166" s="549"/>
      <c r="O166" s="549"/>
      <c r="P166" s="549"/>
    </row>
    <row r="167" spans="1:16" s="715" customFormat="1" ht="0" hidden="1" customHeight="1" x14ac:dyDescent="0.25">
      <c r="A167" s="549"/>
      <c r="B167" s="549"/>
      <c r="C167" s="586"/>
      <c r="D167" s="586"/>
      <c r="E167" s="684"/>
      <c r="F167" s="549"/>
      <c r="G167" s="586"/>
      <c r="H167" s="549"/>
      <c r="I167" s="549"/>
      <c r="J167" s="549"/>
      <c r="K167" s="633"/>
      <c r="L167" s="633"/>
      <c r="M167" s="657"/>
      <c r="N167" s="549"/>
      <c r="O167" s="549"/>
      <c r="P167" s="549"/>
    </row>
    <row r="168" spans="1:16" s="715" customFormat="1" ht="0" hidden="1" customHeight="1" x14ac:dyDescent="0.25">
      <c r="A168" s="549"/>
      <c r="B168" s="549"/>
      <c r="C168" s="586"/>
      <c r="D168" s="586"/>
      <c r="E168" s="684"/>
      <c r="F168" s="549"/>
      <c r="G168" s="586"/>
      <c r="H168" s="549"/>
      <c r="I168" s="549"/>
      <c r="J168" s="549"/>
      <c r="K168" s="633"/>
      <c r="L168" s="633"/>
      <c r="M168" s="657"/>
      <c r="N168" s="549"/>
      <c r="O168" s="549"/>
      <c r="P168" s="549"/>
    </row>
    <row r="169" spans="1:16" s="715" customFormat="1" ht="0" hidden="1" customHeight="1" x14ac:dyDescent="0.25">
      <c r="A169" s="549"/>
      <c r="B169" s="549"/>
      <c r="C169" s="586"/>
      <c r="D169" s="586"/>
      <c r="E169" s="684"/>
      <c r="F169" s="549"/>
      <c r="G169" s="586"/>
      <c r="H169" s="549"/>
      <c r="I169" s="549"/>
      <c r="J169" s="549"/>
      <c r="K169" s="633"/>
      <c r="L169" s="633"/>
      <c r="M169" s="657"/>
      <c r="N169" s="549"/>
      <c r="O169" s="549"/>
      <c r="P169" s="549"/>
    </row>
    <row r="170" spans="1:16" s="715" customFormat="1" ht="0" hidden="1" customHeight="1" x14ac:dyDescent="0.25">
      <c r="A170" s="549"/>
      <c r="B170" s="549"/>
      <c r="C170" s="586"/>
      <c r="D170" s="586"/>
      <c r="E170" s="684"/>
      <c r="F170" s="549"/>
      <c r="G170" s="586"/>
      <c r="H170" s="549"/>
      <c r="I170" s="549"/>
      <c r="J170" s="549"/>
      <c r="K170" s="633"/>
      <c r="L170" s="633"/>
      <c r="M170" s="657"/>
      <c r="N170" s="549"/>
      <c r="O170" s="549"/>
      <c r="P170" s="549"/>
    </row>
    <row r="171" spans="1:16" s="715" customFormat="1" ht="0" hidden="1" customHeight="1" x14ac:dyDescent="0.25">
      <c r="A171" s="549"/>
      <c r="B171" s="549"/>
      <c r="C171" s="586"/>
      <c r="D171" s="586"/>
      <c r="E171" s="684"/>
      <c r="F171" s="549"/>
      <c r="G171" s="586"/>
      <c r="H171" s="549"/>
      <c r="I171" s="549"/>
      <c r="J171" s="549"/>
      <c r="K171" s="633"/>
      <c r="L171" s="633"/>
      <c r="M171" s="657"/>
      <c r="N171" s="549"/>
      <c r="O171" s="549"/>
      <c r="P171" s="549"/>
    </row>
    <row r="172" spans="1:16" s="715" customFormat="1" ht="0" hidden="1" customHeight="1" x14ac:dyDescent="0.25">
      <c r="A172" s="549"/>
      <c r="B172" s="549"/>
      <c r="C172" s="586"/>
      <c r="D172" s="586"/>
      <c r="E172" s="684"/>
      <c r="F172" s="549"/>
      <c r="G172" s="586"/>
      <c r="H172" s="549"/>
      <c r="I172" s="549"/>
      <c r="J172" s="549"/>
      <c r="K172" s="633"/>
      <c r="L172" s="633"/>
      <c r="M172" s="657"/>
      <c r="N172" s="549"/>
      <c r="O172" s="549"/>
      <c r="P172" s="549"/>
    </row>
    <row r="173" spans="1:16" s="715" customFormat="1" ht="0" hidden="1" customHeight="1" x14ac:dyDescent="0.25">
      <c r="A173" s="549"/>
      <c r="B173" s="549"/>
      <c r="C173" s="586"/>
      <c r="D173" s="586"/>
      <c r="E173" s="684"/>
      <c r="F173" s="549"/>
      <c r="G173" s="586"/>
      <c r="H173" s="549"/>
      <c r="I173" s="549"/>
      <c r="J173" s="549"/>
      <c r="K173" s="633"/>
      <c r="L173" s="633"/>
      <c r="M173" s="657"/>
      <c r="N173" s="549"/>
      <c r="O173" s="549"/>
      <c r="P173" s="549"/>
    </row>
    <row r="174" spans="1:16" s="715" customFormat="1" ht="0" hidden="1" customHeight="1" x14ac:dyDescent="0.25">
      <c r="A174" s="549"/>
      <c r="B174" s="549"/>
      <c r="C174" s="586"/>
      <c r="D174" s="586"/>
      <c r="E174" s="684"/>
      <c r="F174" s="549"/>
      <c r="G174" s="586"/>
      <c r="H174" s="549"/>
      <c r="I174" s="549"/>
      <c r="J174" s="549"/>
      <c r="K174" s="633"/>
      <c r="L174" s="633"/>
      <c r="M174" s="657"/>
      <c r="N174" s="549"/>
      <c r="O174" s="549"/>
      <c r="P174" s="549"/>
    </row>
    <row r="175" spans="1:16" s="715" customFormat="1" ht="0" hidden="1" customHeight="1" x14ac:dyDescent="0.25">
      <c r="A175" s="549"/>
      <c r="B175" s="549"/>
      <c r="C175" s="586"/>
      <c r="D175" s="586"/>
      <c r="E175" s="684"/>
      <c r="F175" s="549"/>
      <c r="G175" s="586"/>
      <c r="H175" s="549"/>
      <c r="I175" s="549"/>
      <c r="J175" s="549"/>
      <c r="K175" s="633"/>
      <c r="L175" s="633"/>
      <c r="M175" s="657"/>
      <c r="N175" s="549"/>
      <c r="O175" s="549"/>
      <c r="P175" s="549"/>
    </row>
    <row r="176" spans="1:16" s="715" customFormat="1" ht="0" hidden="1" customHeight="1" x14ac:dyDescent="0.25">
      <c r="A176" s="549"/>
      <c r="B176" s="549"/>
      <c r="C176" s="586"/>
      <c r="D176" s="586"/>
      <c r="E176" s="684"/>
      <c r="F176" s="549"/>
      <c r="G176" s="586"/>
      <c r="H176" s="549"/>
      <c r="I176" s="549"/>
      <c r="J176" s="549"/>
      <c r="K176" s="633"/>
      <c r="L176" s="633"/>
      <c r="M176" s="657"/>
      <c r="N176" s="549"/>
      <c r="O176" s="549"/>
      <c r="P176" s="549"/>
    </row>
    <row r="177" spans="1:16" s="715" customFormat="1" ht="0" hidden="1" customHeight="1" x14ac:dyDescent="0.25">
      <c r="A177" s="549"/>
      <c r="B177" s="549"/>
      <c r="C177" s="586"/>
      <c r="D177" s="586"/>
      <c r="E177" s="684"/>
      <c r="F177" s="549"/>
      <c r="G177" s="586"/>
      <c r="H177" s="549"/>
      <c r="I177" s="549"/>
      <c r="J177" s="549"/>
      <c r="K177" s="633"/>
      <c r="L177" s="633"/>
      <c r="M177" s="657"/>
      <c r="N177" s="549"/>
      <c r="O177" s="549"/>
      <c r="P177" s="549"/>
    </row>
    <row r="178" spans="1:16" s="715" customFormat="1" ht="0" hidden="1" customHeight="1" x14ac:dyDescent="0.25">
      <c r="A178" s="549"/>
      <c r="B178" s="549"/>
      <c r="C178" s="586"/>
      <c r="D178" s="586"/>
      <c r="E178" s="684"/>
      <c r="F178" s="549"/>
      <c r="G178" s="586"/>
      <c r="H178" s="549"/>
      <c r="I178" s="549"/>
      <c r="J178" s="549"/>
      <c r="K178" s="633"/>
      <c r="L178" s="633"/>
      <c r="M178" s="657"/>
      <c r="N178" s="549"/>
      <c r="O178" s="549"/>
      <c r="P178" s="549"/>
    </row>
    <row r="179" spans="1:16" s="715" customFormat="1" ht="0" hidden="1" customHeight="1" x14ac:dyDescent="0.25">
      <c r="A179" s="549"/>
      <c r="B179" s="549"/>
      <c r="C179" s="586"/>
      <c r="D179" s="586"/>
      <c r="E179" s="684"/>
      <c r="F179" s="549"/>
      <c r="G179" s="586"/>
      <c r="H179" s="549"/>
      <c r="I179" s="549"/>
      <c r="J179" s="549"/>
      <c r="K179" s="633"/>
      <c r="L179" s="633"/>
      <c r="M179" s="657"/>
      <c r="N179" s="549"/>
      <c r="O179" s="549"/>
      <c r="P179" s="549"/>
    </row>
    <row r="180" spans="1:16" s="715" customFormat="1" ht="0" hidden="1" customHeight="1" x14ac:dyDescent="0.25">
      <c r="A180" s="549"/>
      <c r="B180" s="549"/>
      <c r="C180" s="586"/>
      <c r="D180" s="586"/>
      <c r="E180" s="684"/>
      <c r="F180" s="549"/>
      <c r="G180" s="586"/>
      <c r="H180" s="549"/>
      <c r="I180" s="549"/>
      <c r="J180" s="549"/>
      <c r="K180" s="633"/>
      <c r="L180" s="633"/>
      <c r="M180" s="657"/>
      <c r="N180" s="549"/>
      <c r="O180" s="549"/>
      <c r="P180" s="549"/>
    </row>
    <row r="181" spans="1:16" s="715" customFormat="1" ht="0" hidden="1" customHeight="1" x14ac:dyDescent="0.25">
      <c r="A181" s="549"/>
      <c r="B181" s="549"/>
      <c r="C181" s="586"/>
      <c r="D181" s="586"/>
      <c r="E181" s="684"/>
      <c r="F181" s="549"/>
      <c r="G181" s="586"/>
      <c r="H181" s="549"/>
      <c r="I181" s="549"/>
      <c r="J181" s="549"/>
      <c r="K181" s="633"/>
      <c r="L181" s="633"/>
      <c r="M181" s="657"/>
      <c r="N181" s="549"/>
      <c r="O181" s="549"/>
      <c r="P181" s="549"/>
    </row>
    <row r="182" spans="1:16" s="715" customFormat="1" ht="0" hidden="1" customHeight="1" x14ac:dyDescent="0.25">
      <c r="A182" s="549"/>
      <c r="B182" s="549"/>
      <c r="C182" s="586"/>
      <c r="D182" s="586"/>
      <c r="E182" s="684"/>
      <c r="F182" s="549"/>
      <c r="G182" s="586"/>
      <c r="H182" s="549"/>
      <c r="I182" s="549"/>
      <c r="J182" s="549"/>
      <c r="K182" s="633"/>
      <c r="L182" s="633"/>
      <c r="M182" s="657"/>
      <c r="N182" s="549"/>
      <c r="O182" s="549"/>
      <c r="P182" s="549"/>
    </row>
    <row r="183" spans="1:16" s="715" customFormat="1" ht="0" hidden="1" customHeight="1" x14ac:dyDescent="0.25">
      <c r="A183" s="549"/>
      <c r="B183" s="549"/>
      <c r="C183" s="586"/>
      <c r="D183" s="586"/>
      <c r="E183" s="684"/>
      <c r="F183" s="549"/>
      <c r="G183" s="586"/>
      <c r="H183" s="549"/>
      <c r="I183" s="549"/>
      <c r="J183" s="549"/>
      <c r="K183" s="633"/>
      <c r="L183" s="633"/>
      <c r="M183" s="657"/>
      <c r="N183" s="549"/>
      <c r="O183" s="549"/>
      <c r="P183" s="549"/>
    </row>
    <row r="184" spans="1:16" s="715" customFormat="1" ht="0" hidden="1" customHeight="1" x14ac:dyDescent="0.25">
      <c r="A184" s="549"/>
      <c r="B184" s="549"/>
      <c r="C184" s="586"/>
      <c r="D184" s="586"/>
      <c r="E184" s="684"/>
      <c r="F184" s="549"/>
      <c r="G184" s="586"/>
      <c r="H184" s="549"/>
      <c r="I184" s="549"/>
      <c r="J184" s="549"/>
      <c r="K184" s="633"/>
      <c r="L184" s="633"/>
      <c r="M184" s="657"/>
      <c r="N184" s="549"/>
      <c r="O184" s="549"/>
      <c r="P184" s="549"/>
    </row>
    <row r="185" spans="1:16" s="715" customFormat="1" ht="0" hidden="1" customHeight="1" x14ac:dyDescent="0.25">
      <c r="A185" s="549"/>
      <c r="B185" s="549"/>
      <c r="C185" s="586"/>
      <c r="D185" s="586"/>
      <c r="E185" s="684"/>
      <c r="F185" s="549"/>
      <c r="G185" s="586"/>
      <c r="H185" s="549"/>
      <c r="I185" s="549"/>
      <c r="J185" s="549"/>
      <c r="K185" s="633"/>
      <c r="L185" s="633"/>
      <c r="M185" s="657"/>
      <c r="N185" s="549"/>
      <c r="O185" s="549"/>
      <c r="P185" s="549"/>
    </row>
    <row r="186" spans="1:16" s="715" customFormat="1" ht="0" hidden="1" customHeight="1" x14ac:dyDescent="0.25">
      <c r="A186" s="549"/>
      <c r="B186" s="549"/>
      <c r="C186" s="586"/>
      <c r="D186" s="586"/>
      <c r="E186" s="684"/>
      <c r="F186" s="549"/>
      <c r="G186" s="586"/>
      <c r="H186" s="549"/>
      <c r="I186" s="549"/>
      <c r="J186" s="549"/>
      <c r="K186" s="633"/>
      <c r="L186" s="633"/>
      <c r="M186" s="657"/>
      <c r="N186" s="549"/>
      <c r="O186" s="549"/>
      <c r="P186" s="549"/>
    </row>
    <row r="187" spans="1:16" s="715" customFormat="1" ht="0" hidden="1" customHeight="1" x14ac:dyDescent="0.25">
      <c r="A187" s="549"/>
      <c r="B187" s="549"/>
      <c r="C187" s="586"/>
      <c r="D187" s="586"/>
      <c r="E187" s="684"/>
      <c r="F187" s="549"/>
      <c r="G187" s="586"/>
      <c r="H187" s="549"/>
      <c r="I187" s="549"/>
      <c r="J187" s="549"/>
      <c r="K187" s="633"/>
      <c r="L187" s="633"/>
      <c r="M187" s="657"/>
      <c r="N187" s="549"/>
      <c r="O187" s="549"/>
      <c r="P187" s="549"/>
    </row>
    <row r="188" spans="1:16" s="715" customFormat="1" ht="0" hidden="1" customHeight="1" x14ac:dyDescent="0.25">
      <c r="A188" s="549"/>
      <c r="B188" s="549"/>
      <c r="C188" s="586"/>
      <c r="D188" s="586"/>
      <c r="E188" s="684"/>
      <c r="F188" s="549"/>
      <c r="G188" s="586"/>
      <c r="H188" s="549"/>
      <c r="I188" s="549"/>
      <c r="J188" s="549"/>
      <c r="K188" s="633"/>
      <c r="L188" s="633"/>
      <c r="M188" s="657"/>
      <c r="N188" s="549"/>
      <c r="O188" s="549"/>
      <c r="P188" s="549"/>
    </row>
    <row r="189" spans="1:16" s="715" customFormat="1" ht="0" hidden="1" customHeight="1" x14ac:dyDescent="0.25">
      <c r="A189" s="549"/>
      <c r="B189" s="549"/>
      <c r="C189" s="586"/>
      <c r="D189" s="586"/>
      <c r="E189" s="684"/>
      <c r="F189" s="549"/>
      <c r="G189" s="586"/>
      <c r="H189" s="549"/>
      <c r="I189" s="549"/>
      <c r="J189" s="549"/>
      <c r="K189" s="633"/>
      <c r="L189" s="633"/>
      <c r="M189" s="657"/>
      <c r="N189" s="549"/>
      <c r="O189" s="549"/>
      <c r="P189" s="549"/>
    </row>
    <row r="190" spans="1:16" s="715" customFormat="1" ht="0" hidden="1" customHeight="1" x14ac:dyDescent="0.25">
      <c r="A190" s="549"/>
      <c r="B190" s="549"/>
      <c r="C190" s="586"/>
      <c r="D190" s="586"/>
      <c r="E190" s="684"/>
      <c r="F190" s="549"/>
      <c r="G190" s="586"/>
      <c r="H190" s="549"/>
      <c r="I190" s="549"/>
      <c r="J190" s="549"/>
      <c r="K190" s="633"/>
      <c r="L190" s="633"/>
      <c r="M190" s="657"/>
      <c r="N190" s="549"/>
      <c r="O190" s="549"/>
      <c r="P190" s="549"/>
    </row>
    <row r="191" spans="1:16" s="715" customFormat="1" ht="0" hidden="1" customHeight="1" x14ac:dyDescent="0.25">
      <c r="A191" s="549"/>
      <c r="B191" s="549"/>
      <c r="C191" s="586"/>
      <c r="D191" s="586"/>
      <c r="E191" s="684"/>
      <c r="F191" s="549"/>
      <c r="G191" s="586"/>
      <c r="H191" s="549"/>
      <c r="I191" s="549"/>
      <c r="J191" s="549"/>
      <c r="K191" s="633"/>
      <c r="L191" s="633"/>
      <c r="M191" s="657"/>
      <c r="N191" s="549"/>
      <c r="O191" s="549"/>
      <c r="P191" s="549"/>
    </row>
    <row r="192" spans="1:16" s="715" customFormat="1" ht="0" hidden="1" customHeight="1" x14ac:dyDescent="0.25">
      <c r="A192" s="549"/>
      <c r="B192" s="549"/>
      <c r="C192" s="586"/>
      <c r="D192" s="586"/>
      <c r="E192" s="684"/>
      <c r="F192" s="549"/>
      <c r="G192" s="586"/>
      <c r="H192" s="549"/>
      <c r="I192" s="549"/>
      <c r="J192" s="549"/>
      <c r="K192" s="633"/>
      <c r="L192" s="633"/>
      <c r="M192" s="657"/>
      <c r="N192" s="549"/>
      <c r="O192" s="549"/>
      <c r="P192" s="549"/>
    </row>
    <row r="193" spans="1:16" s="715" customFormat="1" ht="0" hidden="1" customHeight="1" x14ac:dyDescent="0.25">
      <c r="A193" s="549"/>
      <c r="B193" s="549"/>
      <c r="C193" s="586"/>
      <c r="D193" s="586"/>
      <c r="E193" s="684"/>
      <c r="F193" s="549"/>
      <c r="G193" s="586"/>
      <c r="H193" s="549"/>
      <c r="I193" s="549"/>
      <c r="J193" s="549"/>
      <c r="K193" s="633"/>
      <c r="L193" s="633"/>
      <c r="M193" s="657"/>
      <c r="N193" s="549"/>
      <c r="O193" s="549"/>
      <c r="P193" s="549"/>
    </row>
    <row r="194" spans="1:16" s="715" customFormat="1" ht="0" hidden="1" customHeight="1" x14ac:dyDescent="0.25">
      <c r="A194" s="549"/>
      <c r="B194" s="549"/>
      <c r="C194" s="586"/>
      <c r="D194" s="586"/>
      <c r="E194" s="684"/>
      <c r="F194" s="549"/>
      <c r="G194" s="586"/>
      <c r="H194" s="549"/>
      <c r="I194" s="549"/>
      <c r="J194" s="549"/>
      <c r="K194" s="633"/>
      <c r="L194" s="633"/>
      <c r="M194" s="657"/>
      <c r="N194" s="549"/>
      <c r="O194" s="549"/>
      <c r="P194" s="549"/>
    </row>
    <row r="195" spans="1:16" s="715" customFormat="1" ht="0" hidden="1" customHeight="1" x14ac:dyDescent="0.25">
      <c r="A195" s="549"/>
      <c r="B195" s="549"/>
      <c r="C195" s="586"/>
      <c r="D195" s="586"/>
      <c r="E195" s="684"/>
      <c r="F195" s="549"/>
      <c r="G195" s="586"/>
      <c r="H195" s="549"/>
      <c r="I195" s="549"/>
      <c r="J195" s="549"/>
      <c r="K195" s="633"/>
      <c r="L195" s="633"/>
      <c r="M195" s="657"/>
      <c r="N195" s="549"/>
      <c r="O195" s="549"/>
      <c r="P195" s="549"/>
    </row>
    <row r="196" spans="1:16" s="715" customFormat="1" ht="0" hidden="1" customHeight="1" x14ac:dyDescent="0.25">
      <c r="A196" s="549"/>
      <c r="B196" s="549"/>
      <c r="C196" s="586"/>
      <c r="D196" s="586"/>
      <c r="E196" s="684"/>
      <c r="F196" s="549"/>
      <c r="G196" s="586"/>
      <c r="H196" s="549"/>
      <c r="I196" s="549"/>
      <c r="J196" s="549"/>
      <c r="K196" s="633"/>
      <c r="L196" s="633"/>
      <c r="M196" s="657"/>
      <c r="N196" s="549"/>
      <c r="O196" s="549"/>
      <c r="P196" s="549"/>
    </row>
    <row r="197" spans="1:16" s="715" customFormat="1" ht="0" hidden="1" customHeight="1" x14ac:dyDescent="0.25">
      <c r="A197" s="549"/>
      <c r="B197" s="549"/>
      <c r="C197" s="586"/>
      <c r="D197" s="586"/>
      <c r="E197" s="684"/>
      <c r="F197" s="549"/>
      <c r="G197" s="586"/>
      <c r="H197" s="549"/>
      <c r="I197" s="549"/>
      <c r="J197" s="549"/>
      <c r="K197" s="633"/>
      <c r="L197" s="633"/>
      <c r="M197" s="657"/>
      <c r="N197" s="549"/>
      <c r="O197" s="549"/>
      <c r="P197" s="549"/>
    </row>
    <row r="198" spans="1:16" s="715" customFormat="1" ht="0" hidden="1" customHeight="1" x14ac:dyDescent="0.25">
      <c r="A198" s="549"/>
      <c r="B198" s="549"/>
      <c r="C198" s="586"/>
      <c r="D198" s="586"/>
      <c r="E198" s="684"/>
      <c r="F198" s="549"/>
      <c r="G198" s="586"/>
      <c r="H198" s="549"/>
      <c r="I198" s="549"/>
      <c r="J198" s="549"/>
      <c r="K198" s="633"/>
      <c r="L198" s="633"/>
      <c r="M198" s="657"/>
      <c r="N198" s="549"/>
      <c r="O198" s="549"/>
      <c r="P198" s="549"/>
    </row>
    <row r="199" spans="1:16" s="715" customFormat="1" ht="0" hidden="1" customHeight="1" x14ac:dyDescent="0.25">
      <c r="A199" s="549"/>
      <c r="B199" s="549"/>
      <c r="C199" s="586"/>
      <c r="D199" s="586"/>
      <c r="E199" s="684"/>
      <c r="F199" s="549"/>
      <c r="G199" s="586"/>
      <c r="H199" s="549"/>
      <c r="I199" s="549"/>
      <c r="J199" s="549"/>
      <c r="K199" s="633"/>
      <c r="L199" s="633"/>
      <c r="M199" s="657"/>
      <c r="N199" s="549"/>
      <c r="O199" s="549"/>
      <c r="P199" s="549"/>
    </row>
    <row r="200" spans="1:16" s="715" customFormat="1" ht="0" hidden="1" customHeight="1" x14ac:dyDescent="0.25">
      <c r="A200" s="549"/>
      <c r="B200" s="549"/>
      <c r="C200" s="586"/>
      <c r="D200" s="586"/>
      <c r="E200" s="684"/>
      <c r="F200" s="549"/>
      <c r="G200" s="586"/>
      <c r="H200" s="549"/>
      <c r="I200" s="549"/>
      <c r="J200" s="549"/>
      <c r="K200" s="633"/>
      <c r="L200" s="633"/>
      <c r="M200" s="657"/>
      <c r="N200" s="549"/>
      <c r="O200" s="549"/>
      <c r="P200" s="549"/>
    </row>
    <row r="201" spans="1:16" s="715" customFormat="1" ht="0" hidden="1" customHeight="1" x14ac:dyDescent="0.25">
      <c r="A201" s="549"/>
      <c r="B201" s="549"/>
      <c r="C201" s="586"/>
      <c r="D201" s="586"/>
      <c r="E201" s="684"/>
      <c r="F201" s="549"/>
      <c r="G201" s="586"/>
      <c r="H201" s="549"/>
      <c r="I201" s="549"/>
      <c r="J201" s="549"/>
      <c r="K201" s="633"/>
      <c r="L201" s="633"/>
      <c r="M201" s="657"/>
      <c r="N201" s="549"/>
      <c r="O201" s="549"/>
      <c r="P201" s="549"/>
    </row>
    <row r="202" spans="1:16" s="715" customFormat="1" ht="0" hidden="1" customHeight="1" x14ac:dyDescent="0.25">
      <c r="A202" s="549"/>
      <c r="B202" s="549"/>
      <c r="C202" s="586"/>
      <c r="D202" s="586"/>
      <c r="E202" s="684"/>
      <c r="F202" s="549"/>
      <c r="G202" s="586"/>
      <c r="H202" s="549"/>
      <c r="I202" s="549"/>
      <c r="J202" s="549"/>
      <c r="K202" s="633"/>
      <c r="L202" s="633"/>
      <c r="M202" s="657"/>
      <c r="N202" s="549"/>
      <c r="O202" s="549"/>
      <c r="P202" s="549"/>
    </row>
    <row r="203" spans="1:16" s="715" customFormat="1" ht="0" hidden="1" customHeight="1" x14ac:dyDescent="0.25">
      <c r="A203" s="549"/>
      <c r="B203" s="549"/>
      <c r="C203" s="586"/>
      <c r="D203" s="586"/>
      <c r="E203" s="684"/>
      <c r="F203" s="549"/>
      <c r="G203" s="586"/>
      <c r="H203" s="549"/>
      <c r="I203" s="549"/>
      <c r="J203" s="549"/>
      <c r="K203" s="633"/>
      <c r="L203" s="633"/>
      <c r="M203" s="657"/>
      <c r="N203" s="549"/>
      <c r="O203" s="549"/>
      <c r="P203" s="549"/>
    </row>
    <row r="204" spans="1:16" s="715" customFormat="1" ht="0" hidden="1" customHeight="1" x14ac:dyDescent="0.25">
      <c r="A204" s="549"/>
      <c r="B204" s="549"/>
      <c r="C204" s="586"/>
      <c r="D204" s="586"/>
      <c r="E204" s="684"/>
      <c r="F204" s="549"/>
      <c r="G204" s="586"/>
      <c r="H204" s="549"/>
      <c r="I204" s="549"/>
      <c r="J204" s="549"/>
      <c r="K204" s="633"/>
      <c r="L204" s="633"/>
      <c r="M204" s="657"/>
      <c r="N204" s="549"/>
      <c r="O204" s="549"/>
      <c r="P204" s="549"/>
    </row>
    <row r="205" spans="1:16" s="715" customFormat="1" ht="0" hidden="1" customHeight="1" x14ac:dyDescent="0.25">
      <c r="A205" s="549"/>
      <c r="B205" s="549"/>
      <c r="C205" s="586"/>
      <c r="D205" s="586"/>
      <c r="E205" s="684"/>
      <c r="F205" s="549"/>
      <c r="G205" s="586"/>
      <c r="H205" s="549"/>
      <c r="I205" s="549"/>
      <c r="J205" s="549"/>
      <c r="K205" s="633"/>
      <c r="L205" s="633"/>
      <c r="M205" s="657"/>
      <c r="N205" s="549"/>
      <c r="O205" s="549"/>
      <c r="P205" s="549"/>
    </row>
    <row r="206" spans="1:16" s="715" customFormat="1" ht="0" hidden="1" customHeight="1" x14ac:dyDescent="0.25">
      <c r="A206" s="549"/>
      <c r="B206" s="549"/>
      <c r="C206" s="586"/>
      <c r="D206" s="586"/>
      <c r="E206" s="684"/>
      <c r="F206" s="549"/>
      <c r="G206" s="586"/>
      <c r="H206" s="549"/>
      <c r="I206" s="549"/>
      <c r="J206" s="549"/>
      <c r="K206" s="633"/>
      <c r="L206" s="633"/>
      <c r="M206" s="657"/>
      <c r="N206" s="549"/>
      <c r="O206" s="549"/>
      <c r="P206" s="549"/>
    </row>
    <row r="207" spans="1:16" s="715" customFormat="1" ht="0" hidden="1" customHeight="1" x14ac:dyDescent="0.25">
      <c r="A207" s="549"/>
      <c r="B207" s="549"/>
      <c r="C207" s="586"/>
      <c r="D207" s="586"/>
      <c r="E207" s="684"/>
      <c r="F207" s="549"/>
      <c r="G207" s="586"/>
      <c r="H207" s="549"/>
      <c r="I207" s="549"/>
      <c r="J207" s="549"/>
      <c r="K207" s="633"/>
      <c r="L207" s="633"/>
      <c r="M207" s="657"/>
      <c r="N207" s="549"/>
      <c r="O207" s="549"/>
      <c r="P207" s="549"/>
    </row>
    <row r="208" spans="1:16" s="715" customFormat="1" ht="0" hidden="1" customHeight="1" x14ac:dyDescent="0.25">
      <c r="A208" s="549"/>
      <c r="B208" s="549"/>
      <c r="C208" s="586"/>
      <c r="D208" s="586"/>
      <c r="E208" s="684"/>
      <c r="F208" s="549"/>
      <c r="G208" s="586"/>
      <c r="H208" s="549"/>
      <c r="I208" s="549"/>
      <c r="J208" s="549"/>
      <c r="K208" s="633"/>
      <c r="L208" s="633"/>
      <c r="M208" s="657"/>
      <c r="N208" s="549"/>
      <c r="O208" s="549"/>
      <c r="P208" s="549"/>
    </row>
    <row r="209" spans="1:16" s="715" customFormat="1" ht="0" hidden="1" customHeight="1" x14ac:dyDescent="0.25">
      <c r="A209" s="549"/>
      <c r="B209" s="549"/>
      <c r="C209" s="586"/>
      <c r="D209" s="586"/>
      <c r="E209" s="684"/>
      <c r="F209" s="549"/>
      <c r="G209" s="586"/>
      <c r="H209" s="549"/>
      <c r="I209" s="549"/>
      <c r="J209" s="549"/>
      <c r="K209" s="633"/>
      <c r="L209" s="633"/>
      <c r="M209" s="657"/>
      <c r="N209" s="549"/>
      <c r="O209" s="549"/>
      <c r="P209" s="549"/>
    </row>
    <row r="210" spans="1:16" s="715" customFormat="1" ht="0" hidden="1" customHeight="1" x14ac:dyDescent="0.25">
      <c r="A210" s="549"/>
      <c r="B210" s="549"/>
      <c r="C210" s="586"/>
      <c r="D210" s="586"/>
      <c r="E210" s="684"/>
      <c r="F210" s="549"/>
      <c r="G210" s="586"/>
      <c r="H210" s="549"/>
      <c r="I210" s="549"/>
      <c r="J210" s="549"/>
      <c r="K210" s="633"/>
      <c r="L210" s="633"/>
      <c r="M210" s="657"/>
      <c r="N210" s="549"/>
      <c r="O210" s="549"/>
      <c r="P210" s="549"/>
    </row>
    <row r="211" spans="1:16" s="715" customFormat="1" ht="0" hidden="1" customHeight="1" x14ac:dyDescent="0.25">
      <c r="A211" s="549"/>
      <c r="B211" s="549"/>
      <c r="C211" s="586"/>
      <c r="D211" s="586"/>
      <c r="E211" s="684"/>
      <c r="F211" s="549"/>
      <c r="G211" s="586"/>
      <c r="H211" s="549"/>
      <c r="I211" s="549"/>
      <c r="J211" s="549"/>
      <c r="K211" s="633"/>
      <c r="L211" s="633"/>
      <c r="M211" s="657"/>
      <c r="N211" s="549"/>
      <c r="O211" s="549"/>
      <c r="P211" s="549"/>
    </row>
    <row r="212" spans="1:16" s="715" customFormat="1" ht="0" hidden="1" customHeight="1" x14ac:dyDescent="0.25">
      <c r="A212" s="549"/>
      <c r="B212" s="549"/>
      <c r="C212" s="586"/>
      <c r="D212" s="586"/>
      <c r="E212" s="684"/>
      <c r="F212" s="549"/>
      <c r="G212" s="586"/>
      <c r="H212" s="549"/>
      <c r="I212" s="549"/>
      <c r="J212" s="549"/>
      <c r="K212" s="633"/>
      <c r="L212" s="633"/>
      <c r="M212" s="657"/>
      <c r="N212" s="549"/>
      <c r="O212" s="549"/>
      <c r="P212" s="549"/>
    </row>
    <row r="213" spans="1:16" s="715" customFormat="1" ht="0" hidden="1" customHeight="1" x14ac:dyDescent="0.25">
      <c r="A213" s="549"/>
      <c r="B213" s="549"/>
      <c r="C213" s="586"/>
      <c r="D213" s="586"/>
      <c r="E213" s="684"/>
      <c r="F213" s="549"/>
      <c r="G213" s="586"/>
      <c r="H213" s="549"/>
      <c r="I213" s="549"/>
      <c r="J213" s="549"/>
      <c r="K213" s="633"/>
      <c r="L213" s="633"/>
      <c r="M213" s="657"/>
      <c r="N213" s="549"/>
      <c r="O213" s="549"/>
      <c r="P213" s="549"/>
    </row>
    <row r="214" spans="1:16" s="715" customFormat="1" ht="0" hidden="1" customHeight="1" x14ac:dyDescent="0.25">
      <c r="A214" s="549"/>
      <c r="B214" s="549"/>
      <c r="C214" s="586"/>
      <c r="D214" s="586"/>
      <c r="E214" s="684"/>
      <c r="F214" s="549"/>
      <c r="G214" s="586"/>
      <c r="H214" s="549"/>
      <c r="I214" s="549"/>
      <c r="J214" s="549"/>
      <c r="K214" s="633"/>
      <c r="L214" s="633"/>
      <c r="M214" s="657"/>
      <c r="N214" s="549"/>
      <c r="O214" s="549"/>
      <c r="P214" s="549"/>
    </row>
    <row r="215" spans="1:16" s="715" customFormat="1" ht="0" hidden="1" customHeight="1" x14ac:dyDescent="0.25">
      <c r="A215" s="549"/>
      <c r="B215" s="549"/>
      <c r="C215" s="586"/>
      <c r="D215" s="586"/>
      <c r="E215" s="684"/>
      <c r="F215" s="549"/>
      <c r="G215" s="586"/>
      <c r="H215" s="549"/>
      <c r="I215" s="549"/>
      <c r="J215" s="549"/>
      <c r="K215" s="633"/>
      <c r="L215" s="633"/>
      <c r="M215" s="657"/>
      <c r="N215" s="549"/>
      <c r="O215" s="549"/>
      <c r="P215" s="549"/>
    </row>
    <row r="216" spans="1:16" s="715" customFormat="1" ht="0" hidden="1" customHeight="1" x14ac:dyDescent="0.25">
      <c r="A216" s="549"/>
      <c r="B216" s="549"/>
      <c r="C216" s="586"/>
      <c r="D216" s="586"/>
      <c r="E216" s="684"/>
      <c r="F216" s="549"/>
      <c r="G216" s="586"/>
      <c r="H216" s="549"/>
      <c r="I216" s="549"/>
      <c r="J216" s="549"/>
      <c r="K216" s="633"/>
      <c r="L216" s="633"/>
      <c r="M216" s="657"/>
      <c r="N216" s="549"/>
      <c r="O216" s="549"/>
      <c r="P216" s="549"/>
    </row>
    <row r="217" spans="1:16" s="715" customFormat="1" ht="0" hidden="1" customHeight="1" x14ac:dyDescent="0.25">
      <c r="A217" s="549"/>
      <c r="B217" s="549"/>
      <c r="C217" s="586"/>
      <c r="D217" s="586"/>
      <c r="E217" s="684"/>
      <c r="F217" s="549"/>
      <c r="G217" s="586"/>
      <c r="H217" s="549"/>
      <c r="I217" s="549"/>
      <c r="J217" s="549"/>
      <c r="K217" s="633"/>
      <c r="L217" s="633"/>
      <c r="M217" s="657"/>
      <c r="N217" s="549"/>
      <c r="O217" s="549"/>
      <c r="P217" s="549"/>
    </row>
    <row r="218" spans="1:16" s="715" customFormat="1" ht="0" hidden="1" customHeight="1" x14ac:dyDescent="0.25">
      <c r="A218" s="549"/>
      <c r="B218" s="549"/>
      <c r="C218" s="586"/>
      <c r="D218" s="586"/>
      <c r="E218" s="684"/>
      <c r="F218" s="549"/>
      <c r="G218" s="586"/>
      <c r="H218" s="549"/>
      <c r="I218" s="549"/>
      <c r="J218" s="549"/>
      <c r="K218" s="633"/>
      <c r="L218" s="633"/>
      <c r="M218" s="657"/>
      <c r="N218" s="549"/>
      <c r="O218" s="549"/>
      <c r="P218" s="549"/>
    </row>
    <row r="219" spans="1:16" s="715" customFormat="1" ht="0" hidden="1" customHeight="1" x14ac:dyDescent="0.25">
      <c r="A219" s="549"/>
      <c r="B219" s="549"/>
      <c r="C219" s="586"/>
      <c r="D219" s="586"/>
      <c r="E219" s="684"/>
      <c r="F219" s="549"/>
      <c r="G219" s="586"/>
      <c r="H219" s="549"/>
      <c r="I219" s="549"/>
      <c r="J219" s="549"/>
      <c r="K219" s="633"/>
      <c r="L219" s="633"/>
      <c r="M219" s="657"/>
      <c r="N219" s="549"/>
      <c r="O219" s="549"/>
      <c r="P219" s="549"/>
    </row>
    <row r="220" spans="1:16" s="715" customFormat="1" ht="0" hidden="1" customHeight="1" x14ac:dyDescent="0.25">
      <c r="A220" s="549"/>
      <c r="B220" s="549"/>
      <c r="C220" s="586"/>
      <c r="D220" s="586"/>
      <c r="E220" s="684"/>
      <c r="F220" s="549"/>
      <c r="G220" s="586"/>
      <c r="H220" s="549"/>
      <c r="I220" s="549"/>
      <c r="J220" s="549"/>
      <c r="K220" s="633"/>
      <c r="L220" s="633"/>
      <c r="M220" s="657"/>
      <c r="N220" s="549"/>
      <c r="O220" s="549"/>
      <c r="P220" s="549"/>
    </row>
    <row r="221" spans="1:16" s="715" customFormat="1" ht="0" hidden="1" customHeight="1" x14ac:dyDescent="0.25">
      <c r="A221" s="549"/>
      <c r="B221" s="549"/>
      <c r="C221" s="586"/>
      <c r="D221" s="586"/>
      <c r="E221" s="684"/>
      <c r="F221" s="549"/>
      <c r="G221" s="586"/>
      <c r="H221" s="549"/>
      <c r="I221" s="549"/>
      <c r="J221" s="549"/>
      <c r="K221" s="633"/>
      <c r="L221" s="633"/>
      <c r="M221" s="657"/>
      <c r="N221" s="549"/>
      <c r="O221" s="549"/>
      <c r="P221" s="549"/>
    </row>
    <row r="222" spans="1:16" s="715" customFormat="1" ht="0" hidden="1" customHeight="1" x14ac:dyDescent="0.25">
      <c r="A222" s="549"/>
      <c r="B222" s="549"/>
      <c r="C222" s="586"/>
      <c r="D222" s="586"/>
      <c r="E222" s="684"/>
      <c r="F222" s="549"/>
      <c r="G222" s="586"/>
      <c r="H222" s="549"/>
      <c r="I222" s="549"/>
      <c r="J222" s="549"/>
      <c r="K222" s="633"/>
      <c r="L222" s="633"/>
      <c r="M222" s="657"/>
      <c r="N222" s="549"/>
      <c r="O222" s="549"/>
      <c r="P222" s="549"/>
    </row>
    <row r="223" spans="1:16" s="715" customFormat="1" ht="0" hidden="1" customHeight="1" x14ac:dyDescent="0.25">
      <c r="A223" s="549"/>
      <c r="B223" s="549"/>
      <c r="C223" s="586"/>
      <c r="D223" s="586"/>
      <c r="E223" s="684"/>
      <c r="F223" s="549"/>
      <c r="G223" s="586"/>
      <c r="H223" s="549"/>
      <c r="I223" s="549"/>
      <c r="J223" s="549"/>
      <c r="K223" s="633"/>
      <c r="L223" s="633"/>
      <c r="M223" s="657"/>
      <c r="N223" s="549"/>
      <c r="O223" s="549"/>
      <c r="P223" s="549"/>
    </row>
    <row r="224" spans="1:16" s="715" customFormat="1" ht="0" hidden="1" customHeight="1" x14ac:dyDescent="0.25">
      <c r="A224" s="549"/>
      <c r="B224" s="549"/>
      <c r="C224" s="586"/>
      <c r="D224" s="586"/>
      <c r="E224" s="684"/>
      <c r="F224" s="549"/>
      <c r="G224" s="586"/>
      <c r="H224" s="549"/>
      <c r="I224" s="549"/>
      <c r="J224" s="549"/>
      <c r="K224" s="633"/>
      <c r="L224" s="633"/>
      <c r="M224" s="657"/>
      <c r="N224" s="549"/>
      <c r="O224" s="549"/>
      <c r="P224" s="549"/>
    </row>
    <row r="225" spans="1:16" s="715" customFormat="1" ht="0" hidden="1" customHeight="1" x14ac:dyDescent="0.25">
      <c r="A225" s="549"/>
      <c r="B225" s="549"/>
      <c r="C225" s="586"/>
      <c r="D225" s="586"/>
      <c r="E225" s="684"/>
      <c r="F225" s="549"/>
      <c r="G225" s="586"/>
      <c r="H225" s="549"/>
      <c r="I225" s="549"/>
      <c r="J225" s="549"/>
      <c r="K225" s="633"/>
      <c r="L225" s="633"/>
      <c r="M225" s="657"/>
      <c r="N225" s="549"/>
      <c r="O225" s="549"/>
      <c r="P225" s="549"/>
    </row>
    <row r="226" spans="1:16" s="715" customFormat="1" ht="0" hidden="1" customHeight="1" x14ac:dyDescent="0.25">
      <c r="A226" s="549"/>
      <c r="B226" s="549"/>
      <c r="C226" s="586"/>
      <c r="D226" s="586"/>
      <c r="E226" s="684"/>
      <c r="F226" s="549"/>
      <c r="G226" s="586"/>
      <c r="H226" s="549"/>
      <c r="I226" s="549"/>
      <c r="J226" s="549"/>
      <c r="K226" s="633"/>
      <c r="L226" s="633"/>
      <c r="M226" s="657"/>
      <c r="N226" s="549"/>
      <c r="O226" s="549"/>
      <c r="P226" s="549"/>
    </row>
    <row r="227" spans="1:16" s="715" customFormat="1" ht="0" hidden="1" customHeight="1" x14ac:dyDescent="0.25">
      <c r="A227" s="549"/>
      <c r="B227" s="549"/>
      <c r="C227" s="586"/>
      <c r="D227" s="586"/>
      <c r="E227" s="684"/>
      <c r="F227" s="549"/>
      <c r="G227" s="586"/>
      <c r="H227" s="549"/>
      <c r="I227" s="549"/>
      <c r="J227" s="549"/>
      <c r="K227" s="633"/>
      <c r="L227" s="633"/>
      <c r="M227" s="657"/>
      <c r="N227" s="549"/>
      <c r="O227" s="549"/>
      <c r="P227" s="549"/>
    </row>
    <row r="228" spans="1:16" s="715" customFormat="1" ht="0" hidden="1" customHeight="1" x14ac:dyDescent="0.25">
      <c r="A228" s="549"/>
      <c r="B228" s="549"/>
      <c r="C228" s="586"/>
      <c r="D228" s="586"/>
      <c r="E228" s="684"/>
      <c r="F228" s="549"/>
      <c r="G228" s="586"/>
      <c r="H228" s="549"/>
      <c r="I228" s="549"/>
      <c r="J228" s="549"/>
      <c r="K228" s="633"/>
      <c r="L228" s="633"/>
      <c r="M228" s="657"/>
      <c r="N228" s="549"/>
      <c r="O228" s="549"/>
      <c r="P228" s="549"/>
    </row>
    <row r="229" spans="1:16" s="715" customFormat="1" ht="0" hidden="1" customHeight="1" x14ac:dyDescent="0.25">
      <c r="A229" s="549"/>
      <c r="B229" s="549"/>
      <c r="C229" s="586"/>
      <c r="D229" s="586"/>
      <c r="E229" s="684"/>
      <c r="F229" s="549"/>
      <c r="G229" s="586"/>
      <c r="H229" s="549"/>
      <c r="I229" s="549"/>
      <c r="J229" s="549"/>
      <c r="K229" s="633"/>
      <c r="L229" s="633"/>
      <c r="M229" s="657"/>
      <c r="N229" s="549"/>
      <c r="O229" s="549"/>
      <c r="P229" s="549"/>
    </row>
    <row r="230" spans="1:16" s="715" customFormat="1" ht="0" hidden="1" customHeight="1" x14ac:dyDescent="0.25">
      <c r="A230" s="549"/>
      <c r="B230" s="549"/>
      <c r="C230" s="586"/>
      <c r="D230" s="586"/>
      <c r="E230" s="684"/>
      <c r="F230" s="549"/>
      <c r="G230" s="586"/>
      <c r="H230" s="549"/>
      <c r="I230" s="549"/>
      <c r="J230" s="549"/>
      <c r="K230" s="633"/>
      <c r="L230" s="633"/>
      <c r="M230" s="657"/>
      <c r="N230" s="549"/>
      <c r="O230" s="549"/>
      <c r="P230" s="549"/>
    </row>
    <row r="231" spans="1:16" s="715" customFormat="1" ht="0" hidden="1" customHeight="1" x14ac:dyDescent="0.25">
      <c r="A231" s="549"/>
      <c r="B231" s="549"/>
      <c r="C231" s="586"/>
      <c r="D231" s="586"/>
      <c r="E231" s="684"/>
      <c r="F231" s="549"/>
      <c r="G231" s="586"/>
      <c r="H231" s="549"/>
      <c r="I231" s="549"/>
      <c r="J231" s="549"/>
      <c r="K231" s="633"/>
      <c r="L231" s="633"/>
      <c r="M231" s="657"/>
      <c r="N231" s="549"/>
      <c r="O231" s="549"/>
      <c r="P231" s="549"/>
    </row>
    <row r="232" spans="1:16" s="715" customFormat="1" ht="0" hidden="1" customHeight="1" x14ac:dyDescent="0.25">
      <c r="A232" s="549"/>
      <c r="B232" s="549"/>
      <c r="C232" s="586"/>
      <c r="D232" s="586"/>
      <c r="E232" s="684"/>
      <c r="F232" s="549"/>
      <c r="G232" s="586"/>
      <c r="H232" s="549"/>
      <c r="I232" s="549"/>
      <c r="J232" s="549"/>
      <c r="K232" s="633"/>
      <c r="L232" s="633"/>
      <c r="M232" s="657"/>
      <c r="N232" s="549"/>
      <c r="O232" s="549"/>
      <c r="P232" s="549"/>
    </row>
    <row r="233" spans="1:16" s="715" customFormat="1" ht="0" hidden="1" customHeight="1" x14ac:dyDescent="0.25">
      <c r="A233" s="549"/>
      <c r="B233" s="549"/>
      <c r="C233" s="586"/>
      <c r="D233" s="586"/>
      <c r="E233" s="684"/>
      <c r="F233" s="549"/>
      <c r="G233" s="586"/>
      <c r="H233" s="549"/>
      <c r="I233" s="549"/>
      <c r="J233" s="549"/>
      <c r="K233" s="633"/>
      <c r="L233" s="633"/>
      <c r="M233" s="657"/>
      <c r="N233" s="549"/>
      <c r="O233" s="549"/>
      <c r="P233" s="549"/>
    </row>
    <row r="234" spans="1:16" s="715" customFormat="1" ht="0" hidden="1" customHeight="1" x14ac:dyDescent="0.25">
      <c r="A234" s="549"/>
      <c r="B234" s="549"/>
      <c r="C234" s="586"/>
      <c r="D234" s="586"/>
      <c r="E234" s="684"/>
      <c r="F234" s="549"/>
      <c r="G234" s="586"/>
      <c r="H234" s="549"/>
      <c r="I234" s="549"/>
      <c r="J234" s="549"/>
      <c r="K234" s="633"/>
      <c r="L234" s="633"/>
      <c r="M234" s="657"/>
      <c r="N234" s="549"/>
      <c r="O234" s="549"/>
      <c r="P234" s="549"/>
    </row>
    <row r="235" spans="1:16" s="715" customFormat="1" ht="0" hidden="1" customHeight="1" x14ac:dyDescent="0.25">
      <c r="A235" s="549"/>
      <c r="B235" s="549"/>
      <c r="C235" s="586"/>
      <c r="D235" s="586"/>
      <c r="E235" s="684"/>
      <c r="F235" s="549"/>
      <c r="G235" s="586"/>
      <c r="H235" s="549"/>
      <c r="I235" s="549"/>
      <c r="J235" s="549"/>
      <c r="K235" s="633"/>
      <c r="L235" s="633"/>
      <c r="M235" s="657"/>
      <c r="N235" s="549"/>
      <c r="O235" s="549"/>
      <c r="P235" s="549"/>
    </row>
    <row r="236" spans="1:16" s="715" customFormat="1" ht="0" hidden="1" customHeight="1" x14ac:dyDescent="0.25">
      <c r="A236" s="549"/>
      <c r="B236" s="549"/>
      <c r="C236" s="586"/>
      <c r="D236" s="586"/>
      <c r="E236" s="684"/>
      <c r="F236" s="549"/>
      <c r="G236" s="586"/>
      <c r="H236" s="549"/>
      <c r="I236" s="549"/>
      <c r="J236" s="549"/>
      <c r="K236" s="633"/>
      <c r="L236" s="633"/>
      <c r="M236" s="657"/>
      <c r="N236" s="549"/>
      <c r="O236" s="549"/>
      <c r="P236" s="549"/>
    </row>
    <row r="237" spans="1:16" s="715" customFormat="1" ht="0" hidden="1" customHeight="1" x14ac:dyDescent="0.25">
      <c r="A237" s="549"/>
      <c r="B237" s="549"/>
      <c r="C237" s="586"/>
      <c r="D237" s="586"/>
      <c r="E237" s="684"/>
      <c r="F237" s="549"/>
      <c r="G237" s="586"/>
      <c r="H237" s="549"/>
      <c r="I237" s="549"/>
      <c r="J237" s="549"/>
      <c r="K237" s="633"/>
      <c r="L237" s="633"/>
      <c r="M237" s="657"/>
      <c r="N237" s="549"/>
      <c r="O237" s="549"/>
      <c r="P237" s="549"/>
    </row>
    <row r="238" spans="1:16" s="715" customFormat="1" ht="0" hidden="1" customHeight="1" x14ac:dyDescent="0.25">
      <c r="A238" s="549"/>
      <c r="B238" s="549"/>
      <c r="C238" s="586"/>
      <c r="D238" s="586"/>
      <c r="E238" s="684"/>
      <c r="F238" s="549"/>
      <c r="G238" s="586"/>
      <c r="H238" s="549"/>
      <c r="I238" s="549"/>
      <c r="J238" s="549"/>
      <c r="K238" s="633"/>
      <c r="L238" s="633"/>
      <c r="M238" s="657"/>
      <c r="N238" s="549"/>
      <c r="O238" s="549"/>
      <c r="P238" s="549"/>
    </row>
    <row r="239" spans="1:16" s="715" customFormat="1" ht="0" hidden="1" customHeight="1" x14ac:dyDescent="0.25">
      <c r="A239" s="549"/>
      <c r="B239" s="549"/>
      <c r="C239" s="586"/>
      <c r="D239" s="586"/>
      <c r="E239" s="684"/>
      <c r="F239" s="549"/>
      <c r="G239" s="586"/>
      <c r="H239" s="549"/>
      <c r="I239" s="549"/>
      <c r="J239" s="549"/>
      <c r="K239" s="633"/>
      <c r="L239" s="633"/>
      <c r="M239" s="657"/>
      <c r="N239" s="549"/>
      <c r="O239" s="549"/>
      <c r="P239" s="549"/>
    </row>
    <row r="240" spans="1:16" s="715" customFormat="1" ht="0" hidden="1" customHeight="1" x14ac:dyDescent="0.25">
      <c r="A240" s="549"/>
      <c r="B240" s="549"/>
      <c r="C240" s="586"/>
      <c r="D240" s="586"/>
      <c r="E240" s="684"/>
      <c r="F240" s="549"/>
      <c r="G240" s="586"/>
      <c r="H240" s="549"/>
      <c r="I240" s="549"/>
      <c r="J240" s="549"/>
      <c r="K240" s="633"/>
      <c r="L240" s="633"/>
      <c r="M240" s="657"/>
      <c r="N240" s="549"/>
      <c r="O240" s="549"/>
      <c r="P240" s="549"/>
    </row>
    <row r="241" spans="1:16" s="715" customFormat="1" ht="0" hidden="1" customHeight="1" x14ac:dyDescent="0.25">
      <c r="A241" s="549"/>
      <c r="B241" s="549"/>
      <c r="C241" s="586"/>
      <c r="D241" s="586"/>
      <c r="E241" s="684"/>
      <c r="F241" s="549"/>
      <c r="G241" s="586"/>
      <c r="H241" s="549"/>
      <c r="I241" s="549"/>
      <c r="J241" s="549"/>
      <c r="K241" s="633"/>
      <c r="L241" s="633"/>
      <c r="M241" s="657"/>
      <c r="N241" s="549"/>
      <c r="O241" s="549"/>
      <c r="P241" s="549"/>
    </row>
    <row r="242" spans="1:16" s="715" customFormat="1" ht="0" hidden="1" customHeight="1" x14ac:dyDescent="0.25">
      <c r="A242" s="549"/>
      <c r="B242" s="549"/>
      <c r="C242" s="586"/>
      <c r="D242" s="586"/>
      <c r="E242" s="684"/>
      <c r="F242" s="549"/>
      <c r="G242" s="586"/>
      <c r="H242" s="549"/>
      <c r="I242" s="549"/>
      <c r="J242" s="549"/>
      <c r="K242" s="633"/>
      <c r="L242" s="633"/>
      <c r="M242" s="657"/>
      <c r="N242" s="549"/>
      <c r="O242" s="549"/>
      <c r="P242" s="549"/>
    </row>
    <row r="243" spans="1:16" s="715" customFormat="1" ht="0" hidden="1" customHeight="1" x14ac:dyDescent="0.25">
      <c r="A243" s="549"/>
      <c r="B243" s="549"/>
      <c r="C243" s="586"/>
      <c r="D243" s="586"/>
      <c r="E243" s="684"/>
      <c r="F243" s="549"/>
      <c r="G243" s="586"/>
      <c r="H243" s="549"/>
      <c r="I243" s="549"/>
      <c r="J243" s="549"/>
      <c r="K243" s="633"/>
      <c r="L243" s="633"/>
      <c r="M243" s="657"/>
      <c r="N243" s="549"/>
      <c r="O243" s="549"/>
      <c r="P243" s="549"/>
    </row>
    <row r="244" spans="1:16" s="715" customFormat="1" ht="0" hidden="1" customHeight="1" x14ac:dyDescent="0.25">
      <c r="A244" s="549"/>
      <c r="B244" s="549"/>
      <c r="C244" s="586"/>
      <c r="D244" s="586"/>
      <c r="E244" s="684"/>
      <c r="F244" s="549"/>
      <c r="G244" s="586"/>
      <c r="H244" s="549"/>
      <c r="I244" s="549"/>
      <c r="J244" s="549"/>
      <c r="K244" s="633"/>
      <c r="L244" s="633"/>
      <c r="M244" s="657"/>
      <c r="N244" s="549"/>
      <c r="O244" s="549"/>
      <c r="P244" s="549"/>
    </row>
    <row r="245" spans="1:16" s="715" customFormat="1" ht="0" hidden="1" customHeight="1" x14ac:dyDescent="0.25">
      <c r="A245" s="549"/>
      <c r="B245" s="549"/>
      <c r="C245" s="586"/>
      <c r="D245" s="586"/>
      <c r="E245" s="684"/>
      <c r="F245" s="549"/>
      <c r="G245" s="586"/>
      <c r="H245" s="549"/>
      <c r="I245" s="549"/>
      <c r="J245" s="549"/>
      <c r="K245" s="633"/>
      <c r="L245" s="633"/>
      <c r="M245" s="657"/>
      <c r="N245" s="549"/>
      <c r="O245" s="549"/>
      <c r="P245" s="549"/>
    </row>
    <row r="246" spans="1:16" s="715" customFormat="1" ht="0" hidden="1" customHeight="1" x14ac:dyDescent="0.25">
      <c r="A246" s="549"/>
      <c r="B246" s="549"/>
      <c r="C246" s="586"/>
      <c r="D246" s="586"/>
      <c r="E246" s="684"/>
      <c r="F246" s="549"/>
      <c r="G246" s="586"/>
      <c r="H246" s="549"/>
      <c r="I246" s="549"/>
      <c r="J246" s="549"/>
      <c r="K246" s="633"/>
      <c r="L246" s="633"/>
      <c r="M246" s="657"/>
      <c r="N246" s="549"/>
      <c r="O246" s="549"/>
      <c r="P246" s="549"/>
    </row>
    <row r="247" spans="1:16" s="715" customFormat="1" ht="0" hidden="1" customHeight="1" x14ac:dyDescent="0.25">
      <c r="A247" s="549"/>
      <c r="B247" s="549"/>
      <c r="C247" s="586"/>
      <c r="D247" s="586"/>
      <c r="E247" s="684"/>
      <c r="F247" s="549"/>
      <c r="G247" s="586"/>
      <c r="H247" s="549"/>
      <c r="I247" s="549"/>
      <c r="J247" s="549"/>
      <c r="K247" s="633"/>
      <c r="L247" s="633"/>
      <c r="M247" s="657"/>
      <c r="N247" s="549"/>
      <c r="O247" s="549"/>
      <c r="P247" s="549"/>
    </row>
    <row r="248" spans="1:16" s="715" customFormat="1" ht="0" hidden="1" customHeight="1" x14ac:dyDescent="0.25">
      <c r="A248" s="549"/>
      <c r="B248" s="549"/>
      <c r="C248" s="586"/>
      <c r="D248" s="586"/>
      <c r="E248" s="684"/>
      <c r="F248" s="549"/>
      <c r="G248" s="586"/>
      <c r="H248" s="549"/>
      <c r="I248" s="549"/>
      <c r="J248" s="549"/>
      <c r="K248" s="633"/>
      <c r="L248" s="633"/>
      <c r="M248" s="657"/>
      <c r="N248" s="549"/>
      <c r="O248" s="549"/>
      <c r="P248" s="549"/>
    </row>
    <row r="249" spans="1:16" s="715" customFormat="1" ht="0" hidden="1" customHeight="1" x14ac:dyDescent="0.25">
      <c r="A249" s="549"/>
      <c r="B249" s="549"/>
      <c r="C249" s="586"/>
      <c r="D249" s="586"/>
      <c r="E249" s="684"/>
      <c r="F249" s="549"/>
      <c r="G249" s="586"/>
      <c r="H249" s="549"/>
      <c r="I249" s="549"/>
      <c r="J249" s="549"/>
      <c r="K249" s="633"/>
      <c r="L249" s="633"/>
      <c r="M249" s="657"/>
      <c r="N249" s="549"/>
      <c r="O249" s="549"/>
      <c r="P249" s="549"/>
    </row>
    <row r="250" spans="1:16" s="715" customFormat="1" ht="0" hidden="1" customHeight="1" x14ac:dyDescent="0.25">
      <c r="A250" s="549"/>
      <c r="B250" s="549"/>
      <c r="C250" s="586"/>
      <c r="D250" s="586"/>
      <c r="E250" s="684"/>
      <c r="F250" s="549"/>
      <c r="G250" s="586"/>
      <c r="H250" s="549"/>
      <c r="I250" s="549"/>
      <c r="J250" s="549"/>
      <c r="K250" s="633"/>
      <c r="L250" s="633"/>
      <c r="M250" s="657"/>
      <c r="N250" s="549"/>
      <c r="O250" s="549"/>
      <c r="P250" s="549"/>
    </row>
  </sheetData>
  <sheetProtection algorithmName="SHA-512" hashValue="Q3lnURSqgTHV0LtSPRIm1tSkRGcOS9QgMGK+Vl0iVNPSNReNTuHkB3+mGp8DMJizFk4FlbnWL0ABX1XtVhdjGw==" saltValue="ucQI5+zsn2toe/uDvQmrBw==" spinCount="100000" sheet="1" formatRows="0"/>
  <mergeCells count="1">
    <mergeCell ref="A3:B3"/>
  </mergeCells>
  <conditionalFormatting sqref="H89 K89:L89 O89">
    <cfRule type="cellIs" dxfId="0" priority="1" operator="lessThan">
      <formula>0</formula>
    </cfRule>
  </conditionalFormatting>
  <dataValidations count="5">
    <dataValidation type="decimal" allowBlank="1" showInputMessage="1" showErrorMessage="1" sqref="WVM983046:WVN983088 JA5:JB47 SW5:SX47 ACS5:ACT47 AMO5:AMP47 AWK5:AWL47 BGG5:BGH47 BQC5:BQD47 BZY5:BZZ47 CJU5:CJV47 CTQ5:CTR47 DDM5:DDN47 DNI5:DNJ47 DXE5:DXF47 EHA5:EHB47 EQW5:EQX47 FAS5:FAT47 FKO5:FKP47 FUK5:FUL47 GEG5:GEH47 GOC5:GOD47 GXY5:GXZ47 HHU5:HHV47 HRQ5:HRR47 IBM5:IBN47 ILI5:ILJ47 IVE5:IVF47 JFA5:JFB47 JOW5:JOX47 JYS5:JYT47 KIO5:KIP47 KSK5:KSL47 LCG5:LCH47 LMC5:LMD47 LVY5:LVZ47 MFU5:MFV47 MPQ5:MPR47 MZM5:MZN47 NJI5:NJJ47 NTE5:NTF47 ODA5:ODB47 OMW5:OMX47 OWS5:OWT47 PGO5:PGP47 PQK5:PQL47 QAG5:QAH47 QKC5:QKD47 QTY5:QTZ47 RDU5:RDV47 RNQ5:RNR47 RXM5:RXN47 SHI5:SHJ47 SRE5:SRF47 TBA5:TBB47 TKW5:TKX47 TUS5:TUT47 UEO5:UEP47 UOK5:UOL47 UYG5:UYH47 VIC5:VID47 VRY5:VRZ47 WBU5:WBV47 WLQ5:WLR47 WVM5:WVN47 JA65542:JB65584 SW65542:SX65584 ACS65542:ACT65584 AMO65542:AMP65584 AWK65542:AWL65584 BGG65542:BGH65584 BQC65542:BQD65584 BZY65542:BZZ65584 CJU65542:CJV65584 CTQ65542:CTR65584 DDM65542:DDN65584 DNI65542:DNJ65584 DXE65542:DXF65584 EHA65542:EHB65584 EQW65542:EQX65584 FAS65542:FAT65584 FKO65542:FKP65584 FUK65542:FUL65584 GEG65542:GEH65584 GOC65542:GOD65584 GXY65542:GXZ65584 HHU65542:HHV65584 HRQ65542:HRR65584 IBM65542:IBN65584 ILI65542:ILJ65584 IVE65542:IVF65584 JFA65542:JFB65584 JOW65542:JOX65584 JYS65542:JYT65584 KIO65542:KIP65584 KSK65542:KSL65584 LCG65542:LCH65584 LMC65542:LMD65584 LVY65542:LVZ65584 MFU65542:MFV65584 MPQ65542:MPR65584 MZM65542:MZN65584 NJI65542:NJJ65584 NTE65542:NTF65584 ODA65542:ODB65584 OMW65542:OMX65584 OWS65542:OWT65584 PGO65542:PGP65584 PQK65542:PQL65584 QAG65542:QAH65584 QKC65542:QKD65584 QTY65542:QTZ65584 RDU65542:RDV65584 RNQ65542:RNR65584 RXM65542:RXN65584 SHI65542:SHJ65584 SRE65542:SRF65584 TBA65542:TBB65584 TKW65542:TKX65584 TUS65542:TUT65584 UEO65542:UEP65584 UOK65542:UOL65584 UYG65542:UYH65584 VIC65542:VID65584 VRY65542:VRZ65584 WBU65542:WBV65584 WLQ65542:WLR65584 WVM65542:WVN65584 JA131078:JB131120 SW131078:SX131120 ACS131078:ACT131120 AMO131078:AMP131120 AWK131078:AWL131120 BGG131078:BGH131120 BQC131078:BQD131120 BZY131078:BZZ131120 CJU131078:CJV131120 CTQ131078:CTR131120 DDM131078:DDN131120 DNI131078:DNJ131120 DXE131078:DXF131120 EHA131078:EHB131120 EQW131078:EQX131120 FAS131078:FAT131120 FKO131078:FKP131120 FUK131078:FUL131120 GEG131078:GEH131120 GOC131078:GOD131120 GXY131078:GXZ131120 HHU131078:HHV131120 HRQ131078:HRR131120 IBM131078:IBN131120 ILI131078:ILJ131120 IVE131078:IVF131120 JFA131078:JFB131120 JOW131078:JOX131120 JYS131078:JYT131120 KIO131078:KIP131120 KSK131078:KSL131120 LCG131078:LCH131120 LMC131078:LMD131120 LVY131078:LVZ131120 MFU131078:MFV131120 MPQ131078:MPR131120 MZM131078:MZN131120 NJI131078:NJJ131120 NTE131078:NTF131120 ODA131078:ODB131120 OMW131078:OMX131120 OWS131078:OWT131120 PGO131078:PGP131120 PQK131078:PQL131120 QAG131078:QAH131120 QKC131078:QKD131120 QTY131078:QTZ131120 RDU131078:RDV131120 RNQ131078:RNR131120 RXM131078:RXN131120 SHI131078:SHJ131120 SRE131078:SRF131120 TBA131078:TBB131120 TKW131078:TKX131120 TUS131078:TUT131120 UEO131078:UEP131120 UOK131078:UOL131120 UYG131078:UYH131120 VIC131078:VID131120 VRY131078:VRZ131120 WBU131078:WBV131120 WLQ131078:WLR131120 WVM131078:WVN131120 JA196614:JB196656 SW196614:SX196656 ACS196614:ACT196656 AMO196614:AMP196656 AWK196614:AWL196656 BGG196614:BGH196656 BQC196614:BQD196656 BZY196614:BZZ196656 CJU196614:CJV196656 CTQ196614:CTR196656 DDM196614:DDN196656 DNI196614:DNJ196656 DXE196614:DXF196656 EHA196614:EHB196656 EQW196614:EQX196656 FAS196614:FAT196656 FKO196614:FKP196656 FUK196614:FUL196656 GEG196614:GEH196656 GOC196614:GOD196656 GXY196614:GXZ196656 HHU196614:HHV196656 HRQ196614:HRR196656 IBM196614:IBN196656 ILI196614:ILJ196656 IVE196614:IVF196656 JFA196614:JFB196656 JOW196614:JOX196656 JYS196614:JYT196656 KIO196614:KIP196656 KSK196614:KSL196656 LCG196614:LCH196656 LMC196614:LMD196656 LVY196614:LVZ196656 MFU196614:MFV196656 MPQ196614:MPR196656 MZM196614:MZN196656 NJI196614:NJJ196656 NTE196614:NTF196656 ODA196614:ODB196656 OMW196614:OMX196656 OWS196614:OWT196656 PGO196614:PGP196656 PQK196614:PQL196656 QAG196614:QAH196656 QKC196614:QKD196656 QTY196614:QTZ196656 RDU196614:RDV196656 RNQ196614:RNR196656 RXM196614:RXN196656 SHI196614:SHJ196656 SRE196614:SRF196656 TBA196614:TBB196656 TKW196614:TKX196656 TUS196614:TUT196656 UEO196614:UEP196656 UOK196614:UOL196656 UYG196614:UYH196656 VIC196614:VID196656 VRY196614:VRZ196656 WBU196614:WBV196656 WLQ196614:WLR196656 WVM196614:WVN196656 JA262150:JB262192 SW262150:SX262192 ACS262150:ACT262192 AMO262150:AMP262192 AWK262150:AWL262192 BGG262150:BGH262192 BQC262150:BQD262192 BZY262150:BZZ262192 CJU262150:CJV262192 CTQ262150:CTR262192 DDM262150:DDN262192 DNI262150:DNJ262192 DXE262150:DXF262192 EHA262150:EHB262192 EQW262150:EQX262192 FAS262150:FAT262192 FKO262150:FKP262192 FUK262150:FUL262192 GEG262150:GEH262192 GOC262150:GOD262192 GXY262150:GXZ262192 HHU262150:HHV262192 HRQ262150:HRR262192 IBM262150:IBN262192 ILI262150:ILJ262192 IVE262150:IVF262192 JFA262150:JFB262192 JOW262150:JOX262192 JYS262150:JYT262192 KIO262150:KIP262192 KSK262150:KSL262192 LCG262150:LCH262192 LMC262150:LMD262192 LVY262150:LVZ262192 MFU262150:MFV262192 MPQ262150:MPR262192 MZM262150:MZN262192 NJI262150:NJJ262192 NTE262150:NTF262192 ODA262150:ODB262192 OMW262150:OMX262192 OWS262150:OWT262192 PGO262150:PGP262192 PQK262150:PQL262192 QAG262150:QAH262192 QKC262150:QKD262192 QTY262150:QTZ262192 RDU262150:RDV262192 RNQ262150:RNR262192 RXM262150:RXN262192 SHI262150:SHJ262192 SRE262150:SRF262192 TBA262150:TBB262192 TKW262150:TKX262192 TUS262150:TUT262192 UEO262150:UEP262192 UOK262150:UOL262192 UYG262150:UYH262192 VIC262150:VID262192 VRY262150:VRZ262192 WBU262150:WBV262192 WLQ262150:WLR262192 WVM262150:WVN262192 JA327686:JB327728 SW327686:SX327728 ACS327686:ACT327728 AMO327686:AMP327728 AWK327686:AWL327728 BGG327686:BGH327728 BQC327686:BQD327728 BZY327686:BZZ327728 CJU327686:CJV327728 CTQ327686:CTR327728 DDM327686:DDN327728 DNI327686:DNJ327728 DXE327686:DXF327728 EHA327686:EHB327728 EQW327686:EQX327728 FAS327686:FAT327728 FKO327686:FKP327728 FUK327686:FUL327728 GEG327686:GEH327728 GOC327686:GOD327728 GXY327686:GXZ327728 HHU327686:HHV327728 HRQ327686:HRR327728 IBM327686:IBN327728 ILI327686:ILJ327728 IVE327686:IVF327728 JFA327686:JFB327728 JOW327686:JOX327728 JYS327686:JYT327728 KIO327686:KIP327728 KSK327686:KSL327728 LCG327686:LCH327728 LMC327686:LMD327728 LVY327686:LVZ327728 MFU327686:MFV327728 MPQ327686:MPR327728 MZM327686:MZN327728 NJI327686:NJJ327728 NTE327686:NTF327728 ODA327686:ODB327728 OMW327686:OMX327728 OWS327686:OWT327728 PGO327686:PGP327728 PQK327686:PQL327728 QAG327686:QAH327728 QKC327686:QKD327728 QTY327686:QTZ327728 RDU327686:RDV327728 RNQ327686:RNR327728 RXM327686:RXN327728 SHI327686:SHJ327728 SRE327686:SRF327728 TBA327686:TBB327728 TKW327686:TKX327728 TUS327686:TUT327728 UEO327686:UEP327728 UOK327686:UOL327728 UYG327686:UYH327728 VIC327686:VID327728 VRY327686:VRZ327728 WBU327686:WBV327728 WLQ327686:WLR327728 WVM327686:WVN327728 JA393222:JB393264 SW393222:SX393264 ACS393222:ACT393264 AMO393222:AMP393264 AWK393222:AWL393264 BGG393222:BGH393264 BQC393222:BQD393264 BZY393222:BZZ393264 CJU393222:CJV393264 CTQ393222:CTR393264 DDM393222:DDN393264 DNI393222:DNJ393264 DXE393222:DXF393264 EHA393222:EHB393264 EQW393222:EQX393264 FAS393222:FAT393264 FKO393222:FKP393264 FUK393222:FUL393264 GEG393222:GEH393264 GOC393222:GOD393264 GXY393222:GXZ393264 HHU393222:HHV393264 HRQ393222:HRR393264 IBM393222:IBN393264 ILI393222:ILJ393264 IVE393222:IVF393264 JFA393222:JFB393264 JOW393222:JOX393264 JYS393222:JYT393264 KIO393222:KIP393264 KSK393222:KSL393264 LCG393222:LCH393264 LMC393222:LMD393264 LVY393222:LVZ393264 MFU393222:MFV393264 MPQ393222:MPR393264 MZM393222:MZN393264 NJI393222:NJJ393264 NTE393222:NTF393264 ODA393222:ODB393264 OMW393222:OMX393264 OWS393222:OWT393264 PGO393222:PGP393264 PQK393222:PQL393264 QAG393222:QAH393264 QKC393222:QKD393264 QTY393222:QTZ393264 RDU393222:RDV393264 RNQ393222:RNR393264 RXM393222:RXN393264 SHI393222:SHJ393264 SRE393222:SRF393264 TBA393222:TBB393264 TKW393222:TKX393264 TUS393222:TUT393264 UEO393222:UEP393264 UOK393222:UOL393264 UYG393222:UYH393264 VIC393222:VID393264 VRY393222:VRZ393264 WBU393222:WBV393264 WLQ393222:WLR393264 WVM393222:WVN393264 JA458758:JB458800 SW458758:SX458800 ACS458758:ACT458800 AMO458758:AMP458800 AWK458758:AWL458800 BGG458758:BGH458800 BQC458758:BQD458800 BZY458758:BZZ458800 CJU458758:CJV458800 CTQ458758:CTR458800 DDM458758:DDN458800 DNI458758:DNJ458800 DXE458758:DXF458800 EHA458758:EHB458800 EQW458758:EQX458800 FAS458758:FAT458800 FKO458758:FKP458800 FUK458758:FUL458800 GEG458758:GEH458800 GOC458758:GOD458800 GXY458758:GXZ458800 HHU458758:HHV458800 HRQ458758:HRR458800 IBM458758:IBN458800 ILI458758:ILJ458800 IVE458758:IVF458800 JFA458758:JFB458800 JOW458758:JOX458800 JYS458758:JYT458800 KIO458758:KIP458800 KSK458758:KSL458800 LCG458758:LCH458800 LMC458758:LMD458800 LVY458758:LVZ458800 MFU458758:MFV458800 MPQ458758:MPR458800 MZM458758:MZN458800 NJI458758:NJJ458800 NTE458758:NTF458800 ODA458758:ODB458800 OMW458758:OMX458800 OWS458758:OWT458800 PGO458758:PGP458800 PQK458758:PQL458800 QAG458758:QAH458800 QKC458758:QKD458800 QTY458758:QTZ458800 RDU458758:RDV458800 RNQ458758:RNR458800 RXM458758:RXN458800 SHI458758:SHJ458800 SRE458758:SRF458800 TBA458758:TBB458800 TKW458758:TKX458800 TUS458758:TUT458800 UEO458758:UEP458800 UOK458758:UOL458800 UYG458758:UYH458800 VIC458758:VID458800 VRY458758:VRZ458800 WBU458758:WBV458800 WLQ458758:WLR458800 WVM458758:WVN458800 JA524294:JB524336 SW524294:SX524336 ACS524294:ACT524336 AMO524294:AMP524336 AWK524294:AWL524336 BGG524294:BGH524336 BQC524294:BQD524336 BZY524294:BZZ524336 CJU524294:CJV524336 CTQ524294:CTR524336 DDM524294:DDN524336 DNI524294:DNJ524336 DXE524294:DXF524336 EHA524294:EHB524336 EQW524294:EQX524336 FAS524294:FAT524336 FKO524294:FKP524336 FUK524294:FUL524336 GEG524294:GEH524336 GOC524294:GOD524336 GXY524294:GXZ524336 HHU524294:HHV524336 HRQ524294:HRR524336 IBM524294:IBN524336 ILI524294:ILJ524336 IVE524294:IVF524336 JFA524294:JFB524336 JOW524294:JOX524336 JYS524294:JYT524336 KIO524294:KIP524336 KSK524294:KSL524336 LCG524294:LCH524336 LMC524294:LMD524336 LVY524294:LVZ524336 MFU524294:MFV524336 MPQ524294:MPR524336 MZM524294:MZN524336 NJI524294:NJJ524336 NTE524294:NTF524336 ODA524294:ODB524336 OMW524294:OMX524336 OWS524294:OWT524336 PGO524294:PGP524336 PQK524294:PQL524336 QAG524294:QAH524336 QKC524294:QKD524336 QTY524294:QTZ524336 RDU524294:RDV524336 RNQ524294:RNR524336 RXM524294:RXN524336 SHI524294:SHJ524336 SRE524294:SRF524336 TBA524294:TBB524336 TKW524294:TKX524336 TUS524294:TUT524336 UEO524294:UEP524336 UOK524294:UOL524336 UYG524294:UYH524336 VIC524294:VID524336 VRY524294:VRZ524336 WBU524294:WBV524336 WLQ524294:WLR524336 WVM524294:WVN524336 JA589830:JB589872 SW589830:SX589872 ACS589830:ACT589872 AMO589830:AMP589872 AWK589830:AWL589872 BGG589830:BGH589872 BQC589830:BQD589872 BZY589830:BZZ589872 CJU589830:CJV589872 CTQ589830:CTR589872 DDM589830:DDN589872 DNI589830:DNJ589872 DXE589830:DXF589872 EHA589830:EHB589872 EQW589830:EQX589872 FAS589830:FAT589872 FKO589830:FKP589872 FUK589830:FUL589872 GEG589830:GEH589872 GOC589830:GOD589872 GXY589830:GXZ589872 HHU589830:HHV589872 HRQ589830:HRR589872 IBM589830:IBN589872 ILI589830:ILJ589872 IVE589830:IVF589872 JFA589830:JFB589872 JOW589830:JOX589872 JYS589830:JYT589872 KIO589830:KIP589872 KSK589830:KSL589872 LCG589830:LCH589872 LMC589830:LMD589872 LVY589830:LVZ589872 MFU589830:MFV589872 MPQ589830:MPR589872 MZM589830:MZN589872 NJI589830:NJJ589872 NTE589830:NTF589872 ODA589830:ODB589872 OMW589830:OMX589872 OWS589830:OWT589872 PGO589830:PGP589872 PQK589830:PQL589872 QAG589830:QAH589872 QKC589830:QKD589872 QTY589830:QTZ589872 RDU589830:RDV589872 RNQ589830:RNR589872 RXM589830:RXN589872 SHI589830:SHJ589872 SRE589830:SRF589872 TBA589830:TBB589872 TKW589830:TKX589872 TUS589830:TUT589872 UEO589830:UEP589872 UOK589830:UOL589872 UYG589830:UYH589872 VIC589830:VID589872 VRY589830:VRZ589872 WBU589830:WBV589872 WLQ589830:WLR589872 WVM589830:WVN589872 JA655366:JB655408 SW655366:SX655408 ACS655366:ACT655408 AMO655366:AMP655408 AWK655366:AWL655408 BGG655366:BGH655408 BQC655366:BQD655408 BZY655366:BZZ655408 CJU655366:CJV655408 CTQ655366:CTR655408 DDM655366:DDN655408 DNI655366:DNJ655408 DXE655366:DXF655408 EHA655366:EHB655408 EQW655366:EQX655408 FAS655366:FAT655408 FKO655366:FKP655408 FUK655366:FUL655408 GEG655366:GEH655408 GOC655366:GOD655408 GXY655366:GXZ655408 HHU655366:HHV655408 HRQ655366:HRR655408 IBM655366:IBN655408 ILI655366:ILJ655408 IVE655366:IVF655408 JFA655366:JFB655408 JOW655366:JOX655408 JYS655366:JYT655408 KIO655366:KIP655408 KSK655366:KSL655408 LCG655366:LCH655408 LMC655366:LMD655408 LVY655366:LVZ655408 MFU655366:MFV655408 MPQ655366:MPR655408 MZM655366:MZN655408 NJI655366:NJJ655408 NTE655366:NTF655408 ODA655366:ODB655408 OMW655366:OMX655408 OWS655366:OWT655408 PGO655366:PGP655408 PQK655366:PQL655408 QAG655366:QAH655408 QKC655366:QKD655408 QTY655366:QTZ655408 RDU655366:RDV655408 RNQ655366:RNR655408 RXM655366:RXN655408 SHI655366:SHJ655408 SRE655366:SRF655408 TBA655366:TBB655408 TKW655366:TKX655408 TUS655366:TUT655408 UEO655366:UEP655408 UOK655366:UOL655408 UYG655366:UYH655408 VIC655366:VID655408 VRY655366:VRZ655408 WBU655366:WBV655408 WLQ655366:WLR655408 WVM655366:WVN655408 JA720902:JB720944 SW720902:SX720944 ACS720902:ACT720944 AMO720902:AMP720944 AWK720902:AWL720944 BGG720902:BGH720944 BQC720902:BQD720944 BZY720902:BZZ720944 CJU720902:CJV720944 CTQ720902:CTR720944 DDM720902:DDN720944 DNI720902:DNJ720944 DXE720902:DXF720944 EHA720902:EHB720944 EQW720902:EQX720944 FAS720902:FAT720944 FKO720902:FKP720944 FUK720902:FUL720944 GEG720902:GEH720944 GOC720902:GOD720944 GXY720902:GXZ720944 HHU720902:HHV720944 HRQ720902:HRR720944 IBM720902:IBN720944 ILI720902:ILJ720944 IVE720902:IVF720944 JFA720902:JFB720944 JOW720902:JOX720944 JYS720902:JYT720944 KIO720902:KIP720944 KSK720902:KSL720944 LCG720902:LCH720944 LMC720902:LMD720944 LVY720902:LVZ720944 MFU720902:MFV720944 MPQ720902:MPR720944 MZM720902:MZN720944 NJI720902:NJJ720944 NTE720902:NTF720944 ODA720902:ODB720944 OMW720902:OMX720944 OWS720902:OWT720944 PGO720902:PGP720944 PQK720902:PQL720944 QAG720902:QAH720944 QKC720902:QKD720944 QTY720902:QTZ720944 RDU720902:RDV720944 RNQ720902:RNR720944 RXM720902:RXN720944 SHI720902:SHJ720944 SRE720902:SRF720944 TBA720902:TBB720944 TKW720902:TKX720944 TUS720902:TUT720944 UEO720902:UEP720944 UOK720902:UOL720944 UYG720902:UYH720944 VIC720902:VID720944 VRY720902:VRZ720944 WBU720902:WBV720944 WLQ720902:WLR720944 WVM720902:WVN720944 JA786438:JB786480 SW786438:SX786480 ACS786438:ACT786480 AMO786438:AMP786480 AWK786438:AWL786480 BGG786438:BGH786480 BQC786438:BQD786480 BZY786438:BZZ786480 CJU786438:CJV786480 CTQ786438:CTR786480 DDM786438:DDN786480 DNI786438:DNJ786480 DXE786438:DXF786480 EHA786438:EHB786480 EQW786438:EQX786480 FAS786438:FAT786480 FKO786438:FKP786480 FUK786438:FUL786480 GEG786438:GEH786480 GOC786438:GOD786480 GXY786438:GXZ786480 HHU786438:HHV786480 HRQ786438:HRR786480 IBM786438:IBN786480 ILI786438:ILJ786480 IVE786438:IVF786480 JFA786438:JFB786480 JOW786438:JOX786480 JYS786438:JYT786480 KIO786438:KIP786480 KSK786438:KSL786480 LCG786438:LCH786480 LMC786438:LMD786480 LVY786438:LVZ786480 MFU786438:MFV786480 MPQ786438:MPR786480 MZM786438:MZN786480 NJI786438:NJJ786480 NTE786438:NTF786480 ODA786438:ODB786480 OMW786438:OMX786480 OWS786438:OWT786480 PGO786438:PGP786480 PQK786438:PQL786480 QAG786438:QAH786480 QKC786438:QKD786480 QTY786438:QTZ786480 RDU786438:RDV786480 RNQ786438:RNR786480 RXM786438:RXN786480 SHI786438:SHJ786480 SRE786438:SRF786480 TBA786438:TBB786480 TKW786438:TKX786480 TUS786438:TUT786480 UEO786438:UEP786480 UOK786438:UOL786480 UYG786438:UYH786480 VIC786438:VID786480 VRY786438:VRZ786480 WBU786438:WBV786480 WLQ786438:WLR786480 WVM786438:WVN786480 JA851974:JB852016 SW851974:SX852016 ACS851974:ACT852016 AMO851974:AMP852016 AWK851974:AWL852016 BGG851974:BGH852016 BQC851974:BQD852016 BZY851974:BZZ852016 CJU851974:CJV852016 CTQ851974:CTR852016 DDM851974:DDN852016 DNI851974:DNJ852016 DXE851974:DXF852016 EHA851974:EHB852016 EQW851974:EQX852016 FAS851974:FAT852016 FKO851974:FKP852016 FUK851974:FUL852016 GEG851974:GEH852016 GOC851974:GOD852016 GXY851974:GXZ852016 HHU851974:HHV852016 HRQ851974:HRR852016 IBM851974:IBN852016 ILI851974:ILJ852016 IVE851974:IVF852016 JFA851974:JFB852016 JOW851974:JOX852016 JYS851974:JYT852016 KIO851974:KIP852016 KSK851974:KSL852016 LCG851974:LCH852016 LMC851974:LMD852016 LVY851974:LVZ852016 MFU851974:MFV852016 MPQ851974:MPR852016 MZM851974:MZN852016 NJI851974:NJJ852016 NTE851974:NTF852016 ODA851974:ODB852016 OMW851974:OMX852016 OWS851974:OWT852016 PGO851974:PGP852016 PQK851974:PQL852016 QAG851974:QAH852016 QKC851974:QKD852016 QTY851974:QTZ852016 RDU851974:RDV852016 RNQ851974:RNR852016 RXM851974:RXN852016 SHI851974:SHJ852016 SRE851974:SRF852016 TBA851974:TBB852016 TKW851974:TKX852016 TUS851974:TUT852016 UEO851974:UEP852016 UOK851974:UOL852016 UYG851974:UYH852016 VIC851974:VID852016 VRY851974:VRZ852016 WBU851974:WBV852016 WLQ851974:WLR852016 WVM851974:WVN852016 JA917510:JB917552 SW917510:SX917552 ACS917510:ACT917552 AMO917510:AMP917552 AWK917510:AWL917552 BGG917510:BGH917552 BQC917510:BQD917552 BZY917510:BZZ917552 CJU917510:CJV917552 CTQ917510:CTR917552 DDM917510:DDN917552 DNI917510:DNJ917552 DXE917510:DXF917552 EHA917510:EHB917552 EQW917510:EQX917552 FAS917510:FAT917552 FKO917510:FKP917552 FUK917510:FUL917552 GEG917510:GEH917552 GOC917510:GOD917552 GXY917510:GXZ917552 HHU917510:HHV917552 HRQ917510:HRR917552 IBM917510:IBN917552 ILI917510:ILJ917552 IVE917510:IVF917552 JFA917510:JFB917552 JOW917510:JOX917552 JYS917510:JYT917552 KIO917510:KIP917552 KSK917510:KSL917552 LCG917510:LCH917552 LMC917510:LMD917552 LVY917510:LVZ917552 MFU917510:MFV917552 MPQ917510:MPR917552 MZM917510:MZN917552 NJI917510:NJJ917552 NTE917510:NTF917552 ODA917510:ODB917552 OMW917510:OMX917552 OWS917510:OWT917552 PGO917510:PGP917552 PQK917510:PQL917552 QAG917510:QAH917552 QKC917510:QKD917552 QTY917510:QTZ917552 RDU917510:RDV917552 RNQ917510:RNR917552 RXM917510:RXN917552 SHI917510:SHJ917552 SRE917510:SRF917552 TBA917510:TBB917552 TKW917510:TKX917552 TUS917510:TUT917552 UEO917510:UEP917552 UOK917510:UOL917552 UYG917510:UYH917552 VIC917510:VID917552 VRY917510:VRZ917552 WBU917510:WBV917552 WLQ917510:WLR917552 WVM917510:WVN917552 JA983046:JB983088 SW983046:SX983088 ACS983046:ACT983088 AMO983046:AMP983088 AWK983046:AWL983088 BGG983046:BGH983088 BQC983046:BQD983088 BZY983046:BZZ983088 CJU983046:CJV983088 CTQ983046:CTR983088 DDM983046:DDN983088 DNI983046:DNJ983088 DXE983046:DXF983088 EHA983046:EHB983088 EQW983046:EQX983088 FAS983046:FAT983088 FKO983046:FKP983088 FUK983046:FUL983088 GEG983046:GEH983088 GOC983046:GOD983088 GXY983046:GXZ983088 HHU983046:HHV983088 HRQ983046:HRR983088 IBM983046:IBN983088 ILI983046:ILJ983088 IVE983046:IVF983088 JFA983046:JFB983088 JOW983046:JOX983088 JYS983046:JYT983088 KIO983046:KIP983088 KSK983046:KSL983088 LCG983046:LCH983088 LMC983046:LMD983088 LVY983046:LVZ983088 MFU983046:MFV983088 MPQ983046:MPR983088 MZM983046:MZN983088 NJI983046:NJJ983088 NTE983046:NTF983088 ODA983046:ODB983088 OMW983046:OMX983088 OWS983046:OWT983088 PGO983046:PGP983088 PQK983046:PQL983088 QAG983046:QAH983088 QKC983046:QKD983088 QTY983046:QTZ983088 RDU983046:RDV983088 RNQ983046:RNR983088 RXM983046:RXN983088 SHI983046:SHJ983088 SRE983046:SRF983088 TBA983046:TBB983088 TKW983046:TKX983088 TUS983046:TUT983088 UEO983046:UEP983088 UOK983046:UOL983088 UYG983046:UYH983088 VIC983046:VID983088 VRY983046:VRZ983088 WBU983046:WBV983088 WLQ983046:WLR983088 L65542:M65584 L983046:M983088 L917510:M917552 L851974:M852016 L786438:M786480 L720902:M720944 L655366:M655408 L589830:M589872 L524294:M524336 L458758:M458800 L393222:M393264 L327686:M327728 L262150:M262192 L196614:M196656 L131078:M131120">
      <formula1>0</formula1>
      <formula2>33</formula2>
    </dataValidation>
    <dataValidation type="decimal" allowBlank="1" showInputMessage="1" showErrorMessage="1" error="bitte Stundenzahl eingeben!" sqref="IV5:IY47 SR5:SU47 ACN5:ACQ47 AMJ5:AMM47 AWF5:AWI47 BGB5:BGE47 BPX5:BQA47 BZT5:BZW47 CJP5:CJS47 CTL5:CTO47 DDH5:DDK47 DND5:DNG47 DWZ5:DXC47 EGV5:EGY47 EQR5:EQU47 FAN5:FAQ47 FKJ5:FKM47 FUF5:FUI47 GEB5:GEE47 GNX5:GOA47 GXT5:GXW47 HHP5:HHS47 HRL5:HRO47 IBH5:IBK47 ILD5:ILG47 IUZ5:IVC47 JEV5:JEY47 JOR5:JOU47 JYN5:JYQ47 KIJ5:KIM47 KSF5:KSI47 LCB5:LCE47 LLX5:LMA47 LVT5:LVW47 MFP5:MFS47 MPL5:MPO47 MZH5:MZK47 NJD5:NJG47 NSZ5:NTC47 OCV5:OCY47 OMR5:OMU47 OWN5:OWQ47 PGJ5:PGM47 PQF5:PQI47 QAB5:QAE47 QJX5:QKA47 QTT5:QTW47 RDP5:RDS47 RNL5:RNO47 RXH5:RXK47 SHD5:SHG47 SQZ5:SRC47 TAV5:TAY47 TKR5:TKU47 TUN5:TUQ47 UEJ5:UEM47 UOF5:UOI47 UYB5:UYE47 VHX5:VIA47 VRT5:VRW47 WBP5:WBS47 WLL5:WLO47 WVH5:WVK47 IV65542:IY65584 SR65542:SU65584 ACN65542:ACQ65584 AMJ65542:AMM65584 AWF65542:AWI65584 BGB65542:BGE65584 BPX65542:BQA65584 BZT65542:BZW65584 CJP65542:CJS65584 CTL65542:CTO65584 DDH65542:DDK65584 DND65542:DNG65584 DWZ65542:DXC65584 EGV65542:EGY65584 EQR65542:EQU65584 FAN65542:FAQ65584 FKJ65542:FKM65584 FUF65542:FUI65584 GEB65542:GEE65584 GNX65542:GOA65584 GXT65542:GXW65584 HHP65542:HHS65584 HRL65542:HRO65584 IBH65542:IBK65584 ILD65542:ILG65584 IUZ65542:IVC65584 JEV65542:JEY65584 JOR65542:JOU65584 JYN65542:JYQ65584 KIJ65542:KIM65584 KSF65542:KSI65584 LCB65542:LCE65584 LLX65542:LMA65584 LVT65542:LVW65584 MFP65542:MFS65584 MPL65542:MPO65584 MZH65542:MZK65584 NJD65542:NJG65584 NSZ65542:NTC65584 OCV65542:OCY65584 OMR65542:OMU65584 OWN65542:OWQ65584 PGJ65542:PGM65584 PQF65542:PQI65584 QAB65542:QAE65584 QJX65542:QKA65584 QTT65542:QTW65584 RDP65542:RDS65584 RNL65542:RNO65584 RXH65542:RXK65584 SHD65542:SHG65584 SQZ65542:SRC65584 TAV65542:TAY65584 TKR65542:TKU65584 TUN65542:TUQ65584 UEJ65542:UEM65584 UOF65542:UOI65584 UYB65542:UYE65584 VHX65542:VIA65584 VRT65542:VRW65584 WBP65542:WBS65584 WLL65542:WLO65584 WVH65542:WVK65584 IV131078:IY131120 SR131078:SU131120 ACN131078:ACQ131120 AMJ131078:AMM131120 AWF131078:AWI131120 BGB131078:BGE131120 BPX131078:BQA131120 BZT131078:BZW131120 CJP131078:CJS131120 CTL131078:CTO131120 DDH131078:DDK131120 DND131078:DNG131120 DWZ131078:DXC131120 EGV131078:EGY131120 EQR131078:EQU131120 FAN131078:FAQ131120 FKJ131078:FKM131120 FUF131078:FUI131120 GEB131078:GEE131120 GNX131078:GOA131120 GXT131078:GXW131120 HHP131078:HHS131120 HRL131078:HRO131120 IBH131078:IBK131120 ILD131078:ILG131120 IUZ131078:IVC131120 JEV131078:JEY131120 JOR131078:JOU131120 JYN131078:JYQ131120 KIJ131078:KIM131120 KSF131078:KSI131120 LCB131078:LCE131120 LLX131078:LMA131120 LVT131078:LVW131120 MFP131078:MFS131120 MPL131078:MPO131120 MZH131078:MZK131120 NJD131078:NJG131120 NSZ131078:NTC131120 OCV131078:OCY131120 OMR131078:OMU131120 OWN131078:OWQ131120 PGJ131078:PGM131120 PQF131078:PQI131120 QAB131078:QAE131120 QJX131078:QKA131120 QTT131078:QTW131120 RDP131078:RDS131120 RNL131078:RNO131120 RXH131078:RXK131120 SHD131078:SHG131120 SQZ131078:SRC131120 TAV131078:TAY131120 TKR131078:TKU131120 TUN131078:TUQ131120 UEJ131078:UEM131120 UOF131078:UOI131120 UYB131078:UYE131120 VHX131078:VIA131120 VRT131078:VRW131120 WBP131078:WBS131120 WLL131078:WLO131120 WVH131078:WVK131120 IV196614:IY196656 SR196614:SU196656 ACN196614:ACQ196656 AMJ196614:AMM196656 AWF196614:AWI196656 BGB196614:BGE196656 BPX196614:BQA196656 BZT196614:BZW196656 CJP196614:CJS196656 CTL196614:CTO196656 DDH196614:DDK196656 DND196614:DNG196656 DWZ196614:DXC196656 EGV196614:EGY196656 EQR196614:EQU196656 FAN196614:FAQ196656 FKJ196614:FKM196656 FUF196614:FUI196656 GEB196614:GEE196656 GNX196614:GOA196656 GXT196614:GXW196656 HHP196614:HHS196656 HRL196614:HRO196656 IBH196614:IBK196656 ILD196614:ILG196656 IUZ196614:IVC196656 JEV196614:JEY196656 JOR196614:JOU196656 JYN196614:JYQ196656 KIJ196614:KIM196656 KSF196614:KSI196656 LCB196614:LCE196656 LLX196614:LMA196656 LVT196614:LVW196656 MFP196614:MFS196656 MPL196614:MPO196656 MZH196614:MZK196656 NJD196614:NJG196656 NSZ196614:NTC196656 OCV196614:OCY196656 OMR196614:OMU196656 OWN196614:OWQ196656 PGJ196614:PGM196656 PQF196614:PQI196656 QAB196614:QAE196656 QJX196614:QKA196656 QTT196614:QTW196656 RDP196614:RDS196656 RNL196614:RNO196656 RXH196614:RXK196656 SHD196614:SHG196656 SQZ196614:SRC196656 TAV196614:TAY196656 TKR196614:TKU196656 TUN196614:TUQ196656 UEJ196614:UEM196656 UOF196614:UOI196656 UYB196614:UYE196656 VHX196614:VIA196656 VRT196614:VRW196656 WBP196614:WBS196656 WLL196614:WLO196656 WVH196614:WVK196656 IV262150:IY262192 SR262150:SU262192 ACN262150:ACQ262192 AMJ262150:AMM262192 AWF262150:AWI262192 BGB262150:BGE262192 BPX262150:BQA262192 BZT262150:BZW262192 CJP262150:CJS262192 CTL262150:CTO262192 DDH262150:DDK262192 DND262150:DNG262192 DWZ262150:DXC262192 EGV262150:EGY262192 EQR262150:EQU262192 FAN262150:FAQ262192 FKJ262150:FKM262192 FUF262150:FUI262192 GEB262150:GEE262192 GNX262150:GOA262192 GXT262150:GXW262192 HHP262150:HHS262192 HRL262150:HRO262192 IBH262150:IBK262192 ILD262150:ILG262192 IUZ262150:IVC262192 JEV262150:JEY262192 JOR262150:JOU262192 JYN262150:JYQ262192 KIJ262150:KIM262192 KSF262150:KSI262192 LCB262150:LCE262192 LLX262150:LMA262192 LVT262150:LVW262192 MFP262150:MFS262192 MPL262150:MPO262192 MZH262150:MZK262192 NJD262150:NJG262192 NSZ262150:NTC262192 OCV262150:OCY262192 OMR262150:OMU262192 OWN262150:OWQ262192 PGJ262150:PGM262192 PQF262150:PQI262192 QAB262150:QAE262192 QJX262150:QKA262192 QTT262150:QTW262192 RDP262150:RDS262192 RNL262150:RNO262192 RXH262150:RXK262192 SHD262150:SHG262192 SQZ262150:SRC262192 TAV262150:TAY262192 TKR262150:TKU262192 TUN262150:TUQ262192 UEJ262150:UEM262192 UOF262150:UOI262192 UYB262150:UYE262192 VHX262150:VIA262192 VRT262150:VRW262192 WBP262150:WBS262192 WLL262150:WLO262192 WVH262150:WVK262192 IV327686:IY327728 SR327686:SU327728 ACN327686:ACQ327728 AMJ327686:AMM327728 AWF327686:AWI327728 BGB327686:BGE327728 BPX327686:BQA327728 BZT327686:BZW327728 CJP327686:CJS327728 CTL327686:CTO327728 DDH327686:DDK327728 DND327686:DNG327728 DWZ327686:DXC327728 EGV327686:EGY327728 EQR327686:EQU327728 FAN327686:FAQ327728 FKJ327686:FKM327728 FUF327686:FUI327728 GEB327686:GEE327728 GNX327686:GOA327728 GXT327686:GXW327728 HHP327686:HHS327728 HRL327686:HRO327728 IBH327686:IBK327728 ILD327686:ILG327728 IUZ327686:IVC327728 JEV327686:JEY327728 JOR327686:JOU327728 JYN327686:JYQ327728 KIJ327686:KIM327728 KSF327686:KSI327728 LCB327686:LCE327728 LLX327686:LMA327728 LVT327686:LVW327728 MFP327686:MFS327728 MPL327686:MPO327728 MZH327686:MZK327728 NJD327686:NJG327728 NSZ327686:NTC327728 OCV327686:OCY327728 OMR327686:OMU327728 OWN327686:OWQ327728 PGJ327686:PGM327728 PQF327686:PQI327728 QAB327686:QAE327728 QJX327686:QKA327728 QTT327686:QTW327728 RDP327686:RDS327728 RNL327686:RNO327728 RXH327686:RXK327728 SHD327686:SHG327728 SQZ327686:SRC327728 TAV327686:TAY327728 TKR327686:TKU327728 TUN327686:TUQ327728 UEJ327686:UEM327728 UOF327686:UOI327728 UYB327686:UYE327728 VHX327686:VIA327728 VRT327686:VRW327728 WBP327686:WBS327728 WLL327686:WLO327728 WVH327686:WVK327728 IV393222:IY393264 SR393222:SU393264 ACN393222:ACQ393264 AMJ393222:AMM393264 AWF393222:AWI393264 BGB393222:BGE393264 BPX393222:BQA393264 BZT393222:BZW393264 CJP393222:CJS393264 CTL393222:CTO393264 DDH393222:DDK393264 DND393222:DNG393264 DWZ393222:DXC393264 EGV393222:EGY393264 EQR393222:EQU393264 FAN393222:FAQ393264 FKJ393222:FKM393264 FUF393222:FUI393264 GEB393222:GEE393264 GNX393222:GOA393264 GXT393222:GXW393264 HHP393222:HHS393264 HRL393222:HRO393264 IBH393222:IBK393264 ILD393222:ILG393264 IUZ393222:IVC393264 JEV393222:JEY393264 JOR393222:JOU393264 JYN393222:JYQ393264 KIJ393222:KIM393264 KSF393222:KSI393264 LCB393222:LCE393264 LLX393222:LMA393264 LVT393222:LVW393264 MFP393222:MFS393264 MPL393222:MPO393264 MZH393222:MZK393264 NJD393222:NJG393264 NSZ393222:NTC393264 OCV393222:OCY393264 OMR393222:OMU393264 OWN393222:OWQ393264 PGJ393222:PGM393264 PQF393222:PQI393264 QAB393222:QAE393264 QJX393222:QKA393264 QTT393222:QTW393264 RDP393222:RDS393264 RNL393222:RNO393264 RXH393222:RXK393264 SHD393222:SHG393264 SQZ393222:SRC393264 TAV393222:TAY393264 TKR393222:TKU393264 TUN393222:TUQ393264 UEJ393222:UEM393264 UOF393222:UOI393264 UYB393222:UYE393264 VHX393222:VIA393264 VRT393222:VRW393264 WBP393222:WBS393264 WLL393222:WLO393264 WVH393222:WVK393264 IV458758:IY458800 SR458758:SU458800 ACN458758:ACQ458800 AMJ458758:AMM458800 AWF458758:AWI458800 BGB458758:BGE458800 BPX458758:BQA458800 BZT458758:BZW458800 CJP458758:CJS458800 CTL458758:CTO458800 DDH458758:DDK458800 DND458758:DNG458800 DWZ458758:DXC458800 EGV458758:EGY458800 EQR458758:EQU458800 FAN458758:FAQ458800 FKJ458758:FKM458800 FUF458758:FUI458800 GEB458758:GEE458800 GNX458758:GOA458800 GXT458758:GXW458800 HHP458758:HHS458800 HRL458758:HRO458800 IBH458758:IBK458800 ILD458758:ILG458800 IUZ458758:IVC458800 JEV458758:JEY458800 JOR458758:JOU458800 JYN458758:JYQ458800 KIJ458758:KIM458800 KSF458758:KSI458800 LCB458758:LCE458800 LLX458758:LMA458800 LVT458758:LVW458800 MFP458758:MFS458800 MPL458758:MPO458800 MZH458758:MZK458800 NJD458758:NJG458800 NSZ458758:NTC458800 OCV458758:OCY458800 OMR458758:OMU458800 OWN458758:OWQ458800 PGJ458758:PGM458800 PQF458758:PQI458800 QAB458758:QAE458800 QJX458758:QKA458800 QTT458758:QTW458800 RDP458758:RDS458800 RNL458758:RNO458800 RXH458758:RXK458800 SHD458758:SHG458800 SQZ458758:SRC458800 TAV458758:TAY458800 TKR458758:TKU458800 TUN458758:TUQ458800 UEJ458758:UEM458800 UOF458758:UOI458800 UYB458758:UYE458800 VHX458758:VIA458800 VRT458758:VRW458800 WBP458758:WBS458800 WLL458758:WLO458800 WVH458758:WVK458800 IV524294:IY524336 SR524294:SU524336 ACN524294:ACQ524336 AMJ524294:AMM524336 AWF524294:AWI524336 BGB524294:BGE524336 BPX524294:BQA524336 BZT524294:BZW524336 CJP524294:CJS524336 CTL524294:CTO524336 DDH524294:DDK524336 DND524294:DNG524336 DWZ524294:DXC524336 EGV524294:EGY524336 EQR524294:EQU524336 FAN524294:FAQ524336 FKJ524294:FKM524336 FUF524294:FUI524336 GEB524294:GEE524336 GNX524294:GOA524336 GXT524294:GXW524336 HHP524294:HHS524336 HRL524294:HRO524336 IBH524294:IBK524336 ILD524294:ILG524336 IUZ524294:IVC524336 JEV524294:JEY524336 JOR524294:JOU524336 JYN524294:JYQ524336 KIJ524294:KIM524336 KSF524294:KSI524336 LCB524294:LCE524336 LLX524294:LMA524336 LVT524294:LVW524336 MFP524294:MFS524336 MPL524294:MPO524336 MZH524294:MZK524336 NJD524294:NJG524336 NSZ524294:NTC524336 OCV524294:OCY524336 OMR524294:OMU524336 OWN524294:OWQ524336 PGJ524294:PGM524336 PQF524294:PQI524336 QAB524294:QAE524336 QJX524294:QKA524336 QTT524294:QTW524336 RDP524294:RDS524336 RNL524294:RNO524336 RXH524294:RXK524336 SHD524294:SHG524336 SQZ524294:SRC524336 TAV524294:TAY524336 TKR524294:TKU524336 TUN524294:TUQ524336 UEJ524294:UEM524336 UOF524294:UOI524336 UYB524294:UYE524336 VHX524294:VIA524336 VRT524294:VRW524336 WBP524294:WBS524336 WLL524294:WLO524336 WVH524294:WVK524336 IV589830:IY589872 SR589830:SU589872 ACN589830:ACQ589872 AMJ589830:AMM589872 AWF589830:AWI589872 BGB589830:BGE589872 BPX589830:BQA589872 BZT589830:BZW589872 CJP589830:CJS589872 CTL589830:CTO589872 DDH589830:DDK589872 DND589830:DNG589872 DWZ589830:DXC589872 EGV589830:EGY589872 EQR589830:EQU589872 FAN589830:FAQ589872 FKJ589830:FKM589872 FUF589830:FUI589872 GEB589830:GEE589872 GNX589830:GOA589872 GXT589830:GXW589872 HHP589830:HHS589872 HRL589830:HRO589872 IBH589830:IBK589872 ILD589830:ILG589872 IUZ589830:IVC589872 JEV589830:JEY589872 JOR589830:JOU589872 JYN589830:JYQ589872 KIJ589830:KIM589872 KSF589830:KSI589872 LCB589830:LCE589872 LLX589830:LMA589872 LVT589830:LVW589872 MFP589830:MFS589872 MPL589830:MPO589872 MZH589830:MZK589872 NJD589830:NJG589872 NSZ589830:NTC589872 OCV589830:OCY589872 OMR589830:OMU589872 OWN589830:OWQ589872 PGJ589830:PGM589872 PQF589830:PQI589872 QAB589830:QAE589872 QJX589830:QKA589872 QTT589830:QTW589872 RDP589830:RDS589872 RNL589830:RNO589872 RXH589830:RXK589872 SHD589830:SHG589872 SQZ589830:SRC589872 TAV589830:TAY589872 TKR589830:TKU589872 TUN589830:TUQ589872 UEJ589830:UEM589872 UOF589830:UOI589872 UYB589830:UYE589872 VHX589830:VIA589872 VRT589830:VRW589872 WBP589830:WBS589872 WLL589830:WLO589872 WVH589830:WVK589872 IV655366:IY655408 SR655366:SU655408 ACN655366:ACQ655408 AMJ655366:AMM655408 AWF655366:AWI655408 BGB655366:BGE655408 BPX655366:BQA655408 BZT655366:BZW655408 CJP655366:CJS655408 CTL655366:CTO655408 DDH655366:DDK655408 DND655366:DNG655408 DWZ655366:DXC655408 EGV655366:EGY655408 EQR655366:EQU655408 FAN655366:FAQ655408 FKJ655366:FKM655408 FUF655366:FUI655408 GEB655366:GEE655408 GNX655366:GOA655408 GXT655366:GXW655408 HHP655366:HHS655408 HRL655366:HRO655408 IBH655366:IBK655408 ILD655366:ILG655408 IUZ655366:IVC655408 JEV655366:JEY655408 JOR655366:JOU655408 JYN655366:JYQ655408 KIJ655366:KIM655408 KSF655366:KSI655408 LCB655366:LCE655408 LLX655366:LMA655408 LVT655366:LVW655408 MFP655366:MFS655408 MPL655366:MPO655408 MZH655366:MZK655408 NJD655366:NJG655408 NSZ655366:NTC655408 OCV655366:OCY655408 OMR655366:OMU655408 OWN655366:OWQ655408 PGJ655366:PGM655408 PQF655366:PQI655408 QAB655366:QAE655408 QJX655366:QKA655408 QTT655366:QTW655408 RDP655366:RDS655408 RNL655366:RNO655408 RXH655366:RXK655408 SHD655366:SHG655408 SQZ655366:SRC655408 TAV655366:TAY655408 TKR655366:TKU655408 TUN655366:TUQ655408 UEJ655366:UEM655408 UOF655366:UOI655408 UYB655366:UYE655408 VHX655366:VIA655408 VRT655366:VRW655408 WBP655366:WBS655408 WLL655366:WLO655408 WVH655366:WVK655408 IV720902:IY720944 SR720902:SU720944 ACN720902:ACQ720944 AMJ720902:AMM720944 AWF720902:AWI720944 BGB720902:BGE720944 BPX720902:BQA720944 BZT720902:BZW720944 CJP720902:CJS720944 CTL720902:CTO720944 DDH720902:DDK720944 DND720902:DNG720944 DWZ720902:DXC720944 EGV720902:EGY720944 EQR720902:EQU720944 FAN720902:FAQ720944 FKJ720902:FKM720944 FUF720902:FUI720944 GEB720902:GEE720944 GNX720902:GOA720944 GXT720902:GXW720944 HHP720902:HHS720944 HRL720902:HRO720944 IBH720902:IBK720944 ILD720902:ILG720944 IUZ720902:IVC720944 JEV720902:JEY720944 JOR720902:JOU720944 JYN720902:JYQ720944 KIJ720902:KIM720944 KSF720902:KSI720944 LCB720902:LCE720944 LLX720902:LMA720944 LVT720902:LVW720944 MFP720902:MFS720944 MPL720902:MPO720944 MZH720902:MZK720944 NJD720902:NJG720944 NSZ720902:NTC720944 OCV720902:OCY720944 OMR720902:OMU720944 OWN720902:OWQ720944 PGJ720902:PGM720944 PQF720902:PQI720944 QAB720902:QAE720944 QJX720902:QKA720944 QTT720902:QTW720944 RDP720902:RDS720944 RNL720902:RNO720944 RXH720902:RXK720944 SHD720902:SHG720944 SQZ720902:SRC720944 TAV720902:TAY720944 TKR720902:TKU720944 TUN720902:TUQ720944 UEJ720902:UEM720944 UOF720902:UOI720944 UYB720902:UYE720944 VHX720902:VIA720944 VRT720902:VRW720944 WBP720902:WBS720944 WLL720902:WLO720944 WVH720902:WVK720944 IV786438:IY786480 SR786438:SU786480 ACN786438:ACQ786480 AMJ786438:AMM786480 AWF786438:AWI786480 BGB786438:BGE786480 BPX786438:BQA786480 BZT786438:BZW786480 CJP786438:CJS786480 CTL786438:CTO786480 DDH786438:DDK786480 DND786438:DNG786480 DWZ786438:DXC786480 EGV786438:EGY786480 EQR786438:EQU786480 FAN786438:FAQ786480 FKJ786438:FKM786480 FUF786438:FUI786480 GEB786438:GEE786480 GNX786438:GOA786480 GXT786438:GXW786480 HHP786438:HHS786480 HRL786438:HRO786480 IBH786438:IBK786480 ILD786438:ILG786480 IUZ786438:IVC786480 JEV786438:JEY786480 JOR786438:JOU786480 JYN786438:JYQ786480 KIJ786438:KIM786480 KSF786438:KSI786480 LCB786438:LCE786480 LLX786438:LMA786480 LVT786438:LVW786480 MFP786438:MFS786480 MPL786438:MPO786480 MZH786438:MZK786480 NJD786438:NJG786480 NSZ786438:NTC786480 OCV786438:OCY786480 OMR786438:OMU786480 OWN786438:OWQ786480 PGJ786438:PGM786480 PQF786438:PQI786480 QAB786438:QAE786480 QJX786438:QKA786480 QTT786438:QTW786480 RDP786438:RDS786480 RNL786438:RNO786480 RXH786438:RXK786480 SHD786438:SHG786480 SQZ786438:SRC786480 TAV786438:TAY786480 TKR786438:TKU786480 TUN786438:TUQ786480 UEJ786438:UEM786480 UOF786438:UOI786480 UYB786438:UYE786480 VHX786438:VIA786480 VRT786438:VRW786480 WBP786438:WBS786480 WLL786438:WLO786480 WVH786438:WVK786480 IV851974:IY852016 SR851974:SU852016 ACN851974:ACQ852016 AMJ851974:AMM852016 AWF851974:AWI852016 BGB851974:BGE852016 BPX851974:BQA852016 BZT851974:BZW852016 CJP851974:CJS852016 CTL851974:CTO852016 DDH851974:DDK852016 DND851974:DNG852016 DWZ851974:DXC852016 EGV851974:EGY852016 EQR851974:EQU852016 FAN851974:FAQ852016 FKJ851974:FKM852016 FUF851974:FUI852016 GEB851974:GEE852016 GNX851974:GOA852016 GXT851974:GXW852016 HHP851974:HHS852016 HRL851974:HRO852016 IBH851974:IBK852016 ILD851974:ILG852016 IUZ851974:IVC852016 JEV851974:JEY852016 JOR851974:JOU852016 JYN851974:JYQ852016 KIJ851974:KIM852016 KSF851974:KSI852016 LCB851974:LCE852016 LLX851974:LMA852016 LVT851974:LVW852016 MFP851974:MFS852016 MPL851974:MPO852016 MZH851974:MZK852016 NJD851974:NJG852016 NSZ851974:NTC852016 OCV851974:OCY852016 OMR851974:OMU852016 OWN851974:OWQ852016 PGJ851974:PGM852016 PQF851974:PQI852016 QAB851974:QAE852016 QJX851974:QKA852016 QTT851974:QTW852016 RDP851974:RDS852016 RNL851974:RNO852016 RXH851974:RXK852016 SHD851974:SHG852016 SQZ851974:SRC852016 TAV851974:TAY852016 TKR851974:TKU852016 TUN851974:TUQ852016 UEJ851974:UEM852016 UOF851974:UOI852016 UYB851974:UYE852016 VHX851974:VIA852016 VRT851974:VRW852016 WBP851974:WBS852016 WLL851974:WLO852016 WVH851974:WVK852016 IV917510:IY917552 SR917510:SU917552 ACN917510:ACQ917552 AMJ917510:AMM917552 AWF917510:AWI917552 BGB917510:BGE917552 BPX917510:BQA917552 BZT917510:BZW917552 CJP917510:CJS917552 CTL917510:CTO917552 DDH917510:DDK917552 DND917510:DNG917552 DWZ917510:DXC917552 EGV917510:EGY917552 EQR917510:EQU917552 FAN917510:FAQ917552 FKJ917510:FKM917552 FUF917510:FUI917552 GEB917510:GEE917552 GNX917510:GOA917552 GXT917510:GXW917552 HHP917510:HHS917552 HRL917510:HRO917552 IBH917510:IBK917552 ILD917510:ILG917552 IUZ917510:IVC917552 JEV917510:JEY917552 JOR917510:JOU917552 JYN917510:JYQ917552 KIJ917510:KIM917552 KSF917510:KSI917552 LCB917510:LCE917552 LLX917510:LMA917552 LVT917510:LVW917552 MFP917510:MFS917552 MPL917510:MPO917552 MZH917510:MZK917552 NJD917510:NJG917552 NSZ917510:NTC917552 OCV917510:OCY917552 OMR917510:OMU917552 OWN917510:OWQ917552 PGJ917510:PGM917552 PQF917510:PQI917552 QAB917510:QAE917552 QJX917510:QKA917552 QTT917510:QTW917552 RDP917510:RDS917552 RNL917510:RNO917552 RXH917510:RXK917552 SHD917510:SHG917552 SQZ917510:SRC917552 TAV917510:TAY917552 TKR917510:TKU917552 TUN917510:TUQ917552 UEJ917510:UEM917552 UOF917510:UOI917552 UYB917510:UYE917552 VHX917510:VIA917552 VRT917510:VRW917552 WBP917510:WBS917552 WLL917510:WLO917552 WVH917510:WVK917552 WVH983046:WVK983088 IV983046:IY983088 SR983046:SU983088 ACN983046:ACQ983088 AMJ983046:AMM983088 AWF983046:AWI983088 BGB983046:BGE983088 BPX983046:BQA983088 BZT983046:BZW983088 CJP983046:CJS983088 CTL983046:CTO983088 DDH983046:DDK983088 DND983046:DNG983088 DWZ983046:DXC983088 EGV983046:EGY983088 EQR983046:EQU983088 FAN983046:FAQ983088 FKJ983046:FKM983088 FUF983046:FUI983088 GEB983046:GEE983088 GNX983046:GOA983088 GXT983046:GXW983088 HHP983046:HHS983088 HRL983046:HRO983088 IBH983046:IBK983088 ILD983046:ILG983088 IUZ983046:IVC983088 JEV983046:JEY983088 JOR983046:JOU983088 JYN983046:JYQ983088 KIJ983046:KIM983088 KSF983046:KSI983088 LCB983046:LCE983088 LLX983046:LMA983088 LVT983046:LVW983088 MFP983046:MFS983088 MPL983046:MPO983088 MZH983046:MZK983088 NJD983046:NJG983088 NSZ983046:NTC983088 OCV983046:OCY983088 OMR983046:OMU983088 OWN983046:OWQ983088 PGJ983046:PGM983088 PQF983046:PQI983088 QAB983046:QAE983088 QJX983046:QKA983088 QTT983046:QTW983088 RDP983046:RDS983088 RNL983046:RNO983088 RXH983046:RXK983088 SHD983046:SHG983088 SQZ983046:SRC983088 TAV983046:TAY983088 TKR983046:TKU983088 TUN983046:TUQ983088 UEJ983046:UEM983088 UOF983046:UOI983088 UYB983046:UYE983088 VHX983046:VIA983088 VRT983046:VRW983088 WBP983046:WBS983088 WLL983046:WLO983088 N131078:N131120 H131078:J131120 N196614:N196656 H196614:J196656 N262150:N262192 H262150:J262192 N327686:N327728 H327686:J327728 N393222:N393264 H393222:J393264 N458758:N458800 H458758:J458800 N524294:N524336 H524294:J524336 N589830:N589872 H589830:J589872 N655366:N655408 H655366:J655408 N720902:N720944 H720902:J720944 N786438:N786480 H786438:J786480 N851974:N852016 H851974:J852016 N917510:N917552 H917510:J917552 N983046:N983088 H983046:J983088 N65542:N65584 H65542:J65584">
      <formula1>0</formula1>
      <formula2>33</formula2>
    </dataValidation>
    <dataValidation type="decimal" allowBlank="1" showInputMessage="1" showErrorMessage="1" prompt="bei Zutreffen Stundenzahl eingeben" sqref="WVF983046:WVF983088 IT5:IT47 SP5:SP47 ACL5:ACL47 AMH5:AMH47 AWD5:AWD47 BFZ5:BFZ47 BPV5:BPV47 BZR5:BZR47 CJN5:CJN47 CTJ5:CTJ47 DDF5:DDF47 DNB5:DNB47 DWX5:DWX47 EGT5:EGT47 EQP5:EQP47 FAL5:FAL47 FKH5:FKH47 FUD5:FUD47 GDZ5:GDZ47 GNV5:GNV47 GXR5:GXR47 HHN5:HHN47 HRJ5:HRJ47 IBF5:IBF47 ILB5:ILB47 IUX5:IUX47 JET5:JET47 JOP5:JOP47 JYL5:JYL47 KIH5:KIH47 KSD5:KSD47 LBZ5:LBZ47 LLV5:LLV47 LVR5:LVR47 MFN5:MFN47 MPJ5:MPJ47 MZF5:MZF47 NJB5:NJB47 NSX5:NSX47 OCT5:OCT47 OMP5:OMP47 OWL5:OWL47 PGH5:PGH47 PQD5:PQD47 PZZ5:PZZ47 QJV5:QJV47 QTR5:QTR47 RDN5:RDN47 RNJ5:RNJ47 RXF5:RXF47 SHB5:SHB47 SQX5:SQX47 TAT5:TAT47 TKP5:TKP47 TUL5:TUL47 UEH5:UEH47 UOD5:UOD47 UXZ5:UXZ47 VHV5:VHV47 VRR5:VRR47 WBN5:WBN47 WLJ5:WLJ47 WVF5:WVF47 K65542:K65584 IT65542:IT65584 SP65542:SP65584 ACL65542:ACL65584 AMH65542:AMH65584 AWD65542:AWD65584 BFZ65542:BFZ65584 BPV65542:BPV65584 BZR65542:BZR65584 CJN65542:CJN65584 CTJ65542:CTJ65584 DDF65542:DDF65584 DNB65542:DNB65584 DWX65542:DWX65584 EGT65542:EGT65584 EQP65542:EQP65584 FAL65542:FAL65584 FKH65542:FKH65584 FUD65542:FUD65584 GDZ65542:GDZ65584 GNV65542:GNV65584 GXR65542:GXR65584 HHN65542:HHN65584 HRJ65542:HRJ65584 IBF65542:IBF65584 ILB65542:ILB65584 IUX65542:IUX65584 JET65542:JET65584 JOP65542:JOP65584 JYL65542:JYL65584 KIH65542:KIH65584 KSD65542:KSD65584 LBZ65542:LBZ65584 LLV65542:LLV65584 LVR65542:LVR65584 MFN65542:MFN65584 MPJ65542:MPJ65584 MZF65542:MZF65584 NJB65542:NJB65584 NSX65542:NSX65584 OCT65542:OCT65584 OMP65542:OMP65584 OWL65542:OWL65584 PGH65542:PGH65584 PQD65542:PQD65584 PZZ65542:PZZ65584 QJV65542:QJV65584 QTR65542:QTR65584 RDN65542:RDN65584 RNJ65542:RNJ65584 RXF65542:RXF65584 SHB65542:SHB65584 SQX65542:SQX65584 TAT65542:TAT65584 TKP65542:TKP65584 TUL65542:TUL65584 UEH65542:UEH65584 UOD65542:UOD65584 UXZ65542:UXZ65584 VHV65542:VHV65584 VRR65542:VRR65584 WBN65542:WBN65584 WLJ65542:WLJ65584 WVF65542:WVF65584 K131078:K131120 IT131078:IT131120 SP131078:SP131120 ACL131078:ACL131120 AMH131078:AMH131120 AWD131078:AWD131120 BFZ131078:BFZ131120 BPV131078:BPV131120 BZR131078:BZR131120 CJN131078:CJN131120 CTJ131078:CTJ131120 DDF131078:DDF131120 DNB131078:DNB131120 DWX131078:DWX131120 EGT131078:EGT131120 EQP131078:EQP131120 FAL131078:FAL131120 FKH131078:FKH131120 FUD131078:FUD131120 GDZ131078:GDZ131120 GNV131078:GNV131120 GXR131078:GXR131120 HHN131078:HHN131120 HRJ131078:HRJ131120 IBF131078:IBF131120 ILB131078:ILB131120 IUX131078:IUX131120 JET131078:JET131120 JOP131078:JOP131120 JYL131078:JYL131120 KIH131078:KIH131120 KSD131078:KSD131120 LBZ131078:LBZ131120 LLV131078:LLV131120 LVR131078:LVR131120 MFN131078:MFN131120 MPJ131078:MPJ131120 MZF131078:MZF131120 NJB131078:NJB131120 NSX131078:NSX131120 OCT131078:OCT131120 OMP131078:OMP131120 OWL131078:OWL131120 PGH131078:PGH131120 PQD131078:PQD131120 PZZ131078:PZZ131120 QJV131078:QJV131120 QTR131078:QTR131120 RDN131078:RDN131120 RNJ131078:RNJ131120 RXF131078:RXF131120 SHB131078:SHB131120 SQX131078:SQX131120 TAT131078:TAT131120 TKP131078:TKP131120 TUL131078:TUL131120 UEH131078:UEH131120 UOD131078:UOD131120 UXZ131078:UXZ131120 VHV131078:VHV131120 VRR131078:VRR131120 WBN131078:WBN131120 WLJ131078:WLJ131120 WVF131078:WVF131120 K196614:K196656 IT196614:IT196656 SP196614:SP196656 ACL196614:ACL196656 AMH196614:AMH196656 AWD196614:AWD196656 BFZ196614:BFZ196656 BPV196614:BPV196656 BZR196614:BZR196656 CJN196614:CJN196656 CTJ196614:CTJ196656 DDF196614:DDF196656 DNB196614:DNB196656 DWX196614:DWX196656 EGT196614:EGT196656 EQP196614:EQP196656 FAL196614:FAL196656 FKH196614:FKH196656 FUD196614:FUD196656 GDZ196614:GDZ196656 GNV196614:GNV196656 GXR196614:GXR196656 HHN196614:HHN196656 HRJ196614:HRJ196656 IBF196614:IBF196656 ILB196614:ILB196656 IUX196614:IUX196656 JET196614:JET196656 JOP196614:JOP196656 JYL196614:JYL196656 KIH196614:KIH196656 KSD196614:KSD196656 LBZ196614:LBZ196656 LLV196614:LLV196656 LVR196614:LVR196656 MFN196614:MFN196656 MPJ196614:MPJ196656 MZF196614:MZF196656 NJB196614:NJB196656 NSX196614:NSX196656 OCT196614:OCT196656 OMP196614:OMP196656 OWL196614:OWL196656 PGH196614:PGH196656 PQD196614:PQD196656 PZZ196614:PZZ196656 QJV196614:QJV196656 QTR196614:QTR196656 RDN196614:RDN196656 RNJ196614:RNJ196656 RXF196614:RXF196656 SHB196614:SHB196656 SQX196614:SQX196656 TAT196614:TAT196656 TKP196614:TKP196656 TUL196614:TUL196656 UEH196614:UEH196656 UOD196614:UOD196656 UXZ196614:UXZ196656 VHV196614:VHV196656 VRR196614:VRR196656 WBN196614:WBN196656 WLJ196614:WLJ196656 WVF196614:WVF196656 K262150:K262192 IT262150:IT262192 SP262150:SP262192 ACL262150:ACL262192 AMH262150:AMH262192 AWD262150:AWD262192 BFZ262150:BFZ262192 BPV262150:BPV262192 BZR262150:BZR262192 CJN262150:CJN262192 CTJ262150:CTJ262192 DDF262150:DDF262192 DNB262150:DNB262192 DWX262150:DWX262192 EGT262150:EGT262192 EQP262150:EQP262192 FAL262150:FAL262192 FKH262150:FKH262192 FUD262150:FUD262192 GDZ262150:GDZ262192 GNV262150:GNV262192 GXR262150:GXR262192 HHN262150:HHN262192 HRJ262150:HRJ262192 IBF262150:IBF262192 ILB262150:ILB262192 IUX262150:IUX262192 JET262150:JET262192 JOP262150:JOP262192 JYL262150:JYL262192 KIH262150:KIH262192 KSD262150:KSD262192 LBZ262150:LBZ262192 LLV262150:LLV262192 LVR262150:LVR262192 MFN262150:MFN262192 MPJ262150:MPJ262192 MZF262150:MZF262192 NJB262150:NJB262192 NSX262150:NSX262192 OCT262150:OCT262192 OMP262150:OMP262192 OWL262150:OWL262192 PGH262150:PGH262192 PQD262150:PQD262192 PZZ262150:PZZ262192 QJV262150:QJV262192 QTR262150:QTR262192 RDN262150:RDN262192 RNJ262150:RNJ262192 RXF262150:RXF262192 SHB262150:SHB262192 SQX262150:SQX262192 TAT262150:TAT262192 TKP262150:TKP262192 TUL262150:TUL262192 UEH262150:UEH262192 UOD262150:UOD262192 UXZ262150:UXZ262192 VHV262150:VHV262192 VRR262150:VRR262192 WBN262150:WBN262192 WLJ262150:WLJ262192 WVF262150:WVF262192 K327686:K327728 IT327686:IT327728 SP327686:SP327728 ACL327686:ACL327728 AMH327686:AMH327728 AWD327686:AWD327728 BFZ327686:BFZ327728 BPV327686:BPV327728 BZR327686:BZR327728 CJN327686:CJN327728 CTJ327686:CTJ327728 DDF327686:DDF327728 DNB327686:DNB327728 DWX327686:DWX327728 EGT327686:EGT327728 EQP327686:EQP327728 FAL327686:FAL327728 FKH327686:FKH327728 FUD327686:FUD327728 GDZ327686:GDZ327728 GNV327686:GNV327728 GXR327686:GXR327728 HHN327686:HHN327728 HRJ327686:HRJ327728 IBF327686:IBF327728 ILB327686:ILB327728 IUX327686:IUX327728 JET327686:JET327728 JOP327686:JOP327728 JYL327686:JYL327728 KIH327686:KIH327728 KSD327686:KSD327728 LBZ327686:LBZ327728 LLV327686:LLV327728 LVR327686:LVR327728 MFN327686:MFN327728 MPJ327686:MPJ327728 MZF327686:MZF327728 NJB327686:NJB327728 NSX327686:NSX327728 OCT327686:OCT327728 OMP327686:OMP327728 OWL327686:OWL327728 PGH327686:PGH327728 PQD327686:PQD327728 PZZ327686:PZZ327728 QJV327686:QJV327728 QTR327686:QTR327728 RDN327686:RDN327728 RNJ327686:RNJ327728 RXF327686:RXF327728 SHB327686:SHB327728 SQX327686:SQX327728 TAT327686:TAT327728 TKP327686:TKP327728 TUL327686:TUL327728 UEH327686:UEH327728 UOD327686:UOD327728 UXZ327686:UXZ327728 VHV327686:VHV327728 VRR327686:VRR327728 WBN327686:WBN327728 WLJ327686:WLJ327728 WVF327686:WVF327728 K393222:K393264 IT393222:IT393264 SP393222:SP393264 ACL393222:ACL393264 AMH393222:AMH393264 AWD393222:AWD393264 BFZ393222:BFZ393264 BPV393222:BPV393264 BZR393222:BZR393264 CJN393222:CJN393264 CTJ393222:CTJ393264 DDF393222:DDF393264 DNB393222:DNB393264 DWX393222:DWX393264 EGT393222:EGT393264 EQP393222:EQP393264 FAL393222:FAL393264 FKH393222:FKH393264 FUD393222:FUD393264 GDZ393222:GDZ393264 GNV393222:GNV393264 GXR393222:GXR393264 HHN393222:HHN393264 HRJ393222:HRJ393264 IBF393222:IBF393264 ILB393222:ILB393264 IUX393222:IUX393264 JET393222:JET393264 JOP393222:JOP393264 JYL393222:JYL393264 KIH393222:KIH393264 KSD393222:KSD393264 LBZ393222:LBZ393264 LLV393222:LLV393264 LVR393222:LVR393264 MFN393222:MFN393264 MPJ393222:MPJ393264 MZF393222:MZF393264 NJB393222:NJB393264 NSX393222:NSX393264 OCT393222:OCT393264 OMP393222:OMP393264 OWL393222:OWL393264 PGH393222:PGH393264 PQD393222:PQD393264 PZZ393222:PZZ393264 QJV393222:QJV393264 QTR393222:QTR393264 RDN393222:RDN393264 RNJ393222:RNJ393264 RXF393222:RXF393264 SHB393222:SHB393264 SQX393222:SQX393264 TAT393222:TAT393264 TKP393222:TKP393264 TUL393222:TUL393264 UEH393222:UEH393264 UOD393222:UOD393264 UXZ393222:UXZ393264 VHV393222:VHV393264 VRR393222:VRR393264 WBN393222:WBN393264 WLJ393222:WLJ393264 WVF393222:WVF393264 K458758:K458800 IT458758:IT458800 SP458758:SP458800 ACL458758:ACL458800 AMH458758:AMH458800 AWD458758:AWD458800 BFZ458758:BFZ458800 BPV458758:BPV458800 BZR458758:BZR458800 CJN458758:CJN458800 CTJ458758:CTJ458800 DDF458758:DDF458800 DNB458758:DNB458800 DWX458758:DWX458800 EGT458758:EGT458800 EQP458758:EQP458800 FAL458758:FAL458800 FKH458758:FKH458800 FUD458758:FUD458800 GDZ458758:GDZ458800 GNV458758:GNV458800 GXR458758:GXR458800 HHN458758:HHN458800 HRJ458758:HRJ458800 IBF458758:IBF458800 ILB458758:ILB458800 IUX458758:IUX458800 JET458758:JET458800 JOP458758:JOP458800 JYL458758:JYL458800 KIH458758:KIH458800 KSD458758:KSD458800 LBZ458758:LBZ458800 LLV458758:LLV458800 LVR458758:LVR458800 MFN458758:MFN458800 MPJ458758:MPJ458800 MZF458758:MZF458800 NJB458758:NJB458800 NSX458758:NSX458800 OCT458758:OCT458800 OMP458758:OMP458800 OWL458758:OWL458800 PGH458758:PGH458800 PQD458758:PQD458800 PZZ458758:PZZ458800 QJV458758:QJV458800 QTR458758:QTR458800 RDN458758:RDN458800 RNJ458758:RNJ458800 RXF458758:RXF458800 SHB458758:SHB458800 SQX458758:SQX458800 TAT458758:TAT458800 TKP458758:TKP458800 TUL458758:TUL458800 UEH458758:UEH458800 UOD458758:UOD458800 UXZ458758:UXZ458800 VHV458758:VHV458800 VRR458758:VRR458800 WBN458758:WBN458800 WLJ458758:WLJ458800 WVF458758:WVF458800 K524294:K524336 IT524294:IT524336 SP524294:SP524336 ACL524294:ACL524336 AMH524294:AMH524336 AWD524294:AWD524336 BFZ524294:BFZ524336 BPV524294:BPV524336 BZR524294:BZR524336 CJN524294:CJN524336 CTJ524294:CTJ524336 DDF524294:DDF524336 DNB524294:DNB524336 DWX524294:DWX524336 EGT524294:EGT524336 EQP524294:EQP524336 FAL524294:FAL524336 FKH524294:FKH524336 FUD524294:FUD524336 GDZ524294:GDZ524336 GNV524294:GNV524336 GXR524294:GXR524336 HHN524294:HHN524336 HRJ524294:HRJ524336 IBF524294:IBF524336 ILB524294:ILB524336 IUX524294:IUX524336 JET524294:JET524336 JOP524294:JOP524336 JYL524294:JYL524336 KIH524294:KIH524336 KSD524294:KSD524336 LBZ524294:LBZ524336 LLV524294:LLV524336 LVR524294:LVR524336 MFN524294:MFN524336 MPJ524294:MPJ524336 MZF524294:MZF524336 NJB524294:NJB524336 NSX524294:NSX524336 OCT524294:OCT524336 OMP524294:OMP524336 OWL524294:OWL524336 PGH524294:PGH524336 PQD524294:PQD524336 PZZ524294:PZZ524336 QJV524294:QJV524336 QTR524294:QTR524336 RDN524294:RDN524336 RNJ524294:RNJ524336 RXF524294:RXF524336 SHB524294:SHB524336 SQX524294:SQX524336 TAT524294:TAT524336 TKP524294:TKP524336 TUL524294:TUL524336 UEH524294:UEH524336 UOD524294:UOD524336 UXZ524294:UXZ524336 VHV524294:VHV524336 VRR524294:VRR524336 WBN524294:WBN524336 WLJ524294:WLJ524336 WVF524294:WVF524336 K589830:K589872 IT589830:IT589872 SP589830:SP589872 ACL589830:ACL589872 AMH589830:AMH589872 AWD589830:AWD589872 BFZ589830:BFZ589872 BPV589830:BPV589872 BZR589830:BZR589872 CJN589830:CJN589872 CTJ589830:CTJ589872 DDF589830:DDF589872 DNB589830:DNB589872 DWX589830:DWX589872 EGT589830:EGT589872 EQP589830:EQP589872 FAL589830:FAL589872 FKH589830:FKH589872 FUD589830:FUD589872 GDZ589830:GDZ589872 GNV589830:GNV589872 GXR589830:GXR589872 HHN589830:HHN589872 HRJ589830:HRJ589872 IBF589830:IBF589872 ILB589830:ILB589872 IUX589830:IUX589872 JET589830:JET589872 JOP589830:JOP589872 JYL589830:JYL589872 KIH589830:KIH589872 KSD589830:KSD589872 LBZ589830:LBZ589872 LLV589830:LLV589872 LVR589830:LVR589872 MFN589830:MFN589872 MPJ589830:MPJ589872 MZF589830:MZF589872 NJB589830:NJB589872 NSX589830:NSX589872 OCT589830:OCT589872 OMP589830:OMP589872 OWL589830:OWL589872 PGH589830:PGH589872 PQD589830:PQD589872 PZZ589830:PZZ589872 QJV589830:QJV589872 QTR589830:QTR589872 RDN589830:RDN589872 RNJ589830:RNJ589872 RXF589830:RXF589872 SHB589830:SHB589872 SQX589830:SQX589872 TAT589830:TAT589872 TKP589830:TKP589872 TUL589830:TUL589872 UEH589830:UEH589872 UOD589830:UOD589872 UXZ589830:UXZ589872 VHV589830:VHV589872 VRR589830:VRR589872 WBN589830:WBN589872 WLJ589830:WLJ589872 WVF589830:WVF589872 K655366:K655408 IT655366:IT655408 SP655366:SP655408 ACL655366:ACL655408 AMH655366:AMH655408 AWD655366:AWD655408 BFZ655366:BFZ655408 BPV655366:BPV655408 BZR655366:BZR655408 CJN655366:CJN655408 CTJ655366:CTJ655408 DDF655366:DDF655408 DNB655366:DNB655408 DWX655366:DWX655408 EGT655366:EGT655408 EQP655366:EQP655408 FAL655366:FAL655408 FKH655366:FKH655408 FUD655366:FUD655408 GDZ655366:GDZ655408 GNV655366:GNV655408 GXR655366:GXR655408 HHN655366:HHN655408 HRJ655366:HRJ655408 IBF655366:IBF655408 ILB655366:ILB655408 IUX655366:IUX655408 JET655366:JET655408 JOP655366:JOP655408 JYL655366:JYL655408 KIH655366:KIH655408 KSD655366:KSD655408 LBZ655366:LBZ655408 LLV655366:LLV655408 LVR655366:LVR655408 MFN655366:MFN655408 MPJ655366:MPJ655408 MZF655366:MZF655408 NJB655366:NJB655408 NSX655366:NSX655408 OCT655366:OCT655408 OMP655366:OMP655408 OWL655366:OWL655408 PGH655366:PGH655408 PQD655366:PQD655408 PZZ655366:PZZ655408 QJV655366:QJV655408 QTR655366:QTR655408 RDN655366:RDN655408 RNJ655366:RNJ655408 RXF655366:RXF655408 SHB655366:SHB655408 SQX655366:SQX655408 TAT655366:TAT655408 TKP655366:TKP655408 TUL655366:TUL655408 UEH655366:UEH655408 UOD655366:UOD655408 UXZ655366:UXZ655408 VHV655366:VHV655408 VRR655366:VRR655408 WBN655366:WBN655408 WLJ655366:WLJ655408 WVF655366:WVF655408 K720902:K720944 IT720902:IT720944 SP720902:SP720944 ACL720902:ACL720944 AMH720902:AMH720944 AWD720902:AWD720944 BFZ720902:BFZ720944 BPV720902:BPV720944 BZR720902:BZR720944 CJN720902:CJN720944 CTJ720902:CTJ720944 DDF720902:DDF720944 DNB720902:DNB720944 DWX720902:DWX720944 EGT720902:EGT720944 EQP720902:EQP720944 FAL720902:FAL720944 FKH720902:FKH720944 FUD720902:FUD720944 GDZ720902:GDZ720944 GNV720902:GNV720944 GXR720902:GXR720944 HHN720902:HHN720944 HRJ720902:HRJ720944 IBF720902:IBF720944 ILB720902:ILB720944 IUX720902:IUX720944 JET720902:JET720944 JOP720902:JOP720944 JYL720902:JYL720944 KIH720902:KIH720944 KSD720902:KSD720944 LBZ720902:LBZ720944 LLV720902:LLV720944 LVR720902:LVR720944 MFN720902:MFN720944 MPJ720902:MPJ720944 MZF720902:MZF720944 NJB720902:NJB720944 NSX720902:NSX720944 OCT720902:OCT720944 OMP720902:OMP720944 OWL720902:OWL720944 PGH720902:PGH720944 PQD720902:PQD720944 PZZ720902:PZZ720944 QJV720902:QJV720944 QTR720902:QTR720944 RDN720902:RDN720944 RNJ720902:RNJ720944 RXF720902:RXF720944 SHB720902:SHB720944 SQX720902:SQX720944 TAT720902:TAT720944 TKP720902:TKP720944 TUL720902:TUL720944 UEH720902:UEH720944 UOD720902:UOD720944 UXZ720902:UXZ720944 VHV720902:VHV720944 VRR720902:VRR720944 WBN720902:WBN720944 WLJ720902:WLJ720944 WVF720902:WVF720944 K786438:K786480 IT786438:IT786480 SP786438:SP786480 ACL786438:ACL786480 AMH786438:AMH786480 AWD786438:AWD786480 BFZ786438:BFZ786480 BPV786438:BPV786480 BZR786438:BZR786480 CJN786438:CJN786480 CTJ786438:CTJ786480 DDF786438:DDF786480 DNB786438:DNB786480 DWX786438:DWX786480 EGT786438:EGT786480 EQP786438:EQP786480 FAL786438:FAL786480 FKH786438:FKH786480 FUD786438:FUD786480 GDZ786438:GDZ786480 GNV786438:GNV786480 GXR786438:GXR786480 HHN786438:HHN786480 HRJ786438:HRJ786480 IBF786438:IBF786480 ILB786438:ILB786480 IUX786438:IUX786480 JET786438:JET786480 JOP786438:JOP786480 JYL786438:JYL786480 KIH786438:KIH786480 KSD786438:KSD786480 LBZ786438:LBZ786480 LLV786438:LLV786480 LVR786438:LVR786480 MFN786438:MFN786480 MPJ786438:MPJ786480 MZF786438:MZF786480 NJB786438:NJB786480 NSX786438:NSX786480 OCT786438:OCT786480 OMP786438:OMP786480 OWL786438:OWL786480 PGH786438:PGH786480 PQD786438:PQD786480 PZZ786438:PZZ786480 QJV786438:QJV786480 QTR786438:QTR786480 RDN786438:RDN786480 RNJ786438:RNJ786480 RXF786438:RXF786480 SHB786438:SHB786480 SQX786438:SQX786480 TAT786438:TAT786480 TKP786438:TKP786480 TUL786438:TUL786480 UEH786438:UEH786480 UOD786438:UOD786480 UXZ786438:UXZ786480 VHV786438:VHV786480 VRR786438:VRR786480 WBN786438:WBN786480 WLJ786438:WLJ786480 WVF786438:WVF786480 K851974:K852016 IT851974:IT852016 SP851974:SP852016 ACL851974:ACL852016 AMH851974:AMH852016 AWD851974:AWD852016 BFZ851974:BFZ852016 BPV851974:BPV852016 BZR851974:BZR852016 CJN851974:CJN852016 CTJ851974:CTJ852016 DDF851974:DDF852016 DNB851974:DNB852016 DWX851974:DWX852016 EGT851974:EGT852016 EQP851974:EQP852016 FAL851974:FAL852016 FKH851974:FKH852016 FUD851974:FUD852016 GDZ851974:GDZ852016 GNV851974:GNV852016 GXR851974:GXR852016 HHN851974:HHN852016 HRJ851974:HRJ852016 IBF851974:IBF852016 ILB851974:ILB852016 IUX851974:IUX852016 JET851974:JET852016 JOP851974:JOP852016 JYL851974:JYL852016 KIH851974:KIH852016 KSD851974:KSD852016 LBZ851974:LBZ852016 LLV851974:LLV852016 LVR851974:LVR852016 MFN851974:MFN852016 MPJ851974:MPJ852016 MZF851974:MZF852016 NJB851974:NJB852016 NSX851974:NSX852016 OCT851974:OCT852016 OMP851974:OMP852016 OWL851974:OWL852016 PGH851974:PGH852016 PQD851974:PQD852016 PZZ851974:PZZ852016 QJV851974:QJV852016 QTR851974:QTR852016 RDN851974:RDN852016 RNJ851974:RNJ852016 RXF851974:RXF852016 SHB851974:SHB852016 SQX851974:SQX852016 TAT851974:TAT852016 TKP851974:TKP852016 TUL851974:TUL852016 UEH851974:UEH852016 UOD851974:UOD852016 UXZ851974:UXZ852016 VHV851974:VHV852016 VRR851974:VRR852016 WBN851974:WBN852016 WLJ851974:WLJ852016 WVF851974:WVF852016 K917510:K917552 IT917510:IT917552 SP917510:SP917552 ACL917510:ACL917552 AMH917510:AMH917552 AWD917510:AWD917552 BFZ917510:BFZ917552 BPV917510:BPV917552 BZR917510:BZR917552 CJN917510:CJN917552 CTJ917510:CTJ917552 DDF917510:DDF917552 DNB917510:DNB917552 DWX917510:DWX917552 EGT917510:EGT917552 EQP917510:EQP917552 FAL917510:FAL917552 FKH917510:FKH917552 FUD917510:FUD917552 GDZ917510:GDZ917552 GNV917510:GNV917552 GXR917510:GXR917552 HHN917510:HHN917552 HRJ917510:HRJ917552 IBF917510:IBF917552 ILB917510:ILB917552 IUX917510:IUX917552 JET917510:JET917552 JOP917510:JOP917552 JYL917510:JYL917552 KIH917510:KIH917552 KSD917510:KSD917552 LBZ917510:LBZ917552 LLV917510:LLV917552 LVR917510:LVR917552 MFN917510:MFN917552 MPJ917510:MPJ917552 MZF917510:MZF917552 NJB917510:NJB917552 NSX917510:NSX917552 OCT917510:OCT917552 OMP917510:OMP917552 OWL917510:OWL917552 PGH917510:PGH917552 PQD917510:PQD917552 PZZ917510:PZZ917552 QJV917510:QJV917552 QTR917510:QTR917552 RDN917510:RDN917552 RNJ917510:RNJ917552 RXF917510:RXF917552 SHB917510:SHB917552 SQX917510:SQX917552 TAT917510:TAT917552 TKP917510:TKP917552 TUL917510:TUL917552 UEH917510:UEH917552 UOD917510:UOD917552 UXZ917510:UXZ917552 VHV917510:VHV917552 VRR917510:VRR917552 WBN917510:WBN917552 WLJ917510:WLJ917552 WVF917510:WVF917552 K983046:K983088 IT983046:IT983088 SP983046:SP983088 ACL983046:ACL983088 AMH983046:AMH983088 AWD983046:AWD983088 BFZ983046:BFZ983088 BPV983046:BPV983088 BZR983046:BZR983088 CJN983046:CJN983088 CTJ983046:CTJ983088 DDF983046:DDF983088 DNB983046:DNB983088 DWX983046:DWX983088 EGT983046:EGT983088 EQP983046:EQP983088 FAL983046:FAL983088 FKH983046:FKH983088 FUD983046:FUD983088 GDZ983046:GDZ983088 GNV983046:GNV983088 GXR983046:GXR983088 HHN983046:HHN983088 HRJ983046:HRJ983088 IBF983046:IBF983088 ILB983046:ILB983088 IUX983046:IUX983088 JET983046:JET983088 JOP983046:JOP983088 JYL983046:JYL983088 KIH983046:KIH983088 KSD983046:KSD983088 LBZ983046:LBZ983088 LLV983046:LLV983088 LVR983046:LVR983088 MFN983046:MFN983088 MPJ983046:MPJ983088 MZF983046:MZF983088 NJB983046:NJB983088 NSX983046:NSX983088 OCT983046:OCT983088 OMP983046:OMP983088 OWL983046:OWL983088 PGH983046:PGH983088 PQD983046:PQD983088 PZZ983046:PZZ983088 QJV983046:QJV983088 QTR983046:QTR983088 RDN983046:RDN983088 RNJ983046:RNJ983088 RXF983046:RXF983088 SHB983046:SHB983088 SQX983046:SQX983088 TAT983046:TAT983088 TKP983046:TKP983088 TUL983046:TUL983088 UEH983046:UEH983088 UOD983046:UOD983088 UXZ983046:UXZ983088 VHV983046:VHV983088 VRR983046:VRR983088 WBN983046:WBN983088 WLJ983046:WLJ983088">
      <formula1>0</formula1>
      <formula2>40</formula2>
    </dataValidation>
    <dataValidation allowBlank="1" showInputMessage="1" showErrorMessage="1" prompt="bitte auch die Lehrpersonen OHNE aktive Dienstleistung anführen!" sqref="WUY983047:WUY983049 IM6:IM8 SI6:SI8 ACE6:ACE8 AMA6:AMA8 AVW6:AVW8 BFS6:BFS8 BPO6:BPO8 BZK6:BZK8 CJG6:CJG8 CTC6:CTC8 DCY6:DCY8 DMU6:DMU8 DWQ6:DWQ8 EGM6:EGM8 EQI6:EQI8 FAE6:FAE8 FKA6:FKA8 FTW6:FTW8 GDS6:GDS8 GNO6:GNO8 GXK6:GXK8 HHG6:HHG8 HRC6:HRC8 IAY6:IAY8 IKU6:IKU8 IUQ6:IUQ8 JEM6:JEM8 JOI6:JOI8 JYE6:JYE8 KIA6:KIA8 KRW6:KRW8 LBS6:LBS8 LLO6:LLO8 LVK6:LVK8 MFG6:MFG8 MPC6:MPC8 MYY6:MYY8 NIU6:NIU8 NSQ6:NSQ8 OCM6:OCM8 OMI6:OMI8 OWE6:OWE8 PGA6:PGA8 PPW6:PPW8 PZS6:PZS8 QJO6:QJO8 QTK6:QTK8 RDG6:RDG8 RNC6:RNC8 RWY6:RWY8 SGU6:SGU8 SQQ6:SQQ8 TAM6:TAM8 TKI6:TKI8 TUE6:TUE8 UEA6:UEA8 UNW6:UNW8 UXS6:UXS8 VHO6:VHO8 VRK6:VRK8 WBG6:WBG8 WLC6:WLC8 WUY6:WUY8 A65543:A65545 IM65543:IM65545 SI65543:SI65545 ACE65543:ACE65545 AMA65543:AMA65545 AVW65543:AVW65545 BFS65543:BFS65545 BPO65543:BPO65545 BZK65543:BZK65545 CJG65543:CJG65545 CTC65543:CTC65545 DCY65543:DCY65545 DMU65543:DMU65545 DWQ65543:DWQ65545 EGM65543:EGM65545 EQI65543:EQI65545 FAE65543:FAE65545 FKA65543:FKA65545 FTW65543:FTW65545 GDS65543:GDS65545 GNO65543:GNO65545 GXK65543:GXK65545 HHG65543:HHG65545 HRC65543:HRC65545 IAY65543:IAY65545 IKU65543:IKU65545 IUQ65543:IUQ65545 JEM65543:JEM65545 JOI65543:JOI65545 JYE65543:JYE65545 KIA65543:KIA65545 KRW65543:KRW65545 LBS65543:LBS65545 LLO65543:LLO65545 LVK65543:LVK65545 MFG65543:MFG65545 MPC65543:MPC65545 MYY65543:MYY65545 NIU65543:NIU65545 NSQ65543:NSQ65545 OCM65543:OCM65545 OMI65543:OMI65545 OWE65543:OWE65545 PGA65543:PGA65545 PPW65543:PPW65545 PZS65543:PZS65545 QJO65543:QJO65545 QTK65543:QTK65545 RDG65543:RDG65545 RNC65543:RNC65545 RWY65543:RWY65545 SGU65543:SGU65545 SQQ65543:SQQ65545 TAM65543:TAM65545 TKI65543:TKI65545 TUE65543:TUE65545 UEA65543:UEA65545 UNW65543:UNW65545 UXS65543:UXS65545 VHO65543:VHO65545 VRK65543:VRK65545 WBG65543:WBG65545 WLC65543:WLC65545 WUY65543:WUY65545 A131079:A131081 IM131079:IM131081 SI131079:SI131081 ACE131079:ACE131081 AMA131079:AMA131081 AVW131079:AVW131081 BFS131079:BFS131081 BPO131079:BPO131081 BZK131079:BZK131081 CJG131079:CJG131081 CTC131079:CTC131081 DCY131079:DCY131081 DMU131079:DMU131081 DWQ131079:DWQ131081 EGM131079:EGM131081 EQI131079:EQI131081 FAE131079:FAE131081 FKA131079:FKA131081 FTW131079:FTW131081 GDS131079:GDS131081 GNO131079:GNO131081 GXK131079:GXK131081 HHG131079:HHG131081 HRC131079:HRC131081 IAY131079:IAY131081 IKU131079:IKU131081 IUQ131079:IUQ131081 JEM131079:JEM131081 JOI131079:JOI131081 JYE131079:JYE131081 KIA131079:KIA131081 KRW131079:KRW131081 LBS131079:LBS131081 LLO131079:LLO131081 LVK131079:LVK131081 MFG131079:MFG131081 MPC131079:MPC131081 MYY131079:MYY131081 NIU131079:NIU131081 NSQ131079:NSQ131081 OCM131079:OCM131081 OMI131079:OMI131081 OWE131079:OWE131081 PGA131079:PGA131081 PPW131079:PPW131081 PZS131079:PZS131081 QJO131079:QJO131081 QTK131079:QTK131081 RDG131079:RDG131081 RNC131079:RNC131081 RWY131079:RWY131081 SGU131079:SGU131081 SQQ131079:SQQ131081 TAM131079:TAM131081 TKI131079:TKI131081 TUE131079:TUE131081 UEA131079:UEA131081 UNW131079:UNW131081 UXS131079:UXS131081 VHO131079:VHO131081 VRK131079:VRK131081 WBG131079:WBG131081 WLC131079:WLC131081 WUY131079:WUY131081 A196615:A196617 IM196615:IM196617 SI196615:SI196617 ACE196615:ACE196617 AMA196615:AMA196617 AVW196615:AVW196617 BFS196615:BFS196617 BPO196615:BPO196617 BZK196615:BZK196617 CJG196615:CJG196617 CTC196615:CTC196617 DCY196615:DCY196617 DMU196615:DMU196617 DWQ196615:DWQ196617 EGM196615:EGM196617 EQI196615:EQI196617 FAE196615:FAE196617 FKA196615:FKA196617 FTW196615:FTW196617 GDS196615:GDS196617 GNO196615:GNO196617 GXK196615:GXK196617 HHG196615:HHG196617 HRC196615:HRC196617 IAY196615:IAY196617 IKU196615:IKU196617 IUQ196615:IUQ196617 JEM196615:JEM196617 JOI196615:JOI196617 JYE196615:JYE196617 KIA196615:KIA196617 KRW196615:KRW196617 LBS196615:LBS196617 LLO196615:LLO196617 LVK196615:LVK196617 MFG196615:MFG196617 MPC196615:MPC196617 MYY196615:MYY196617 NIU196615:NIU196617 NSQ196615:NSQ196617 OCM196615:OCM196617 OMI196615:OMI196617 OWE196615:OWE196617 PGA196615:PGA196617 PPW196615:PPW196617 PZS196615:PZS196617 QJO196615:QJO196617 QTK196615:QTK196617 RDG196615:RDG196617 RNC196615:RNC196617 RWY196615:RWY196617 SGU196615:SGU196617 SQQ196615:SQQ196617 TAM196615:TAM196617 TKI196615:TKI196617 TUE196615:TUE196617 UEA196615:UEA196617 UNW196615:UNW196617 UXS196615:UXS196617 VHO196615:VHO196617 VRK196615:VRK196617 WBG196615:WBG196617 WLC196615:WLC196617 WUY196615:WUY196617 A262151:A262153 IM262151:IM262153 SI262151:SI262153 ACE262151:ACE262153 AMA262151:AMA262153 AVW262151:AVW262153 BFS262151:BFS262153 BPO262151:BPO262153 BZK262151:BZK262153 CJG262151:CJG262153 CTC262151:CTC262153 DCY262151:DCY262153 DMU262151:DMU262153 DWQ262151:DWQ262153 EGM262151:EGM262153 EQI262151:EQI262153 FAE262151:FAE262153 FKA262151:FKA262153 FTW262151:FTW262153 GDS262151:GDS262153 GNO262151:GNO262153 GXK262151:GXK262153 HHG262151:HHG262153 HRC262151:HRC262153 IAY262151:IAY262153 IKU262151:IKU262153 IUQ262151:IUQ262153 JEM262151:JEM262153 JOI262151:JOI262153 JYE262151:JYE262153 KIA262151:KIA262153 KRW262151:KRW262153 LBS262151:LBS262153 LLO262151:LLO262153 LVK262151:LVK262153 MFG262151:MFG262153 MPC262151:MPC262153 MYY262151:MYY262153 NIU262151:NIU262153 NSQ262151:NSQ262153 OCM262151:OCM262153 OMI262151:OMI262153 OWE262151:OWE262153 PGA262151:PGA262153 PPW262151:PPW262153 PZS262151:PZS262153 QJO262151:QJO262153 QTK262151:QTK262153 RDG262151:RDG262153 RNC262151:RNC262153 RWY262151:RWY262153 SGU262151:SGU262153 SQQ262151:SQQ262153 TAM262151:TAM262153 TKI262151:TKI262153 TUE262151:TUE262153 UEA262151:UEA262153 UNW262151:UNW262153 UXS262151:UXS262153 VHO262151:VHO262153 VRK262151:VRK262153 WBG262151:WBG262153 WLC262151:WLC262153 WUY262151:WUY262153 A327687:A327689 IM327687:IM327689 SI327687:SI327689 ACE327687:ACE327689 AMA327687:AMA327689 AVW327687:AVW327689 BFS327687:BFS327689 BPO327687:BPO327689 BZK327687:BZK327689 CJG327687:CJG327689 CTC327687:CTC327689 DCY327687:DCY327689 DMU327687:DMU327689 DWQ327687:DWQ327689 EGM327687:EGM327689 EQI327687:EQI327689 FAE327687:FAE327689 FKA327687:FKA327689 FTW327687:FTW327689 GDS327687:GDS327689 GNO327687:GNO327689 GXK327687:GXK327689 HHG327687:HHG327689 HRC327687:HRC327689 IAY327687:IAY327689 IKU327687:IKU327689 IUQ327687:IUQ327689 JEM327687:JEM327689 JOI327687:JOI327689 JYE327687:JYE327689 KIA327687:KIA327689 KRW327687:KRW327689 LBS327687:LBS327689 LLO327687:LLO327689 LVK327687:LVK327689 MFG327687:MFG327689 MPC327687:MPC327689 MYY327687:MYY327689 NIU327687:NIU327689 NSQ327687:NSQ327689 OCM327687:OCM327689 OMI327687:OMI327689 OWE327687:OWE327689 PGA327687:PGA327689 PPW327687:PPW327689 PZS327687:PZS327689 QJO327687:QJO327689 QTK327687:QTK327689 RDG327687:RDG327689 RNC327687:RNC327689 RWY327687:RWY327689 SGU327687:SGU327689 SQQ327687:SQQ327689 TAM327687:TAM327689 TKI327687:TKI327689 TUE327687:TUE327689 UEA327687:UEA327689 UNW327687:UNW327689 UXS327687:UXS327689 VHO327687:VHO327689 VRK327687:VRK327689 WBG327687:WBG327689 WLC327687:WLC327689 WUY327687:WUY327689 A393223:A393225 IM393223:IM393225 SI393223:SI393225 ACE393223:ACE393225 AMA393223:AMA393225 AVW393223:AVW393225 BFS393223:BFS393225 BPO393223:BPO393225 BZK393223:BZK393225 CJG393223:CJG393225 CTC393223:CTC393225 DCY393223:DCY393225 DMU393223:DMU393225 DWQ393223:DWQ393225 EGM393223:EGM393225 EQI393223:EQI393225 FAE393223:FAE393225 FKA393223:FKA393225 FTW393223:FTW393225 GDS393223:GDS393225 GNO393223:GNO393225 GXK393223:GXK393225 HHG393223:HHG393225 HRC393223:HRC393225 IAY393223:IAY393225 IKU393223:IKU393225 IUQ393223:IUQ393225 JEM393223:JEM393225 JOI393223:JOI393225 JYE393223:JYE393225 KIA393223:KIA393225 KRW393223:KRW393225 LBS393223:LBS393225 LLO393223:LLO393225 LVK393223:LVK393225 MFG393223:MFG393225 MPC393223:MPC393225 MYY393223:MYY393225 NIU393223:NIU393225 NSQ393223:NSQ393225 OCM393223:OCM393225 OMI393223:OMI393225 OWE393223:OWE393225 PGA393223:PGA393225 PPW393223:PPW393225 PZS393223:PZS393225 QJO393223:QJO393225 QTK393223:QTK393225 RDG393223:RDG393225 RNC393223:RNC393225 RWY393223:RWY393225 SGU393223:SGU393225 SQQ393223:SQQ393225 TAM393223:TAM393225 TKI393223:TKI393225 TUE393223:TUE393225 UEA393223:UEA393225 UNW393223:UNW393225 UXS393223:UXS393225 VHO393223:VHO393225 VRK393223:VRK393225 WBG393223:WBG393225 WLC393223:WLC393225 WUY393223:WUY393225 A458759:A458761 IM458759:IM458761 SI458759:SI458761 ACE458759:ACE458761 AMA458759:AMA458761 AVW458759:AVW458761 BFS458759:BFS458761 BPO458759:BPO458761 BZK458759:BZK458761 CJG458759:CJG458761 CTC458759:CTC458761 DCY458759:DCY458761 DMU458759:DMU458761 DWQ458759:DWQ458761 EGM458759:EGM458761 EQI458759:EQI458761 FAE458759:FAE458761 FKA458759:FKA458761 FTW458759:FTW458761 GDS458759:GDS458761 GNO458759:GNO458761 GXK458759:GXK458761 HHG458759:HHG458761 HRC458759:HRC458761 IAY458759:IAY458761 IKU458759:IKU458761 IUQ458759:IUQ458761 JEM458759:JEM458761 JOI458759:JOI458761 JYE458759:JYE458761 KIA458759:KIA458761 KRW458759:KRW458761 LBS458759:LBS458761 LLO458759:LLO458761 LVK458759:LVK458761 MFG458759:MFG458761 MPC458759:MPC458761 MYY458759:MYY458761 NIU458759:NIU458761 NSQ458759:NSQ458761 OCM458759:OCM458761 OMI458759:OMI458761 OWE458759:OWE458761 PGA458759:PGA458761 PPW458759:PPW458761 PZS458759:PZS458761 QJO458759:QJO458761 QTK458759:QTK458761 RDG458759:RDG458761 RNC458759:RNC458761 RWY458759:RWY458761 SGU458759:SGU458761 SQQ458759:SQQ458761 TAM458759:TAM458761 TKI458759:TKI458761 TUE458759:TUE458761 UEA458759:UEA458761 UNW458759:UNW458761 UXS458759:UXS458761 VHO458759:VHO458761 VRK458759:VRK458761 WBG458759:WBG458761 WLC458759:WLC458761 WUY458759:WUY458761 A524295:A524297 IM524295:IM524297 SI524295:SI524297 ACE524295:ACE524297 AMA524295:AMA524297 AVW524295:AVW524297 BFS524295:BFS524297 BPO524295:BPO524297 BZK524295:BZK524297 CJG524295:CJG524297 CTC524295:CTC524297 DCY524295:DCY524297 DMU524295:DMU524297 DWQ524295:DWQ524297 EGM524295:EGM524297 EQI524295:EQI524297 FAE524295:FAE524297 FKA524295:FKA524297 FTW524295:FTW524297 GDS524295:GDS524297 GNO524295:GNO524297 GXK524295:GXK524297 HHG524295:HHG524297 HRC524295:HRC524297 IAY524295:IAY524297 IKU524295:IKU524297 IUQ524295:IUQ524297 JEM524295:JEM524297 JOI524295:JOI524297 JYE524295:JYE524297 KIA524295:KIA524297 KRW524295:KRW524297 LBS524295:LBS524297 LLO524295:LLO524297 LVK524295:LVK524297 MFG524295:MFG524297 MPC524295:MPC524297 MYY524295:MYY524297 NIU524295:NIU524297 NSQ524295:NSQ524297 OCM524295:OCM524297 OMI524295:OMI524297 OWE524295:OWE524297 PGA524295:PGA524297 PPW524295:PPW524297 PZS524295:PZS524297 QJO524295:QJO524297 QTK524295:QTK524297 RDG524295:RDG524297 RNC524295:RNC524297 RWY524295:RWY524297 SGU524295:SGU524297 SQQ524295:SQQ524297 TAM524295:TAM524297 TKI524295:TKI524297 TUE524295:TUE524297 UEA524295:UEA524297 UNW524295:UNW524297 UXS524295:UXS524297 VHO524295:VHO524297 VRK524295:VRK524297 WBG524295:WBG524297 WLC524295:WLC524297 WUY524295:WUY524297 A589831:A589833 IM589831:IM589833 SI589831:SI589833 ACE589831:ACE589833 AMA589831:AMA589833 AVW589831:AVW589833 BFS589831:BFS589833 BPO589831:BPO589833 BZK589831:BZK589833 CJG589831:CJG589833 CTC589831:CTC589833 DCY589831:DCY589833 DMU589831:DMU589833 DWQ589831:DWQ589833 EGM589831:EGM589833 EQI589831:EQI589833 FAE589831:FAE589833 FKA589831:FKA589833 FTW589831:FTW589833 GDS589831:GDS589833 GNO589831:GNO589833 GXK589831:GXK589833 HHG589831:HHG589833 HRC589831:HRC589833 IAY589831:IAY589833 IKU589831:IKU589833 IUQ589831:IUQ589833 JEM589831:JEM589833 JOI589831:JOI589833 JYE589831:JYE589833 KIA589831:KIA589833 KRW589831:KRW589833 LBS589831:LBS589833 LLO589831:LLO589833 LVK589831:LVK589833 MFG589831:MFG589833 MPC589831:MPC589833 MYY589831:MYY589833 NIU589831:NIU589833 NSQ589831:NSQ589833 OCM589831:OCM589833 OMI589831:OMI589833 OWE589831:OWE589833 PGA589831:PGA589833 PPW589831:PPW589833 PZS589831:PZS589833 QJO589831:QJO589833 QTK589831:QTK589833 RDG589831:RDG589833 RNC589831:RNC589833 RWY589831:RWY589833 SGU589831:SGU589833 SQQ589831:SQQ589833 TAM589831:TAM589833 TKI589831:TKI589833 TUE589831:TUE589833 UEA589831:UEA589833 UNW589831:UNW589833 UXS589831:UXS589833 VHO589831:VHO589833 VRK589831:VRK589833 WBG589831:WBG589833 WLC589831:WLC589833 WUY589831:WUY589833 A655367:A655369 IM655367:IM655369 SI655367:SI655369 ACE655367:ACE655369 AMA655367:AMA655369 AVW655367:AVW655369 BFS655367:BFS655369 BPO655367:BPO655369 BZK655367:BZK655369 CJG655367:CJG655369 CTC655367:CTC655369 DCY655367:DCY655369 DMU655367:DMU655369 DWQ655367:DWQ655369 EGM655367:EGM655369 EQI655367:EQI655369 FAE655367:FAE655369 FKA655367:FKA655369 FTW655367:FTW655369 GDS655367:GDS655369 GNO655367:GNO655369 GXK655367:GXK655369 HHG655367:HHG655369 HRC655367:HRC655369 IAY655367:IAY655369 IKU655367:IKU655369 IUQ655367:IUQ655369 JEM655367:JEM655369 JOI655367:JOI655369 JYE655367:JYE655369 KIA655367:KIA655369 KRW655367:KRW655369 LBS655367:LBS655369 LLO655367:LLO655369 LVK655367:LVK655369 MFG655367:MFG655369 MPC655367:MPC655369 MYY655367:MYY655369 NIU655367:NIU655369 NSQ655367:NSQ655369 OCM655367:OCM655369 OMI655367:OMI655369 OWE655367:OWE655369 PGA655367:PGA655369 PPW655367:PPW655369 PZS655367:PZS655369 QJO655367:QJO655369 QTK655367:QTK655369 RDG655367:RDG655369 RNC655367:RNC655369 RWY655367:RWY655369 SGU655367:SGU655369 SQQ655367:SQQ655369 TAM655367:TAM655369 TKI655367:TKI655369 TUE655367:TUE655369 UEA655367:UEA655369 UNW655367:UNW655369 UXS655367:UXS655369 VHO655367:VHO655369 VRK655367:VRK655369 WBG655367:WBG655369 WLC655367:WLC655369 WUY655367:WUY655369 A720903:A720905 IM720903:IM720905 SI720903:SI720905 ACE720903:ACE720905 AMA720903:AMA720905 AVW720903:AVW720905 BFS720903:BFS720905 BPO720903:BPO720905 BZK720903:BZK720905 CJG720903:CJG720905 CTC720903:CTC720905 DCY720903:DCY720905 DMU720903:DMU720905 DWQ720903:DWQ720905 EGM720903:EGM720905 EQI720903:EQI720905 FAE720903:FAE720905 FKA720903:FKA720905 FTW720903:FTW720905 GDS720903:GDS720905 GNO720903:GNO720905 GXK720903:GXK720905 HHG720903:HHG720905 HRC720903:HRC720905 IAY720903:IAY720905 IKU720903:IKU720905 IUQ720903:IUQ720905 JEM720903:JEM720905 JOI720903:JOI720905 JYE720903:JYE720905 KIA720903:KIA720905 KRW720903:KRW720905 LBS720903:LBS720905 LLO720903:LLO720905 LVK720903:LVK720905 MFG720903:MFG720905 MPC720903:MPC720905 MYY720903:MYY720905 NIU720903:NIU720905 NSQ720903:NSQ720905 OCM720903:OCM720905 OMI720903:OMI720905 OWE720903:OWE720905 PGA720903:PGA720905 PPW720903:PPW720905 PZS720903:PZS720905 QJO720903:QJO720905 QTK720903:QTK720905 RDG720903:RDG720905 RNC720903:RNC720905 RWY720903:RWY720905 SGU720903:SGU720905 SQQ720903:SQQ720905 TAM720903:TAM720905 TKI720903:TKI720905 TUE720903:TUE720905 UEA720903:UEA720905 UNW720903:UNW720905 UXS720903:UXS720905 VHO720903:VHO720905 VRK720903:VRK720905 WBG720903:WBG720905 WLC720903:WLC720905 WUY720903:WUY720905 A786439:A786441 IM786439:IM786441 SI786439:SI786441 ACE786439:ACE786441 AMA786439:AMA786441 AVW786439:AVW786441 BFS786439:BFS786441 BPO786439:BPO786441 BZK786439:BZK786441 CJG786439:CJG786441 CTC786439:CTC786441 DCY786439:DCY786441 DMU786439:DMU786441 DWQ786439:DWQ786441 EGM786439:EGM786441 EQI786439:EQI786441 FAE786439:FAE786441 FKA786439:FKA786441 FTW786439:FTW786441 GDS786439:GDS786441 GNO786439:GNO786441 GXK786439:GXK786441 HHG786439:HHG786441 HRC786439:HRC786441 IAY786439:IAY786441 IKU786439:IKU786441 IUQ786439:IUQ786441 JEM786439:JEM786441 JOI786439:JOI786441 JYE786439:JYE786441 KIA786439:KIA786441 KRW786439:KRW786441 LBS786439:LBS786441 LLO786439:LLO786441 LVK786439:LVK786441 MFG786439:MFG786441 MPC786439:MPC786441 MYY786439:MYY786441 NIU786439:NIU786441 NSQ786439:NSQ786441 OCM786439:OCM786441 OMI786439:OMI786441 OWE786439:OWE786441 PGA786439:PGA786441 PPW786439:PPW786441 PZS786439:PZS786441 QJO786439:QJO786441 QTK786439:QTK786441 RDG786439:RDG786441 RNC786439:RNC786441 RWY786439:RWY786441 SGU786439:SGU786441 SQQ786439:SQQ786441 TAM786439:TAM786441 TKI786439:TKI786441 TUE786439:TUE786441 UEA786439:UEA786441 UNW786439:UNW786441 UXS786439:UXS786441 VHO786439:VHO786441 VRK786439:VRK786441 WBG786439:WBG786441 WLC786439:WLC786441 WUY786439:WUY786441 A851975:A851977 IM851975:IM851977 SI851975:SI851977 ACE851975:ACE851977 AMA851975:AMA851977 AVW851975:AVW851977 BFS851975:BFS851977 BPO851975:BPO851977 BZK851975:BZK851977 CJG851975:CJG851977 CTC851975:CTC851977 DCY851975:DCY851977 DMU851975:DMU851977 DWQ851975:DWQ851977 EGM851975:EGM851977 EQI851975:EQI851977 FAE851975:FAE851977 FKA851975:FKA851977 FTW851975:FTW851977 GDS851975:GDS851977 GNO851975:GNO851977 GXK851975:GXK851977 HHG851975:HHG851977 HRC851975:HRC851977 IAY851975:IAY851977 IKU851975:IKU851977 IUQ851975:IUQ851977 JEM851975:JEM851977 JOI851975:JOI851977 JYE851975:JYE851977 KIA851975:KIA851977 KRW851975:KRW851977 LBS851975:LBS851977 LLO851975:LLO851977 LVK851975:LVK851977 MFG851975:MFG851977 MPC851975:MPC851977 MYY851975:MYY851977 NIU851975:NIU851977 NSQ851975:NSQ851977 OCM851975:OCM851977 OMI851975:OMI851977 OWE851975:OWE851977 PGA851975:PGA851977 PPW851975:PPW851977 PZS851975:PZS851977 QJO851975:QJO851977 QTK851975:QTK851977 RDG851975:RDG851977 RNC851975:RNC851977 RWY851975:RWY851977 SGU851975:SGU851977 SQQ851975:SQQ851977 TAM851975:TAM851977 TKI851975:TKI851977 TUE851975:TUE851977 UEA851975:UEA851977 UNW851975:UNW851977 UXS851975:UXS851977 VHO851975:VHO851977 VRK851975:VRK851977 WBG851975:WBG851977 WLC851975:WLC851977 WUY851975:WUY851977 A917511:A917513 IM917511:IM917513 SI917511:SI917513 ACE917511:ACE917513 AMA917511:AMA917513 AVW917511:AVW917513 BFS917511:BFS917513 BPO917511:BPO917513 BZK917511:BZK917513 CJG917511:CJG917513 CTC917511:CTC917513 DCY917511:DCY917513 DMU917511:DMU917513 DWQ917511:DWQ917513 EGM917511:EGM917513 EQI917511:EQI917513 FAE917511:FAE917513 FKA917511:FKA917513 FTW917511:FTW917513 GDS917511:GDS917513 GNO917511:GNO917513 GXK917511:GXK917513 HHG917511:HHG917513 HRC917511:HRC917513 IAY917511:IAY917513 IKU917511:IKU917513 IUQ917511:IUQ917513 JEM917511:JEM917513 JOI917511:JOI917513 JYE917511:JYE917513 KIA917511:KIA917513 KRW917511:KRW917513 LBS917511:LBS917513 LLO917511:LLO917513 LVK917511:LVK917513 MFG917511:MFG917513 MPC917511:MPC917513 MYY917511:MYY917513 NIU917511:NIU917513 NSQ917511:NSQ917513 OCM917511:OCM917513 OMI917511:OMI917513 OWE917511:OWE917513 PGA917511:PGA917513 PPW917511:PPW917513 PZS917511:PZS917513 QJO917511:QJO917513 QTK917511:QTK917513 RDG917511:RDG917513 RNC917511:RNC917513 RWY917511:RWY917513 SGU917511:SGU917513 SQQ917511:SQQ917513 TAM917511:TAM917513 TKI917511:TKI917513 TUE917511:TUE917513 UEA917511:UEA917513 UNW917511:UNW917513 UXS917511:UXS917513 VHO917511:VHO917513 VRK917511:VRK917513 WBG917511:WBG917513 WLC917511:WLC917513 WUY917511:WUY917513 A983047:A983049 IM983047:IM983049 SI983047:SI983049 ACE983047:ACE983049 AMA983047:AMA983049 AVW983047:AVW983049 BFS983047:BFS983049 BPO983047:BPO983049 BZK983047:BZK983049 CJG983047:CJG983049 CTC983047:CTC983049 DCY983047:DCY983049 DMU983047:DMU983049 DWQ983047:DWQ983049 EGM983047:EGM983049 EQI983047:EQI983049 FAE983047:FAE983049 FKA983047:FKA983049 FTW983047:FTW983049 GDS983047:GDS983049 GNO983047:GNO983049 GXK983047:GXK983049 HHG983047:HHG983049 HRC983047:HRC983049 IAY983047:IAY983049 IKU983047:IKU983049 IUQ983047:IUQ983049 JEM983047:JEM983049 JOI983047:JOI983049 JYE983047:JYE983049 KIA983047:KIA983049 KRW983047:KRW983049 LBS983047:LBS983049 LLO983047:LLO983049 LVK983047:LVK983049 MFG983047:MFG983049 MPC983047:MPC983049 MYY983047:MYY983049 NIU983047:NIU983049 NSQ983047:NSQ983049 OCM983047:OCM983049 OMI983047:OMI983049 OWE983047:OWE983049 PGA983047:PGA983049 PPW983047:PPW983049 PZS983047:PZS983049 QJO983047:QJO983049 QTK983047:QTK983049 RDG983047:RDG983049 RNC983047:RNC983049 RWY983047:RWY983049 SGU983047:SGU983049 SQQ983047:SQQ983049 TAM983047:TAM983049 TKI983047:TKI983049 TUE983047:TUE983049 UEA983047:UEA983049 UNW983047:UNW983049 UXS983047:UXS983049 VHO983047:VHO983049 VRK983047:VRK983049 WBG983047:WBG983049 WLC983047:WLC983049"/>
    <dataValidation allowBlank="1" showInputMessage="1" showErrorMessage="1" prompt="bei Zutreffen &quot;X&quot; oder &quot;ja&quot; eingeben" sqref="WVE983046:WVE983088 IS5:IS47 SO5:SO47 ACK5:ACK47 AMG5:AMG47 AWC5:AWC47 BFY5:BFY47 BPU5:BPU47 BZQ5:BZQ47 CJM5:CJM47 CTI5:CTI47 DDE5:DDE47 DNA5:DNA47 DWW5:DWW47 EGS5:EGS47 EQO5:EQO47 FAK5:FAK47 FKG5:FKG47 FUC5:FUC47 GDY5:GDY47 GNU5:GNU47 GXQ5:GXQ47 HHM5:HHM47 HRI5:HRI47 IBE5:IBE47 ILA5:ILA47 IUW5:IUW47 JES5:JES47 JOO5:JOO47 JYK5:JYK47 KIG5:KIG47 KSC5:KSC47 LBY5:LBY47 LLU5:LLU47 LVQ5:LVQ47 MFM5:MFM47 MPI5:MPI47 MZE5:MZE47 NJA5:NJA47 NSW5:NSW47 OCS5:OCS47 OMO5:OMO47 OWK5:OWK47 PGG5:PGG47 PQC5:PQC47 PZY5:PZY47 QJU5:QJU47 QTQ5:QTQ47 RDM5:RDM47 RNI5:RNI47 RXE5:RXE47 SHA5:SHA47 SQW5:SQW47 TAS5:TAS47 TKO5:TKO47 TUK5:TUK47 UEG5:UEG47 UOC5:UOC47 UXY5:UXY47 VHU5:VHU47 VRQ5:VRQ47 WBM5:WBM47 WLI5:WLI47 WVE5:WVE47 O65542:O65584 IS65542:IS65584 SO65542:SO65584 ACK65542:ACK65584 AMG65542:AMG65584 AWC65542:AWC65584 BFY65542:BFY65584 BPU65542:BPU65584 BZQ65542:BZQ65584 CJM65542:CJM65584 CTI65542:CTI65584 DDE65542:DDE65584 DNA65542:DNA65584 DWW65542:DWW65584 EGS65542:EGS65584 EQO65542:EQO65584 FAK65542:FAK65584 FKG65542:FKG65584 FUC65542:FUC65584 GDY65542:GDY65584 GNU65542:GNU65584 GXQ65542:GXQ65584 HHM65542:HHM65584 HRI65542:HRI65584 IBE65542:IBE65584 ILA65542:ILA65584 IUW65542:IUW65584 JES65542:JES65584 JOO65542:JOO65584 JYK65542:JYK65584 KIG65542:KIG65584 KSC65542:KSC65584 LBY65542:LBY65584 LLU65542:LLU65584 LVQ65542:LVQ65584 MFM65542:MFM65584 MPI65542:MPI65584 MZE65542:MZE65584 NJA65542:NJA65584 NSW65542:NSW65584 OCS65542:OCS65584 OMO65542:OMO65584 OWK65542:OWK65584 PGG65542:PGG65584 PQC65542:PQC65584 PZY65542:PZY65584 QJU65542:QJU65584 QTQ65542:QTQ65584 RDM65542:RDM65584 RNI65542:RNI65584 RXE65542:RXE65584 SHA65542:SHA65584 SQW65542:SQW65584 TAS65542:TAS65584 TKO65542:TKO65584 TUK65542:TUK65584 UEG65542:UEG65584 UOC65542:UOC65584 UXY65542:UXY65584 VHU65542:VHU65584 VRQ65542:VRQ65584 WBM65542:WBM65584 WLI65542:WLI65584 WVE65542:WVE65584 O131078:O131120 IS131078:IS131120 SO131078:SO131120 ACK131078:ACK131120 AMG131078:AMG131120 AWC131078:AWC131120 BFY131078:BFY131120 BPU131078:BPU131120 BZQ131078:BZQ131120 CJM131078:CJM131120 CTI131078:CTI131120 DDE131078:DDE131120 DNA131078:DNA131120 DWW131078:DWW131120 EGS131078:EGS131120 EQO131078:EQO131120 FAK131078:FAK131120 FKG131078:FKG131120 FUC131078:FUC131120 GDY131078:GDY131120 GNU131078:GNU131120 GXQ131078:GXQ131120 HHM131078:HHM131120 HRI131078:HRI131120 IBE131078:IBE131120 ILA131078:ILA131120 IUW131078:IUW131120 JES131078:JES131120 JOO131078:JOO131120 JYK131078:JYK131120 KIG131078:KIG131120 KSC131078:KSC131120 LBY131078:LBY131120 LLU131078:LLU131120 LVQ131078:LVQ131120 MFM131078:MFM131120 MPI131078:MPI131120 MZE131078:MZE131120 NJA131078:NJA131120 NSW131078:NSW131120 OCS131078:OCS131120 OMO131078:OMO131120 OWK131078:OWK131120 PGG131078:PGG131120 PQC131078:PQC131120 PZY131078:PZY131120 QJU131078:QJU131120 QTQ131078:QTQ131120 RDM131078:RDM131120 RNI131078:RNI131120 RXE131078:RXE131120 SHA131078:SHA131120 SQW131078:SQW131120 TAS131078:TAS131120 TKO131078:TKO131120 TUK131078:TUK131120 UEG131078:UEG131120 UOC131078:UOC131120 UXY131078:UXY131120 VHU131078:VHU131120 VRQ131078:VRQ131120 WBM131078:WBM131120 WLI131078:WLI131120 WVE131078:WVE131120 O196614:O196656 IS196614:IS196656 SO196614:SO196656 ACK196614:ACK196656 AMG196614:AMG196656 AWC196614:AWC196656 BFY196614:BFY196656 BPU196614:BPU196656 BZQ196614:BZQ196656 CJM196614:CJM196656 CTI196614:CTI196656 DDE196614:DDE196656 DNA196614:DNA196656 DWW196614:DWW196656 EGS196614:EGS196656 EQO196614:EQO196656 FAK196614:FAK196656 FKG196614:FKG196656 FUC196614:FUC196656 GDY196614:GDY196656 GNU196614:GNU196656 GXQ196614:GXQ196656 HHM196614:HHM196656 HRI196614:HRI196656 IBE196614:IBE196656 ILA196614:ILA196656 IUW196614:IUW196656 JES196614:JES196656 JOO196614:JOO196656 JYK196614:JYK196656 KIG196614:KIG196656 KSC196614:KSC196656 LBY196614:LBY196656 LLU196614:LLU196656 LVQ196614:LVQ196656 MFM196614:MFM196656 MPI196614:MPI196656 MZE196614:MZE196656 NJA196614:NJA196656 NSW196614:NSW196656 OCS196614:OCS196656 OMO196614:OMO196656 OWK196614:OWK196656 PGG196614:PGG196656 PQC196614:PQC196656 PZY196614:PZY196656 QJU196614:QJU196656 QTQ196614:QTQ196656 RDM196614:RDM196656 RNI196614:RNI196656 RXE196614:RXE196656 SHA196614:SHA196656 SQW196614:SQW196656 TAS196614:TAS196656 TKO196614:TKO196656 TUK196614:TUK196656 UEG196614:UEG196656 UOC196614:UOC196656 UXY196614:UXY196656 VHU196614:VHU196656 VRQ196614:VRQ196656 WBM196614:WBM196656 WLI196614:WLI196656 WVE196614:WVE196656 O262150:O262192 IS262150:IS262192 SO262150:SO262192 ACK262150:ACK262192 AMG262150:AMG262192 AWC262150:AWC262192 BFY262150:BFY262192 BPU262150:BPU262192 BZQ262150:BZQ262192 CJM262150:CJM262192 CTI262150:CTI262192 DDE262150:DDE262192 DNA262150:DNA262192 DWW262150:DWW262192 EGS262150:EGS262192 EQO262150:EQO262192 FAK262150:FAK262192 FKG262150:FKG262192 FUC262150:FUC262192 GDY262150:GDY262192 GNU262150:GNU262192 GXQ262150:GXQ262192 HHM262150:HHM262192 HRI262150:HRI262192 IBE262150:IBE262192 ILA262150:ILA262192 IUW262150:IUW262192 JES262150:JES262192 JOO262150:JOO262192 JYK262150:JYK262192 KIG262150:KIG262192 KSC262150:KSC262192 LBY262150:LBY262192 LLU262150:LLU262192 LVQ262150:LVQ262192 MFM262150:MFM262192 MPI262150:MPI262192 MZE262150:MZE262192 NJA262150:NJA262192 NSW262150:NSW262192 OCS262150:OCS262192 OMO262150:OMO262192 OWK262150:OWK262192 PGG262150:PGG262192 PQC262150:PQC262192 PZY262150:PZY262192 QJU262150:QJU262192 QTQ262150:QTQ262192 RDM262150:RDM262192 RNI262150:RNI262192 RXE262150:RXE262192 SHA262150:SHA262192 SQW262150:SQW262192 TAS262150:TAS262192 TKO262150:TKO262192 TUK262150:TUK262192 UEG262150:UEG262192 UOC262150:UOC262192 UXY262150:UXY262192 VHU262150:VHU262192 VRQ262150:VRQ262192 WBM262150:WBM262192 WLI262150:WLI262192 WVE262150:WVE262192 O327686:O327728 IS327686:IS327728 SO327686:SO327728 ACK327686:ACK327728 AMG327686:AMG327728 AWC327686:AWC327728 BFY327686:BFY327728 BPU327686:BPU327728 BZQ327686:BZQ327728 CJM327686:CJM327728 CTI327686:CTI327728 DDE327686:DDE327728 DNA327686:DNA327728 DWW327686:DWW327728 EGS327686:EGS327728 EQO327686:EQO327728 FAK327686:FAK327728 FKG327686:FKG327728 FUC327686:FUC327728 GDY327686:GDY327728 GNU327686:GNU327728 GXQ327686:GXQ327728 HHM327686:HHM327728 HRI327686:HRI327728 IBE327686:IBE327728 ILA327686:ILA327728 IUW327686:IUW327728 JES327686:JES327728 JOO327686:JOO327728 JYK327686:JYK327728 KIG327686:KIG327728 KSC327686:KSC327728 LBY327686:LBY327728 LLU327686:LLU327728 LVQ327686:LVQ327728 MFM327686:MFM327728 MPI327686:MPI327728 MZE327686:MZE327728 NJA327686:NJA327728 NSW327686:NSW327728 OCS327686:OCS327728 OMO327686:OMO327728 OWK327686:OWK327728 PGG327686:PGG327728 PQC327686:PQC327728 PZY327686:PZY327728 QJU327686:QJU327728 QTQ327686:QTQ327728 RDM327686:RDM327728 RNI327686:RNI327728 RXE327686:RXE327728 SHA327686:SHA327728 SQW327686:SQW327728 TAS327686:TAS327728 TKO327686:TKO327728 TUK327686:TUK327728 UEG327686:UEG327728 UOC327686:UOC327728 UXY327686:UXY327728 VHU327686:VHU327728 VRQ327686:VRQ327728 WBM327686:WBM327728 WLI327686:WLI327728 WVE327686:WVE327728 O393222:O393264 IS393222:IS393264 SO393222:SO393264 ACK393222:ACK393264 AMG393222:AMG393264 AWC393222:AWC393264 BFY393222:BFY393264 BPU393222:BPU393264 BZQ393222:BZQ393264 CJM393222:CJM393264 CTI393222:CTI393264 DDE393222:DDE393264 DNA393222:DNA393264 DWW393222:DWW393264 EGS393222:EGS393264 EQO393222:EQO393264 FAK393222:FAK393264 FKG393222:FKG393264 FUC393222:FUC393264 GDY393222:GDY393264 GNU393222:GNU393264 GXQ393222:GXQ393264 HHM393222:HHM393264 HRI393222:HRI393264 IBE393222:IBE393264 ILA393222:ILA393264 IUW393222:IUW393264 JES393222:JES393264 JOO393222:JOO393264 JYK393222:JYK393264 KIG393222:KIG393264 KSC393222:KSC393264 LBY393222:LBY393264 LLU393222:LLU393264 LVQ393222:LVQ393264 MFM393222:MFM393264 MPI393222:MPI393264 MZE393222:MZE393264 NJA393222:NJA393264 NSW393222:NSW393264 OCS393222:OCS393264 OMO393222:OMO393264 OWK393222:OWK393264 PGG393222:PGG393264 PQC393222:PQC393264 PZY393222:PZY393264 QJU393222:QJU393264 QTQ393222:QTQ393264 RDM393222:RDM393264 RNI393222:RNI393264 RXE393222:RXE393264 SHA393222:SHA393264 SQW393222:SQW393264 TAS393222:TAS393264 TKO393222:TKO393264 TUK393222:TUK393264 UEG393222:UEG393264 UOC393222:UOC393264 UXY393222:UXY393264 VHU393222:VHU393264 VRQ393222:VRQ393264 WBM393222:WBM393264 WLI393222:WLI393264 WVE393222:WVE393264 O458758:O458800 IS458758:IS458800 SO458758:SO458800 ACK458758:ACK458800 AMG458758:AMG458800 AWC458758:AWC458800 BFY458758:BFY458800 BPU458758:BPU458800 BZQ458758:BZQ458800 CJM458758:CJM458800 CTI458758:CTI458800 DDE458758:DDE458800 DNA458758:DNA458800 DWW458758:DWW458800 EGS458758:EGS458800 EQO458758:EQO458800 FAK458758:FAK458800 FKG458758:FKG458800 FUC458758:FUC458800 GDY458758:GDY458800 GNU458758:GNU458800 GXQ458758:GXQ458800 HHM458758:HHM458800 HRI458758:HRI458800 IBE458758:IBE458800 ILA458758:ILA458800 IUW458758:IUW458800 JES458758:JES458800 JOO458758:JOO458800 JYK458758:JYK458800 KIG458758:KIG458800 KSC458758:KSC458800 LBY458758:LBY458800 LLU458758:LLU458800 LVQ458758:LVQ458800 MFM458758:MFM458800 MPI458758:MPI458800 MZE458758:MZE458800 NJA458758:NJA458800 NSW458758:NSW458800 OCS458758:OCS458800 OMO458758:OMO458800 OWK458758:OWK458800 PGG458758:PGG458800 PQC458758:PQC458800 PZY458758:PZY458800 QJU458758:QJU458800 QTQ458758:QTQ458800 RDM458758:RDM458800 RNI458758:RNI458800 RXE458758:RXE458800 SHA458758:SHA458800 SQW458758:SQW458800 TAS458758:TAS458800 TKO458758:TKO458800 TUK458758:TUK458800 UEG458758:UEG458800 UOC458758:UOC458800 UXY458758:UXY458800 VHU458758:VHU458800 VRQ458758:VRQ458800 WBM458758:WBM458800 WLI458758:WLI458800 WVE458758:WVE458800 O524294:O524336 IS524294:IS524336 SO524294:SO524336 ACK524294:ACK524336 AMG524294:AMG524336 AWC524294:AWC524336 BFY524294:BFY524336 BPU524294:BPU524336 BZQ524294:BZQ524336 CJM524294:CJM524336 CTI524294:CTI524336 DDE524294:DDE524336 DNA524294:DNA524336 DWW524294:DWW524336 EGS524294:EGS524336 EQO524294:EQO524336 FAK524294:FAK524336 FKG524294:FKG524336 FUC524294:FUC524336 GDY524294:GDY524336 GNU524294:GNU524336 GXQ524294:GXQ524336 HHM524294:HHM524336 HRI524294:HRI524336 IBE524294:IBE524336 ILA524294:ILA524336 IUW524294:IUW524336 JES524294:JES524336 JOO524294:JOO524336 JYK524294:JYK524336 KIG524294:KIG524336 KSC524294:KSC524336 LBY524294:LBY524336 LLU524294:LLU524336 LVQ524294:LVQ524336 MFM524294:MFM524336 MPI524294:MPI524336 MZE524294:MZE524336 NJA524294:NJA524336 NSW524294:NSW524336 OCS524294:OCS524336 OMO524294:OMO524336 OWK524294:OWK524336 PGG524294:PGG524336 PQC524294:PQC524336 PZY524294:PZY524336 QJU524294:QJU524336 QTQ524294:QTQ524336 RDM524294:RDM524336 RNI524294:RNI524336 RXE524294:RXE524336 SHA524294:SHA524336 SQW524294:SQW524336 TAS524294:TAS524336 TKO524294:TKO524336 TUK524294:TUK524336 UEG524294:UEG524336 UOC524294:UOC524336 UXY524294:UXY524336 VHU524294:VHU524336 VRQ524294:VRQ524336 WBM524294:WBM524336 WLI524294:WLI524336 WVE524294:WVE524336 O589830:O589872 IS589830:IS589872 SO589830:SO589872 ACK589830:ACK589872 AMG589830:AMG589872 AWC589830:AWC589872 BFY589830:BFY589872 BPU589830:BPU589872 BZQ589830:BZQ589872 CJM589830:CJM589872 CTI589830:CTI589872 DDE589830:DDE589872 DNA589830:DNA589872 DWW589830:DWW589872 EGS589830:EGS589872 EQO589830:EQO589872 FAK589830:FAK589872 FKG589830:FKG589872 FUC589830:FUC589872 GDY589830:GDY589872 GNU589830:GNU589872 GXQ589830:GXQ589872 HHM589830:HHM589872 HRI589830:HRI589872 IBE589830:IBE589872 ILA589830:ILA589872 IUW589830:IUW589872 JES589830:JES589872 JOO589830:JOO589872 JYK589830:JYK589872 KIG589830:KIG589872 KSC589830:KSC589872 LBY589830:LBY589872 LLU589830:LLU589872 LVQ589830:LVQ589872 MFM589830:MFM589872 MPI589830:MPI589872 MZE589830:MZE589872 NJA589830:NJA589872 NSW589830:NSW589872 OCS589830:OCS589872 OMO589830:OMO589872 OWK589830:OWK589872 PGG589830:PGG589872 PQC589830:PQC589872 PZY589830:PZY589872 QJU589830:QJU589872 QTQ589830:QTQ589872 RDM589830:RDM589872 RNI589830:RNI589872 RXE589830:RXE589872 SHA589830:SHA589872 SQW589830:SQW589872 TAS589830:TAS589872 TKO589830:TKO589872 TUK589830:TUK589872 UEG589830:UEG589872 UOC589830:UOC589872 UXY589830:UXY589872 VHU589830:VHU589872 VRQ589830:VRQ589872 WBM589830:WBM589872 WLI589830:WLI589872 WVE589830:WVE589872 O655366:O655408 IS655366:IS655408 SO655366:SO655408 ACK655366:ACK655408 AMG655366:AMG655408 AWC655366:AWC655408 BFY655366:BFY655408 BPU655366:BPU655408 BZQ655366:BZQ655408 CJM655366:CJM655408 CTI655366:CTI655408 DDE655366:DDE655408 DNA655366:DNA655408 DWW655366:DWW655408 EGS655366:EGS655408 EQO655366:EQO655408 FAK655366:FAK655408 FKG655366:FKG655408 FUC655366:FUC655408 GDY655366:GDY655408 GNU655366:GNU655408 GXQ655366:GXQ655408 HHM655366:HHM655408 HRI655366:HRI655408 IBE655366:IBE655408 ILA655366:ILA655408 IUW655366:IUW655408 JES655366:JES655408 JOO655366:JOO655408 JYK655366:JYK655408 KIG655366:KIG655408 KSC655366:KSC655408 LBY655366:LBY655408 LLU655366:LLU655408 LVQ655366:LVQ655408 MFM655366:MFM655408 MPI655366:MPI655408 MZE655366:MZE655408 NJA655366:NJA655408 NSW655366:NSW655408 OCS655366:OCS655408 OMO655366:OMO655408 OWK655366:OWK655408 PGG655366:PGG655408 PQC655366:PQC655408 PZY655366:PZY655408 QJU655366:QJU655408 QTQ655366:QTQ655408 RDM655366:RDM655408 RNI655366:RNI655408 RXE655366:RXE655408 SHA655366:SHA655408 SQW655366:SQW655408 TAS655366:TAS655408 TKO655366:TKO655408 TUK655366:TUK655408 UEG655366:UEG655408 UOC655366:UOC655408 UXY655366:UXY655408 VHU655366:VHU655408 VRQ655366:VRQ655408 WBM655366:WBM655408 WLI655366:WLI655408 WVE655366:WVE655408 O720902:O720944 IS720902:IS720944 SO720902:SO720944 ACK720902:ACK720944 AMG720902:AMG720944 AWC720902:AWC720944 BFY720902:BFY720944 BPU720902:BPU720944 BZQ720902:BZQ720944 CJM720902:CJM720944 CTI720902:CTI720944 DDE720902:DDE720944 DNA720902:DNA720944 DWW720902:DWW720944 EGS720902:EGS720944 EQO720902:EQO720944 FAK720902:FAK720944 FKG720902:FKG720944 FUC720902:FUC720944 GDY720902:GDY720944 GNU720902:GNU720944 GXQ720902:GXQ720944 HHM720902:HHM720944 HRI720902:HRI720944 IBE720902:IBE720944 ILA720902:ILA720944 IUW720902:IUW720944 JES720902:JES720944 JOO720902:JOO720944 JYK720902:JYK720944 KIG720902:KIG720944 KSC720902:KSC720944 LBY720902:LBY720944 LLU720902:LLU720944 LVQ720902:LVQ720944 MFM720902:MFM720944 MPI720902:MPI720944 MZE720902:MZE720944 NJA720902:NJA720944 NSW720902:NSW720944 OCS720902:OCS720944 OMO720902:OMO720944 OWK720902:OWK720944 PGG720902:PGG720944 PQC720902:PQC720944 PZY720902:PZY720944 QJU720902:QJU720944 QTQ720902:QTQ720944 RDM720902:RDM720944 RNI720902:RNI720944 RXE720902:RXE720944 SHA720902:SHA720944 SQW720902:SQW720944 TAS720902:TAS720944 TKO720902:TKO720944 TUK720902:TUK720944 UEG720902:UEG720944 UOC720902:UOC720944 UXY720902:UXY720944 VHU720902:VHU720944 VRQ720902:VRQ720944 WBM720902:WBM720944 WLI720902:WLI720944 WVE720902:WVE720944 O786438:O786480 IS786438:IS786480 SO786438:SO786480 ACK786438:ACK786480 AMG786438:AMG786480 AWC786438:AWC786480 BFY786438:BFY786480 BPU786438:BPU786480 BZQ786438:BZQ786480 CJM786438:CJM786480 CTI786438:CTI786480 DDE786438:DDE786480 DNA786438:DNA786480 DWW786438:DWW786480 EGS786438:EGS786480 EQO786438:EQO786480 FAK786438:FAK786480 FKG786438:FKG786480 FUC786438:FUC786480 GDY786438:GDY786480 GNU786438:GNU786480 GXQ786438:GXQ786480 HHM786438:HHM786480 HRI786438:HRI786480 IBE786438:IBE786480 ILA786438:ILA786480 IUW786438:IUW786480 JES786438:JES786480 JOO786438:JOO786480 JYK786438:JYK786480 KIG786438:KIG786480 KSC786438:KSC786480 LBY786438:LBY786480 LLU786438:LLU786480 LVQ786438:LVQ786480 MFM786438:MFM786480 MPI786438:MPI786480 MZE786438:MZE786480 NJA786438:NJA786480 NSW786438:NSW786480 OCS786438:OCS786480 OMO786438:OMO786480 OWK786438:OWK786480 PGG786438:PGG786480 PQC786438:PQC786480 PZY786438:PZY786480 QJU786438:QJU786480 QTQ786438:QTQ786480 RDM786438:RDM786480 RNI786438:RNI786480 RXE786438:RXE786480 SHA786438:SHA786480 SQW786438:SQW786480 TAS786438:TAS786480 TKO786438:TKO786480 TUK786438:TUK786480 UEG786438:UEG786480 UOC786438:UOC786480 UXY786438:UXY786480 VHU786438:VHU786480 VRQ786438:VRQ786480 WBM786438:WBM786480 WLI786438:WLI786480 WVE786438:WVE786480 O851974:O852016 IS851974:IS852016 SO851974:SO852016 ACK851974:ACK852016 AMG851974:AMG852016 AWC851974:AWC852016 BFY851974:BFY852016 BPU851974:BPU852016 BZQ851974:BZQ852016 CJM851974:CJM852016 CTI851974:CTI852016 DDE851974:DDE852016 DNA851974:DNA852016 DWW851974:DWW852016 EGS851974:EGS852016 EQO851974:EQO852016 FAK851974:FAK852016 FKG851974:FKG852016 FUC851974:FUC852016 GDY851974:GDY852016 GNU851974:GNU852016 GXQ851974:GXQ852016 HHM851974:HHM852016 HRI851974:HRI852016 IBE851974:IBE852016 ILA851974:ILA852016 IUW851974:IUW852016 JES851974:JES852016 JOO851974:JOO852016 JYK851974:JYK852016 KIG851974:KIG852016 KSC851974:KSC852016 LBY851974:LBY852016 LLU851974:LLU852016 LVQ851974:LVQ852016 MFM851974:MFM852016 MPI851974:MPI852016 MZE851974:MZE852016 NJA851974:NJA852016 NSW851974:NSW852016 OCS851974:OCS852016 OMO851974:OMO852016 OWK851974:OWK852016 PGG851974:PGG852016 PQC851974:PQC852016 PZY851974:PZY852016 QJU851974:QJU852016 QTQ851974:QTQ852016 RDM851974:RDM852016 RNI851974:RNI852016 RXE851974:RXE852016 SHA851974:SHA852016 SQW851974:SQW852016 TAS851974:TAS852016 TKO851974:TKO852016 TUK851974:TUK852016 UEG851974:UEG852016 UOC851974:UOC852016 UXY851974:UXY852016 VHU851974:VHU852016 VRQ851974:VRQ852016 WBM851974:WBM852016 WLI851974:WLI852016 WVE851974:WVE852016 O917510:O917552 IS917510:IS917552 SO917510:SO917552 ACK917510:ACK917552 AMG917510:AMG917552 AWC917510:AWC917552 BFY917510:BFY917552 BPU917510:BPU917552 BZQ917510:BZQ917552 CJM917510:CJM917552 CTI917510:CTI917552 DDE917510:DDE917552 DNA917510:DNA917552 DWW917510:DWW917552 EGS917510:EGS917552 EQO917510:EQO917552 FAK917510:FAK917552 FKG917510:FKG917552 FUC917510:FUC917552 GDY917510:GDY917552 GNU917510:GNU917552 GXQ917510:GXQ917552 HHM917510:HHM917552 HRI917510:HRI917552 IBE917510:IBE917552 ILA917510:ILA917552 IUW917510:IUW917552 JES917510:JES917552 JOO917510:JOO917552 JYK917510:JYK917552 KIG917510:KIG917552 KSC917510:KSC917552 LBY917510:LBY917552 LLU917510:LLU917552 LVQ917510:LVQ917552 MFM917510:MFM917552 MPI917510:MPI917552 MZE917510:MZE917552 NJA917510:NJA917552 NSW917510:NSW917552 OCS917510:OCS917552 OMO917510:OMO917552 OWK917510:OWK917552 PGG917510:PGG917552 PQC917510:PQC917552 PZY917510:PZY917552 QJU917510:QJU917552 QTQ917510:QTQ917552 RDM917510:RDM917552 RNI917510:RNI917552 RXE917510:RXE917552 SHA917510:SHA917552 SQW917510:SQW917552 TAS917510:TAS917552 TKO917510:TKO917552 TUK917510:TUK917552 UEG917510:UEG917552 UOC917510:UOC917552 UXY917510:UXY917552 VHU917510:VHU917552 VRQ917510:VRQ917552 WBM917510:WBM917552 WLI917510:WLI917552 WVE917510:WVE917552 O983046:O983088 IS983046:IS983088 SO983046:SO983088 ACK983046:ACK983088 AMG983046:AMG983088 AWC983046:AWC983088 BFY983046:BFY983088 BPU983046:BPU983088 BZQ983046:BZQ983088 CJM983046:CJM983088 CTI983046:CTI983088 DDE983046:DDE983088 DNA983046:DNA983088 DWW983046:DWW983088 EGS983046:EGS983088 EQO983046:EQO983088 FAK983046:FAK983088 FKG983046:FKG983088 FUC983046:FUC983088 GDY983046:GDY983088 GNU983046:GNU983088 GXQ983046:GXQ983088 HHM983046:HHM983088 HRI983046:HRI983088 IBE983046:IBE983088 ILA983046:ILA983088 IUW983046:IUW983088 JES983046:JES983088 JOO983046:JOO983088 JYK983046:JYK983088 KIG983046:KIG983088 KSC983046:KSC983088 LBY983046:LBY983088 LLU983046:LLU983088 LVQ983046:LVQ983088 MFM983046:MFM983088 MPI983046:MPI983088 MZE983046:MZE983088 NJA983046:NJA983088 NSW983046:NSW983088 OCS983046:OCS983088 OMO983046:OMO983088 OWK983046:OWK983088 PGG983046:PGG983088 PQC983046:PQC983088 PZY983046:PZY983088 QJU983046:QJU983088 QTQ983046:QTQ983088 RDM983046:RDM983088 RNI983046:RNI983088 RXE983046:RXE983088 SHA983046:SHA983088 SQW983046:SQW983088 TAS983046:TAS983088 TKO983046:TKO983088 TUK983046:TUK983088 UEG983046:UEG983088 UOC983046:UOC983088 UXY983046:UXY983088 VHU983046:VHU983088 VRQ983046:VRQ983088 WBM983046:WBM983088 WLI983046:WLI983088"/>
  </dataValidations>
  <printOptions horizontalCentered="1" gridLinesSet="0"/>
  <pageMargins left="0.39370078740157483" right="0.27559055118110237" top="0.47244094488188981" bottom="0.47244094488188981" header="0.31496062992125984" footer="0.35433070866141736"/>
  <pageSetup paperSize="9" scale="63"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12</vt:i4>
      </vt:variant>
    </vt:vector>
  </HeadingPairs>
  <TitlesOfParts>
    <vt:vector size="20" baseType="lpstr">
      <vt:lpstr>BasisM</vt:lpstr>
      <vt:lpstr>Konti_MS</vt:lpstr>
      <vt:lpstr>GTS</vt:lpstr>
      <vt:lpstr>Assistenz</vt:lpstr>
      <vt:lpstr>Religion</vt:lpstr>
      <vt:lpstr>Erstsprache</vt:lpstr>
      <vt:lpstr>Lehrpersonen</vt:lpstr>
      <vt:lpstr>Bedarf</vt:lpstr>
      <vt:lpstr>Assistenz!Druckbereich</vt:lpstr>
      <vt:lpstr>BasisM!Druckbereich</vt:lpstr>
      <vt:lpstr>Bedarf!Druckbereich</vt:lpstr>
      <vt:lpstr>CI!Druckbereich</vt:lpstr>
      <vt:lpstr>GTS!Druckbereich</vt:lpstr>
      <vt:lpstr>Konti_MS!Druckbereich</vt:lpstr>
      <vt:lpstr>Lehrpersonen!Druckbereich</vt:lpstr>
      <vt:lpstr>LP_intern!Druckbereich</vt:lpstr>
      <vt:lpstr>Religion!Druckbereich</vt:lpstr>
      <vt:lpstr>Konti_MS!Drucktitel</vt:lpstr>
      <vt:lpstr>Lehrpersonen!Drucktitel</vt:lpstr>
      <vt:lpstr>LP_intern!Drucktitel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Präs/3</dc:creator>
  <cp:lastModifiedBy>Grabher Markus</cp:lastModifiedBy>
  <cp:lastPrinted>2024-02-28T10:04:51Z</cp:lastPrinted>
  <dcterms:created xsi:type="dcterms:W3CDTF">2022-01-26T08:31:30Z</dcterms:created>
  <dcterms:modified xsi:type="dcterms:W3CDTF">2024-03-13T08:26:32Z</dcterms:modified>
</cp:coreProperties>
</file>