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I:\abt2a\Ressourcen\Stundenberech_Excel\2024'25\Bed\"/>
    </mc:Choice>
  </mc:AlternateContent>
  <bookViews>
    <workbookView xWindow="15450" yWindow="705" windowWidth="18450" windowHeight="19020" firstSheet="1" activeTab="1"/>
  </bookViews>
  <sheets>
    <sheet name="CI" sheetId="10" state="veryHidden" r:id="rId1"/>
    <sheet name="BasisP" sheetId="3" r:id="rId2"/>
    <sheet name="Konti_PTS" sheetId="1" r:id="rId3"/>
    <sheet name="GTS" sheetId="7" r:id="rId4"/>
    <sheet name="Assistenz" sheetId="5" r:id="rId5"/>
    <sheet name="Erstsprache" sheetId="8" r:id="rId6"/>
    <sheet name="Lehrpersonen" sheetId="11" r:id="rId7"/>
    <sheet name="LP_intern" sheetId="12" state="veryHidden" r:id="rId8"/>
    <sheet name="Bedarf" sheetId="13" r:id="rId9"/>
    <sheet name="Beschreib" sheetId="6" state="veryHidden" r:id="rId10"/>
  </sheets>
  <definedNames>
    <definedName name="_xlnm._FilterDatabase" localSheetId="0" hidden="1">CI!$A$2:$I$2</definedName>
    <definedName name="_xlnm.Print_Area" localSheetId="4">Assistenz!$A$1:$M$35</definedName>
    <definedName name="_xlnm.Print_Area" localSheetId="1">BasisP!$B:$P</definedName>
    <definedName name="_xlnm.Print_Area" localSheetId="8">Bedarf!$A$1:$L$53</definedName>
    <definedName name="_xlnm.Print_Area" localSheetId="0">CI!$B$1:$G$2</definedName>
    <definedName name="_xlnm.Print_Area" localSheetId="3">GTS!$A$1:$AF$45</definedName>
    <definedName name="_xlnm.Print_Area" localSheetId="2">Konti_PTS!$B:$J</definedName>
    <definedName name="_xlnm.Print_Area" localSheetId="6">Lehrpersonen!$A$1:$Q$85</definedName>
    <definedName name="_xlnm.Print_Area" localSheetId="7">LP_intern!$A$1:$O$95</definedName>
    <definedName name="_xlnm.Print_Titles" localSheetId="2">Konti_PTS!$7:$8</definedName>
    <definedName name="_xlnm.Print_Titles" localSheetId="6">Lehrpersonen!$4:$4</definedName>
    <definedName name="_xlnm.Print_Titles" localSheetId="7">LP_intern!$1:$4</definedName>
    <definedName name="Z_B1A9DF0D_440C_4435_ADFB_79A992102039_.wvu.Cols" localSheetId="4" hidden="1">Assistenz!$E:$E</definedName>
    <definedName name="Z_B1A9DF0D_440C_4435_ADFB_79A992102039_.wvu.PrintArea" localSheetId="4" hidden="1">Assistenz!$A$1:$M$35</definedName>
    <definedName name="Z_B1A9DF0D_440C_4435_ADFB_79A992102039_.wvu.PrintArea" localSheetId="1" hidden="1">BasisP!$B:$P</definedName>
    <definedName name="Z_B1A9DF0D_440C_4435_ADFB_79A992102039_.wvu.PrintArea" localSheetId="2" hidden="1">Konti_PTS!$B:$J</definedName>
    <definedName name="Z_B1A9DF0D_440C_4435_ADFB_79A992102039_.wvu.PrintTitles" localSheetId="2" hidden="1">Konti_PTS!$7:$8</definedName>
    <definedName name="Z_B1A9DF0D_440C_4435_ADFB_79A992102039_.wvu.Rows" localSheetId="4" hidden="1">Assistenz!$106:$1048576,Assistenz!$43:$58</definedName>
    <definedName name="Z_B1A9DF0D_440C_4435_ADFB_79A992102039_.wvu.Rows" localSheetId="9" hidden="1">Beschreib!$81:$94,Beschreib!$130:$136,Beschreib!$146:$198,Beschreib!$231:$298</definedName>
    <definedName name="Z_B1A9DF0D_440C_4435_ADFB_79A992102039_.wvu.Rows" localSheetId="2" hidden="1">Konti_PTS!$94:$1048576,Konti_PTS!$35:$35</definedName>
  </definedNames>
  <calcPr calcId="162913"/>
  <customWorkbookViews>
    <customWorkbookView name="Grabher Markus - Persönliche Ansicht" guid="{B1A9DF0D-440C-4435-ADFB-79A992102039}" mergeInterval="0" personalView="1" maximized="1" xWindow="-8" yWindow="-8" windowWidth="1936" windowHeight="1056"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85" i="12" l="1"/>
  <c r="O93" i="12"/>
  <c r="A3" i="13" l="1"/>
  <c r="I85" i="11"/>
  <c r="K28" i="13" l="1"/>
  <c r="K29" i="13"/>
  <c r="K30" i="13"/>
  <c r="K31" i="13"/>
  <c r="K32" i="13"/>
  <c r="K33" i="13"/>
  <c r="K34" i="13"/>
  <c r="K35" i="13"/>
  <c r="K36" i="13"/>
  <c r="K37" i="13"/>
  <c r="K27" i="13"/>
  <c r="Q47" i="11" l="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35" i="11"/>
  <c r="Q36" i="11"/>
  <c r="Q37" i="11"/>
  <c r="Q38" i="11"/>
  <c r="Q39" i="11"/>
  <c r="Q40" i="11"/>
  <c r="Q41" i="11"/>
  <c r="Q42" i="11"/>
  <c r="Q43" i="11"/>
  <c r="Q44" i="11"/>
  <c r="Q45" i="11"/>
  <c r="J1" i="13" l="1"/>
  <c r="S1" i="1"/>
  <c r="H87" i="11" l="1"/>
  <c r="H87" i="12" s="1"/>
  <c r="N85" i="12"/>
  <c r="O84" i="12"/>
  <c r="N84" i="12"/>
  <c r="M84" i="12"/>
  <c r="L84" i="12"/>
  <c r="K84" i="12"/>
  <c r="J84" i="12"/>
  <c r="I84" i="12"/>
  <c r="H84" i="12"/>
  <c r="F84" i="12"/>
  <c r="D84" i="12"/>
  <c r="C84" i="12"/>
  <c r="B84" i="12"/>
  <c r="A84" i="12"/>
  <c r="O83" i="12"/>
  <c r="N83" i="12"/>
  <c r="M83" i="12"/>
  <c r="L83" i="12"/>
  <c r="K83" i="12"/>
  <c r="J83" i="12"/>
  <c r="I83" i="12"/>
  <c r="H83" i="12"/>
  <c r="F83" i="12"/>
  <c r="D83" i="12"/>
  <c r="C83" i="12"/>
  <c r="B83" i="12"/>
  <c r="A83" i="12"/>
  <c r="O82" i="12"/>
  <c r="N82" i="12"/>
  <c r="M82" i="12"/>
  <c r="L82" i="12"/>
  <c r="K82" i="12"/>
  <c r="J82" i="12"/>
  <c r="I82" i="12"/>
  <c r="H82" i="12"/>
  <c r="F82" i="12"/>
  <c r="D82" i="12"/>
  <c r="C82" i="12"/>
  <c r="B82" i="12"/>
  <c r="A82" i="12"/>
  <c r="O81" i="12"/>
  <c r="N81" i="12"/>
  <c r="M81" i="12"/>
  <c r="L81" i="12"/>
  <c r="K81" i="12"/>
  <c r="J81" i="12"/>
  <c r="I81" i="12"/>
  <c r="H81" i="12"/>
  <c r="F81" i="12"/>
  <c r="D81" i="12"/>
  <c r="C81" i="12"/>
  <c r="B81" i="12"/>
  <c r="A81" i="12"/>
  <c r="O80" i="12"/>
  <c r="N80" i="12"/>
  <c r="M80" i="12"/>
  <c r="L80" i="12"/>
  <c r="K80" i="12"/>
  <c r="J80" i="12"/>
  <c r="I80" i="12"/>
  <c r="H80" i="12"/>
  <c r="F80" i="12"/>
  <c r="D80" i="12"/>
  <c r="C80" i="12"/>
  <c r="B80" i="12"/>
  <c r="A80" i="12"/>
  <c r="O79" i="12"/>
  <c r="N79" i="12"/>
  <c r="M79" i="12"/>
  <c r="L79" i="12"/>
  <c r="K79" i="12"/>
  <c r="J79" i="12"/>
  <c r="I79" i="12"/>
  <c r="H79" i="12"/>
  <c r="F79" i="12"/>
  <c r="D79" i="12"/>
  <c r="C79" i="12"/>
  <c r="B79" i="12"/>
  <c r="A79" i="12"/>
  <c r="O78" i="12"/>
  <c r="N78" i="12"/>
  <c r="M78" i="12"/>
  <c r="L78" i="12"/>
  <c r="K78" i="12"/>
  <c r="J78" i="12"/>
  <c r="I78" i="12"/>
  <c r="H78" i="12"/>
  <c r="F78" i="12"/>
  <c r="D78" i="12"/>
  <c r="C78" i="12"/>
  <c r="B78" i="12"/>
  <c r="A78" i="12"/>
  <c r="O77" i="12"/>
  <c r="N77" i="12"/>
  <c r="M77" i="12"/>
  <c r="L77" i="12"/>
  <c r="K77" i="12"/>
  <c r="J77" i="12"/>
  <c r="I77" i="12"/>
  <c r="H77" i="12"/>
  <c r="F77" i="12"/>
  <c r="D77" i="12"/>
  <c r="C77" i="12"/>
  <c r="B77" i="12"/>
  <c r="A77" i="12"/>
  <c r="O76" i="12"/>
  <c r="N76" i="12"/>
  <c r="M76" i="12"/>
  <c r="L76" i="12"/>
  <c r="K76" i="12"/>
  <c r="J76" i="12"/>
  <c r="I76" i="12"/>
  <c r="H76" i="12"/>
  <c r="F76" i="12"/>
  <c r="D76" i="12"/>
  <c r="C76" i="12"/>
  <c r="B76" i="12"/>
  <c r="A76" i="12"/>
  <c r="O75" i="12"/>
  <c r="N75" i="12"/>
  <c r="M75" i="12"/>
  <c r="L75" i="12"/>
  <c r="K75" i="12"/>
  <c r="J75" i="12"/>
  <c r="I75" i="12"/>
  <c r="H75" i="12"/>
  <c r="F75" i="12"/>
  <c r="D75" i="12"/>
  <c r="C75" i="12"/>
  <c r="B75" i="12"/>
  <c r="A75" i="12"/>
  <c r="O74" i="12"/>
  <c r="N74" i="12"/>
  <c r="M74" i="12"/>
  <c r="L74" i="12"/>
  <c r="K74" i="12"/>
  <c r="J74" i="12"/>
  <c r="I74" i="12"/>
  <c r="H74" i="12"/>
  <c r="F74" i="12"/>
  <c r="D74" i="12"/>
  <c r="C74" i="12"/>
  <c r="B74" i="12"/>
  <c r="A74" i="12"/>
  <c r="O73" i="12"/>
  <c r="N73" i="12"/>
  <c r="M73" i="12"/>
  <c r="L73" i="12"/>
  <c r="K73" i="12"/>
  <c r="J73" i="12"/>
  <c r="I73" i="12"/>
  <c r="H73" i="12"/>
  <c r="F73" i="12"/>
  <c r="D73" i="12"/>
  <c r="C73" i="12"/>
  <c r="B73" i="12"/>
  <c r="A73" i="12"/>
  <c r="O72" i="12"/>
  <c r="N72" i="12"/>
  <c r="M72" i="12"/>
  <c r="L72" i="12"/>
  <c r="K72" i="12"/>
  <c r="J72" i="12"/>
  <c r="I72" i="12"/>
  <c r="H72" i="12"/>
  <c r="F72" i="12"/>
  <c r="D72" i="12"/>
  <c r="C72" i="12"/>
  <c r="B72" i="12"/>
  <c r="A72" i="12"/>
  <c r="O71" i="12"/>
  <c r="N71" i="12"/>
  <c r="M71" i="12"/>
  <c r="L71" i="12"/>
  <c r="K71" i="12"/>
  <c r="J71" i="12"/>
  <c r="I71" i="12"/>
  <c r="H71" i="12"/>
  <c r="F71" i="12"/>
  <c r="D71" i="12"/>
  <c r="C71" i="12"/>
  <c r="B71" i="12"/>
  <c r="A71" i="12"/>
  <c r="O70" i="12"/>
  <c r="N70" i="12"/>
  <c r="M70" i="12"/>
  <c r="L70" i="12"/>
  <c r="K70" i="12"/>
  <c r="J70" i="12"/>
  <c r="I70" i="12"/>
  <c r="H70" i="12"/>
  <c r="F70" i="12"/>
  <c r="D70" i="12"/>
  <c r="C70" i="12"/>
  <c r="B70" i="12"/>
  <c r="A70" i="12"/>
  <c r="O69" i="12"/>
  <c r="N69" i="12"/>
  <c r="M69" i="12"/>
  <c r="L69" i="12"/>
  <c r="K69" i="12"/>
  <c r="J69" i="12"/>
  <c r="I69" i="12"/>
  <c r="H69" i="12"/>
  <c r="F69" i="12"/>
  <c r="D69" i="12"/>
  <c r="C69" i="12"/>
  <c r="B69" i="12"/>
  <c r="A69" i="12"/>
  <c r="O68" i="12"/>
  <c r="N68" i="12"/>
  <c r="M68" i="12"/>
  <c r="L68" i="12"/>
  <c r="K68" i="12"/>
  <c r="J68" i="12"/>
  <c r="I68" i="12"/>
  <c r="H68" i="12"/>
  <c r="F68" i="12"/>
  <c r="D68" i="12"/>
  <c r="C68" i="12"/>
  <c r="B68" i="12"/>
  <c r="A68" i="12"/>
  <c r="O67" i="12"/>
  <c r="N67" i="12"/>
  <c r="M67" i="12"/>
  <c r="L67" i="12"/>
  <c r="K67" i="12"/>
  <c r="J67" i="12"/>
  <c r="I67" i="12"/>
  <c r="H67" i="12"/>
  <c r="F67" i="12"/>
  <c r="D67" i="12"/>
  <c r="C67" i="12"/>
  <c r="B67" i="12"/>
  <c r="A67" i="12"/>
  <c r="O66" i="12"/>
  <c r="N66" i="12"/>
  <c r="M66" i="12"/>
  <c r="L66" i="12"/>
  <c r="K66" i="12"/>
  <c r="J66" i="12"/>
  <c r="I66" i="12"/>
  <c r="H66" i="12"/>
  <c r="F66" i="12"/>
  <c r="D66" i="12"/>
  <c r="C66" i="12"/>
  <c r="B66" i="12"/>
  <c r="A66" i="12"/>
  <c r="O65" i="12"/>
  <c r="N65" i="12"/>
  <c r="M65" i="12"/>
  <c r="L65" i="12"/>
  <c r="K65" i="12"/>
  <c r="J65" i="12"/>
  <c r="I65" i="12"/>
  <c r="H65" i="12"/>
  <c r="F65" i="12"/>
  <c r="D65" i="12"/>
  <c r="C65" i="12"/>
  <c r="B65" i="12"/>
  <c r="A65" i="12"/>
  <c r="O64" i="12"/>
  <c r="N64" i="12"/>
  <c r="M64" i="12"/>
  <c r="L64" i="12"/>
  <c r="K64" i="12"/>
  <c r="J64" i="12"/>
  <c r="I64" i="12"/>
  <c r="H64" i="12"/>
  <c r="F64" i="12"/>
  <c r="D64" i="12"/>
  <c r="C64" i="12"/>
  <c r="B64" i="12"/>
  <c r="A64" i="12"/>
  <c r="O63" i="12"/>
  <c r="N63" i="12"/>
  <c r="M63" i="12"/>
  <c r="L63" i="12"/>
  <c r="K63" i="12"/>
  <c r="J63" i="12"/>
  <c r="I63" i="12"/>
  <c r="H63" i="12"/>
  <c r="F63" i="12"/>
  <c r="D63" i="12"/>
  <c r="C63" i="12"/>
  <c r="B63" i="12"/>
  <c r="A63" i="12"/>
  <c r="O62" i="12"/>
  <c r="N62" i="12"/>
  <c r="M62" i="12"/>
  <c r="L62" i="12"/>
  <c r="K62" i="12"/>
  <c r="J62" i="12"/>
  <c r="I62" i="12"/>
  <c r="H62" i="12"/>
  <c r="F62" i="12"/>
  <c r="D62" i="12"/>
  <c r="C62" i="12"/>
  <c r="B62" i="12"/>
  <c r="A62" i="12"/>
  <c r="O61" i="12"/>
  <c r="N61" i="12"/>
  <c r="M61" i="12"/>
  <c r="L61" i="12"/>
  <c r="K61" i="12"/>
  <c r="J61" i="12"/>
  <c r="I61" i="12"/>
  <c r="H61" i="12"/>
  <c r="F61" i="12"/>
  <c r="D61" i="12"/>
  <c r="C61" i="12"/>
  <c r="B61" i="12"/>
  <c r="A61" i="12"/>
  <c r="O60" i="12"/>
  <c r="N60" i="12"/>
  <c r="M60" i="12"/>
  <c r="L60" i="12"/>
  <c r="K60" i="12"/>
  <c r="J60" i="12"/>
  <c r="I60" i="12"/>
  <c r="H60" i="12"/>
  <c r="F60" i="12"/>
  <c r="D60" i="12"/>
  <c r="C60" i="12"/>
  <c r="B60" i="12"/>
  <c r="A60" i="12"/>
  <c r="O59" i="12"/>
  <c r="N59" i="12"/>
  <c r="M59" i="12"/>
  <c r="L59" i="12"/>
  <c r="K59" i="12"/>
  <c r="J59" i="12"/>
  <c r="I59" i="12"/>
  <c r="H59" i="12"/>
  <c r="F59" i="12"/>
  <c r="D59" i="12"/>
  <c r="C59" i="12"/>
  <c r="B59" i="12"/>
  <c r="A59" i="12"/>
  <c r="O58" i="12"/>
  <c r="N58" i="12"/>
  <c r="M58" i="12"/>
  <c r="L58" i="12"/>
  <c r="K58" i="12"/>
  <c r="J58" i="12"/>
  <c r="I58" i="12"/>
  <c r="H58" i="12"/>
  <c r="F58" i="12"/>
  <c r="D58" i="12"/>
  <c r="C58" i="12"/>
  <c r="B58" i="12"/>
  <c r="A58" i="12"/>
  <c r="O57" i="12"/>
  <c r="N57" i="12"/>
  <c r="M57" i="12"/>
  <c r="L57" i="12"/>
  <c r="K57" i="12"/>
  <c r="J57" i="12"/>
  <c r="I57" i="12"/>
  <c r="H57" i="12"/>
  <c r="F57" i="12"/>
  <c r="D57" i="12"/>
  <c r="C57" i="12"/>
  <c r="B57" i="12"/>
  <c r="A57" i="12"/>
  <c r="O56" i="12"/>
  <c r="N56" i="12"/>
  <c r="M56" i="12"/>
  <c r="L56" i="12"/>
  <c r="K56" i="12"/>
  <c r="J56" i="12"/>
  <c r="I56" i="12"/>
  <c r="H56" i="12"/>
  <c r="F56" i="12"/>
  <c r="D56" i="12"/>
  <c r="C56" i="12"/>
  <c r="B56" i="12"/>
  <c r="A56" i="12"/>
  <c r="O55" i="12"/>
  <c r="N55" i="12"/>
  <c r="M55" i="12"/>
  <c r="L55" i="12"/>
  <c r="K55" i="12"/>
  <c r="J55" i="12"/>
  <c r="I55" i="12"/>
  <c r="H55" i="12"/>
  <c r="F55" i="12"/>
  <c r="D55" i="12"/>
  <c r="C55" i="12"/>
  <c r="B55" i="12"/>
  <c r="A55" i="12"/>
  <c r="O54" i="12"/>
  <c r="N54" i="12"/>
  <c r="M54" i="12"/>
  <c r="L54" i="12"/>
  <c r="K54" i="12"/>
  <c r="J54" i="12"/>
  <c r="I54" i="12"/>
  <c r="H54" i="12"/>
  <c r="F54" i="12"/>
  <c r="D54" i="12"/>
  <c r="C54" i="12"/>
  <c r="B54" i="12"/>
  <c r="A54" i="12"/>
  <c r="O53" i="12"/>
  <c r="N53" i="12"/>
  <c r="M53" i="12"/>
  <c r="L53" i="12"/>
  <c r="K53" i="12"/>
  <c r="J53" i="12"/>
  <c r="I53" i="12"/>
  <c r="H53" i="12"/>
  <c r="F53" i="12"/>
  <c r="D53" i="12"/>
  <c r="C53" i="12"/>
  <c r="B53" i="12"/>
  <c r="A53" i="12"/>
  <c r="O52" i="12"/>
  <c r="N52" i="12"/>
  <c r="M52" i="12"/>
  <c r="L52" i="12"/>
  <c r="K52" i="12"/>
  <c r="J52" i="12"/>
  <c r="I52" i="12"/>
  <c r="H52" i="12"/>
  <c r="F52" i="12"/>
  <c r="D52" i="12"/>
  <c r="C52" i="12"/>
  <c r="B52" i="12"/>
  <c r="A52" i="12"/>
  <c r="O51" i="12"/>
  <c r="N51" i="12"/>
  <c r="M51" i="12"/>
  <c r="L51" i="12"/>
  <c r="K51" i="12"/>
  <c r="J51" i="12"/>
  <c r="I51" i="12"/>
  <c r="H51" i="12"/>
  <c r="F51" i="12"/>
  <c r="D51" i="12"/>
  <c r="C51" i="12"/>
  <c r="B51" i="12"/>
  <c r="A51" i="12"/>
  <c r="O50" i="12"/>
  <c r="N50" i="12"/>
  <c r="M50" i="12"/>
  <c r="L50" i="12"/>
  <c r="K50" i="12"/>
  <c r="J50" i="12"/>
  <c r="I50" i="12"/>
  <c r="H50" i="12"/>
  <c r="F50" i="12"/>
  <c r="D50" i="12"/>
  <c r="C50" i="12"/>
  <c r="B50" i="12"/>
  <c r="A50" i="12"/>
  <c r="O49" i="12"/>
  <c r="N49" i="12"/>
  <c r="M49" i="12"/>
  <c r="L49" i="12"/>
  <c r="K49" i="12"/>
  <c r="J49" i="12"/>
  <c r="I49" i="12"/>
  <c r="H49" i="12"/>
  <c r="F49" i="12"/>
  <c r="D49" i="12"/>
  <c r="C49" i="12"/>
  <c r="B49" i="12"/>
  <c r="A49" i="12"/>
  <c r="O48" i="12"/>
  <c r="N48" i="12"/>
  <c r="M48" i="12"/>
  <c r="L48" i="12"/>
  <c r="K48" i="12"/>
  <c r="J48" i="12"/>
  <c r="I48" i="12"/>
  <c r="H48" i="12"/>
  <c r="F48" i="12"/>
  <c r="D48" i="12"/>
  <c r="C48" i="12"/>
  <c r="B48" i="12"/>
  <c r="A48" i="12"/>
  <c r="O47" i="12"/>
  <c r="N47" i="12"/>
  <c r="M47" i="12"/>
  <c r="L47" i="12"/>
  <c r="K47" i="12"/>
  <c r="J47" i="12"/>
  <c r="I47" i="12"/>
  <c r="H47" i="12"/>
  <c r="F47" i="12"/>
  <c r="D47" i="12"/>
  <c r="C47" i="12"/>
  <c r="B47" i="12"/>
  <c r="A47" i="12"/>
  <c r="O46" i="12"/>
  <c r="N46" i="12"/>
  <c r="M46" i="12"/>
  <c r="L46" i="12"/>
  <c r="K46" i="12"/>
  <c r="J46" i="12"/>
  <c r="I46" i="12"/>
  <c r="H46" i="12"/>
  <c r="D46" i="12"/>
  <c r="C46" i="12"/>
  <c r="B46" i="12"/>
  <c r="A46" i="12"/>
  <c r="O45" i="12"/>
  <c r="N45" i="12"/>
  <c r="M45" i="12"/>
  <c r="L45" i="12"/>
  <c r="K45" i="12"/>
  <c r="J45" i="12"/>
  <c r="I45" i="12"/>
  <c r="H45" i="12"/>
  <c r="D45" i="12"/>
  <c r="C45" i="12"/>
  <c r="B45" i="12"/>
  <c r="A45" i="12"/>
  <c r="O44" i="12"/>
  <c r="N44" i="12"/>
  <c r="M44" i="12"/>
  <c r="L44" i="12"/>
  <c r="K44" i="12"/>
  <c r="J44" i="12"/>
  <c r="I44" i="12"/>
  <c r="H44" i="12"/>
  <c r="D44" i="12"/>
  <c r="C44" i="12"/>
  <c r="B44" i="12"/>
  <c r="A44" i="12"/>
  <c r="O43" i="12"/>
  <c r="N43" i="12"/>
  <c r="M43" i="12"/>
  <c r="L43" i="12"/>
  <c r="K43" i="12"/>
  <c r="J43" i="12"/>
  <c r="I43" i="12"/>
  <c r="H43" i="12"/>
  <c r="D43" i="12"/>
  <c r="C43" i="12"/>
  <c r="B43" i="12"/>
  <c r="A43" i="12"/>
  <c r="O42" i="12"/>
  <c r="N42" i="12"/>
  <c r="M42" i="12"/>
  <c r="L42" i="12"/>
  <c r="K42" i="12"/>
  <c r="J42" i="12"/>
  <c r="I42" i="12"/>
  <c r="H42" i="12"/>
  <c r="D42" i="12"/>
  <c r="C42" i="12"/>
  <c r="B42" i="12"/>
  <c r="A42" i="12"/>
  <c r="O41" i="12"/>
  <c r="N41" i="12"/>
  <c r="M41" i="12"/>
  <c r="L41" i="12"/>
  <c r="K41" i="12"/>
  <c r="J41" i="12"/>
  <c r="I41" i="12"/>
  <c r="H41" i="12"/>
  <c r="F41" i="12"/>
  <c r="D41" i="12"/>
  <c r="C41" i="12"/>
  <c r="B41" i="12"/>
  <c r="A41" i="12"/>
  <c r="O40" i="12"/>
  <c r="N40" i="12"/>
  <c r="M40" i="12"/>
  <c r="L40" i="12"/>
  <c r="K40" i="12"/>
  <c r="J40" i="12"/>
  <c r="I40" i="12"/>
  <c r="H40" i="12"/>
  <c r="F40" i="12"/>
  <c r="D40" i="12"/>
  <c r="C40" i="12"/>
  <c r="B40" i="12"/>
  <c r="A40" i="12"/>
  <c r="O39" i="12"/>
  <c r="N39" i="12"/>
  <c r="M39" i="12"/>
  <c r="L39" i="12"/>
  <c r="K39" i="12"/>
  <c r="J39" i="12"/>
  <c r="I39" i="12"/>
  <c r="H39" i="12"/>
  <c r="F39" i="12"/>
  <c r="D39" i="12"/>
  <c r="C39" i="12"/>
  <c r="B39" i="12"/>
  <c r="A39" i="12"/>
  <c r="O38" i="12"/>
  <c r="N38" i="12"/>
  <c r="M38" i="12"/>
  <c r="L38" i="12"/>
  <c r="K38" i="12"/>
  <c r="J38" i="12"/>
  <c r="I38" i="12"/>
  <c r="H38" i="12"/>
  <c r="F38" i="12"/>
  <c r="D38" i="12"/>
  <c r="C38" i="12"/>
  <c r="B38" i="12"/>
  <c r="A38" i="12"/>
  <c r="O37" i="12"/>
  <c r="N37" i="12"/>
  <c r="M37" i="12"/>
  <c r="L37" i="12"/>
  <c r="K37" i="12"/>
  <c r="J37" i="12"/>
  <c r="I37" i="12"/>
  <c r="H37" i="12"/>
  <c r="F37" i="12"/>
  <c r="D37" i="12"/>
  <c r="C37" i="12"/>
  <c r="B37" i="12"/>
  <c r="A37" i="12"/>
  <c r="O36" i="12"/>
  <c r="N36" i="12"/>
  <c r="M36" i="12"/>
  <c r="L36" i="12"/>
  <c r="K36" i="12"/>
  <c r="J36" i="12"/>
  <c r="I36" i="12"/>
  <c r="H36" i="12"/>
  <c r="F36" i="12"/>
  <c r="D36" i="12"/>
  <c r="C36" i="12"/>
  <c r="B36" i="12"/>
  <c r="A36" i="12"/>
  <c r="O35" i="12"/>
  <c r="N35" i="12"/>
  <c r="M35" i="12"/>
  <c r="L35" i="12"/>
  <c r="K35" i="12"/>
  <c r="J35" i="12"/>
  <c r="I35" i="12"/>
  <c r="H35" i="12"/>
  <c r="F35" i="12"/>
  <c r="D35" i="12"/>
  <c r="C35" i="12"/>
  <c r="B35" i="12"/>
  <c r="A35" i="12"/>
  <c r="O34" i="12"/>
  <c r="N34" i="12"/>
  <c r="M34" i="12"/>
  <c r="L34" i="12"/>
  <c r="K34" i="12"/>
  <c r="J34" i="12"/>
  <c r="I34" i="12"/>
  <c r="H34" i="12"/>
  <c r="D34" i="12"/>
  <c r="C34" i="12"/>
  <c r="B34" i="12"/>
  <c r="A34" i="12"/>
  <c r="O33" i="12"/>
  <c r="N33" i="12"/>
  <c r="M33" i="12"/>
  <c r="L33" i="12"/>
  <c r="K33" i="12"/>
  <c r="J33" i="12"/>
  <c r="I33" i="12"/>
  <c r="H33" i="12"/>
  <c r="D33" i="12"/>
  <c r="C33" i="12"/>
  <c r="B33" i="12"/>
  <c r="A33" i="12"/>
  <c r="O32" i="12"/>
  <c r="N32" i="12"/>
  <c r="M32" i="12"/>
  <c r="L32" i="12"/>
  <c r="K32" i="12"/>
  <c r="J32" i="12"/>
  <c r="I32" i="12"/>
  <c r="H32" i="12"/>
  <c r="D32" i="12"/>
  <c r="C32" i="12"/>
  <c r="B32" i="12"/>
  <c r="A32" i="12"/>
  <c r="O31" i="12"/>
  <c r="N31" i="12"/>
  <c r="M31" i="12"/>
  <c r="L31" i="12"/>
  <c r="K31" i="12"/>
  <c r="J31" i="12"/>
  <c r="I31" i="12"/>
  <c r="H31" i="12"/>
  <c r="D31" i="12"/>
  <c r="C31" i="12"/>
  <c r="B31" i="12"/>
  <c r="A31" i="12"/>
  <c r="O30" i="12"/>
  <c r="N30" i="12"/>
  <c r="M30" i="12"/>
  <c r="L30" i="12"/>
  <c r="K30" i="12"/>
  <c r="J30" i="12"/>
  <c r="I30" i="12"/>
  <c r="H30" i="12"/>
  <c r="D30" i="12"/>
  <c r="C30" i="12"/>
  <c r="B30" i="12"/>
  <c r="A30" i="12"/>
  <c r="O29" i="12"/>
  <c r="N29" i="12"/>
  <c r="M29" i="12"/>
  <c r="L29" i="12"/>
  <c r="K29" i="12"/>
  <c r="J29" i="12"/>
  <c r="I29" i="12"/>
  <c r="H29" i="12"/>
  <c r="D29" i="12"/>
  <c r="C29" i="12"/>
  <c r="B29" i="12"/>
  <c r="A29" i="12"/>
  <c r="O28" i="12"/>
  <c r="N28" i="12"/>
  <c r="M28" i="12"/>
  <c r="L28" i="12"/>
  <c r="K28" i="12"/>
  <c r="J28" i="12"/>
  <c r="I28" i="12"/>
  <c r="H28" i="12"/>
  <c r="D28" i="12"/>
  <c r="C28" i="12"/>
  <c r="B28" i="12"/>
  <c r="A28" i="12"/>
  <c r="O27" i="12"/>
  <c r="N27" i="12"/>
  <c r="M27" i="12"/>
  <c r="L27" i="12"/>
  <c r="K27" i="12"/>
  <c r="J27" i="12"/>
  <c r="I27" i="12"/>
  <c r="H27" i="12"/>
  <c r="D27" i="12"/>
  <c r="C27" i="12"/>
  <c r="B27" i="12"/>
  <c r="A27" i="12"/>
  <c r="O26" i="12"/>
  <c r="N26" i="12"/>
  <c r="M26" i="12"/>
  <c r="L26" i="12"/>
  <c r="K26" i="12"/>
  <c r="J26" i="12"/>
  <c r="I26" i="12"/>
  <c r="H26" i="12"/>
  <c r="D26" i="12"/>
  <c r="C26" i="12"/>
  <c r="B26" i="12"/>
  <c r="A26" i="12"/>
  <c r="O25" i="12"/>
  <c r="N25" i="12"/>
  <c r="M25" i="12"/>
  <c r="L25" i="12"/>
  <c r="K25" i="12"/>
  <c r="J25" i="12"/>
  <c r="I25" i="12"/>
  <c r="H25" i="12"/>
  <c r="D25" i="12"/>
  <c r="C25" i="12"/>
  <c r="B25" i="12"/>
  <c r="A25" i="12"/>
  <c r="O24" i="12"/>
  <c r="N24" i="12"/>
  <c r="M24" i="12"/>
  <c r="L24" i="12"/>
  <c r="K24" i="12"/>
  <c r="J24" i="12"/>
  <c r="I24" i="12"/>
  <c r="H24" i="12"/>
  <c r="D24" i="12"/>
  <c r="C24" i="12"/>
  <c r="B24" i="12"/>
  <c r="A24" i="12"/>
  <c r="O23" i="12"/>
  <c r="N23" i="12"/>
  <c r="M23" i="12"/>
  <c r="L23" i="12"/>
  <c r="K23" i="12"/>
  <c r="J23" i="12"/>
  <c r="I23" i="12"/>
  <c r="H23" i="12"/>
  <c r="D23" i="12"/>
  <c r="C23" i="12"/>
  <c r="B23" i="12"/>
  <c r="A23" i="12"/>
  <c r="O22" i="12"/>
  <c r="N22" i="12"/>
  <c r="M22" i="12"/>
  <c r="L22" i="12"/>
  <c r="K22" i="12"/>
  <c r="J22" i="12"/>
  <c r="I22" i="12"/>
  <c r="H22" i="12"/>
  <c r="D22" i="12"/>
  <c r="C22" i="12"/>
  <c r="B22" i="12"/>
  <c r="A22" i="12"/>
  <c r="O21" i="12"/>
  <c r="N21" i="12"/>
  <c r="M21" i="12"/>
  <c r="L21" i="12"/>
  <c r="K21" i="12"/>
  <c r="J21" i="12"/>
  <c r="I21" i="12"/>
  <c r="H21" i="12"/>
  <c r="D21" i="12"/>
  <c r="C21" i="12"/>
  <c r="B21" i="12"/>
  <c r="A21" i="12"/>
  <c r="O20" i="12"/>
  <c r="N20" i="12"/>
  <c r="M20" i="12"/>
  <c r="L20" i="12"/>
  <c r="K20" i="12"/>
  <c r="J20" i="12"/>
  <c r="I20" i="12"/>
  <c r="H20" i="12"/>
  <c r="D20" i="12"/>
  <c r="C20" i="12"/>
  <c r="B20" i="12"/>
  <c r="A20" i="12"/>
  <c r="O19" i="12"/>
  <c r="N19" i="12"/>
  <c r="M19" i="12"/>
  <c r="L19" i="12"/>
  <c r="K19" i="12"/>
  <c r="J19" i="12"/>
  <c r="I19" i="12"/>
  <c r="H19" i="12"/>
  <c r="D19" i="12"/>
  <c r="C19" i="12"/>
  <c r="B19" i="12"/>
  <c r="A19" i="12"/>
  <c r="O18" i="12"/>
  <c r="N18" i="12"/>
  <c r="M18" i="12"/>
  <c r="L18" i="12"/>
  <c r="K18" i="12"/>
  <c r="J18" i="12"/>
  <c r="I18" i="12"/>
  <c r="H18" i="12"/>
  <c r="D18" i="12"/>
  <c r="C18" i="12"/>
  <c r="B18" i="12"/>
  <c r="A18" i="12"/>
  <c r="O17" i="12"/>
  <c r="N17" i="12"/>
  <c r="M17" i="12"/>
  <c r="L17" i="12"/>
  <c r="K17" i="12"/>
  <c r="J17" i="12"/>
  <c r="I17" i="12"/>
  <c r="H17" i="12"/>
  <c r="D17" i="12"/>
  <c r="C17" i="12"/>
  <c r="B17" i="12"/>
  <c r="A17" i="12"/>
  <c r="O16" i="12"/>
  <c r="N16" i="12"/>
  <c r="M16" i="12"/>
  <c r="L16" i="12"/>
  <c r="K16" i="12"/>
  <c r="J16" i="12"/>
  <c r="I16" i="12"/>
  <c r="H16" i="12"/>
  <c r="D16" i="12"/>
  <c r="C16" i="12"/>
  <c r="B16" i="12"/>
  <c r="A16" i="12"/>
  <c r="O15" i="12"/>
  <c r="N15" i="12"/>
  <c r="M15" i="12"/>
  <c r="L15" i="12"/>
  <c r="K15" i="12"/>
  <c r="J15" i="12"/>
  <c r="I15" i="12"/>
  <c r="H15" i="12"/>
  <c r="D15" i="12"/>
  <c r="C15" i="12"/>
  <c r="B15" i="12"/>
  <c r="A15" i="12"/>
  <c r="O14" i="12"/>
  <c r="N14" i="12"/>
  <c r="M14" i="12"/>
  <c r="L14" i="12"/>
  <c r="K14" i="12"/>
  <c r="J14" i="12"/>
  <c r="I14" i="12"/>
  <c r="H14" i="12"/>
  <c r="D14" i="12"/>
  <c r="C14" i="12"/>
  <c r="B14" i="12"/>
  <c r="A14" i="12"/>
  <c r="O13" i="12"/>
  <c r="N13" i="12"/>
  <c r="M13" i="12"/>
  <c r="L13" i="12"/>
  <c r="K13" i="12"/>
  <c r="J13" i="12"/>
  <c r="I13" i="12"/>
  <c r="H13" i="12"/>
  <c r="D13" i="12"/>
  <c r="C13" i="12"/>
  <c r="B13" i="12"/>
  <c r="A13" i="12"/>
  <c r="O12" i="12"/>
  <c r="N12" i="12"/>
  <c r="M12" i="12"/>
  <c r="L12" i="12"/>
  <c r="K12" i="12"/>
  <c r="J12" i="12"/>
  <c r="I12" i="12"/>
  <c r="H12" i="12"/>
  <c r="D12" i="12"/>
  <c r="C12" i="12"/>
  <c r="B12" i="12"/>
  <c r="A12" i="12"/>
  <c r="O11" i="12"/>
  <c r="N11" i="12"/>
  <c r="M11" i="12"/>
  <c r="L11" i="12"/>
  <c r="K11" i="12"/>
  <c r="J11" i="12"/>
  <c r="I11" i="12"/>
  <c r="H11" i="12"/>
  <c r="D11" i="12"/>
  <c r="C11" i="12"/>
  <c r="B11" i="12"/>
  <c r="A11" i="12"/>
  <c r="O10" i="12"/>
  <c r="N10" i="12"/>
  <c r="M10" i="12"/>
  <c r="L10" i="12"/>
  <c r="K10" i="12"/>
  <c r="J10" i="12"/>
  <c r="I10" i="12"/>
  <c r="H10" i="12"/>
  <c r="D10" i="12"/>
  <c r="C10" i="12"/>
  <c r="B10" i="12"/>
  <c r="A10" i="12"/>
  <c r="O9" i="12"/>
  <c r="N9" i="12"/>
  <c r="M9" i="12"/>
  <c r="L9" i="12"/>
  <c r="K9" i="12"/>
  <c r="J9" i="12"/>
  <c r="I9" i="12"/>
  <c r="H9" i="12"/>
  <c r="D9" i="12"/>
  <c r="C9" i="12"/>
  <c r="B9" i="12"/>
  <c r="A9" i="12"/>
  <c r="O8" i="12"/>
  <c r="N8" i="12"/>
  <c r="M8" i="12"/>
  <c r="L8" i="12"/>
  <c r="K8" i="12"/>
  <c r="J8" i="12"/>
  <c r="I8" i="12"/>
  <c r="H8" i="12"/>
  <c r="D8" i="12"/>
  <c r="C8" i="12"/>
  <c r="B8" i="12"/>
  <c r="A8" i="12"/>
  <c r="O7" i="12"/>
  <c r="N7" i="12"/>
  <c r="M7" i="12"/>
  <c r="L7" i="12"/>
  <c r="K7" i="12"/>
  <c r="J7" i="12"/>
  <c r="I7" i="12"/>
  <c r="H7" i="12"/>
  <c r="D7" i="12"/>
  <c r="C7" i="12"/>
  <c r="B7" i="12"/>
  <c r="A7" i="12"/>
  <c r="O6" i="12"/>
  <c r="N6" i="12"/>
  <c r="M6" i="12"/>
  <c r="L6" i="12"/>
  <c r="K6" i="12"/>
  <c r="J6" i="12"/>
  <c r="I6" i="12"/>
  <c r="H6" i="12"/>
  <c r="D6" i="12"/>
  <c r="C6" i="12"/>
  <c r="B6" i="12"/>
  <c r="A6" i="12"/>
  <c r="O5" i="12"/>
  <c r="N5" i="12"/>
  <c r="M5" i="12"/>
  <c r="L5" i="12"/>
  <c r="K5" i="12"/>
  <c r="J5" i="12"/>
  <c r="I5" i="12"/>
  <c r="H5" i="12"/>
  <c r="E5" i="12"/>
  <c r="D5" i="12"/>
  <c r="C5" i="12"/>
  <c r="B5" i="12"/>
  <c r="A5" i="12"/>
  <c r="O2" i="12"/>
  <c r="A1" i="12"/>
  <c r="R6" i="12" s="1"/>
  <c r="R2" i="12"/>
  <c r="AD1" i="12"/>
  <c r="R4" i="12" l="1"/>
  <c r="R1" i="12"/>
  <c r="R5" i="12"/>
  <c r="R3" i="12"/>
  <c r="E41" i="1" l="1"/>
  <c r="Q2" i="11"/>
  <c r="E3" i="1"/>
  <c r="O85" i="11"/>
  <c r="M85" i="12" s="1"/>
  <c r="M85" i="11"/>
  <c r="L85" i="12" s="1"/>
  <c r="L85" i="11"/>
  <c r="K85" i="12" s="1"/>
  <c r="K85" i="11"/>
  <c r="I85" i="12" s="1"/>
  <c r="J85" i="11"/>
  <c r="J85" i="12" s="1"/>
  <c r="H85" i="11"/>
  <c r="H85" i="12" s="1"/>
  <c r="G85" i="11"/>
  <c r="Q46" i="11"/>
  <c r="F46" i="12" s="1"/>
  <c r="F45" i="12"/>
  <c r="F44" i="12"/>
  <c r="F43" i="12"/>
  <c r="F42" i="12"/>
  <c r="Q34" i="11"/>
  <c r="F34" i="12" s="1"/>
  <c r="Q33" i="11"/>
  <c r="F33" i="12" s="1"/>
  <c r="Q32" i="11"/>
  <c r="F32" i="12" s="1"/>
  <c r="Q31" i="11"/>
  <c r="F31" i="12" s="1"/>
  <c r="Q30" i="11"/>
  <c r="F30" i="12" s="1"/>
  <c r="Q29" i="11"/>
  <c r="F29" i="12" s="1"/>
  <c r="Q28" i="11"/>
  <c r="F28" i="12" s="1"/>
  <c r="Q27" i="11"/>
  <c r="F27" i="12" s="1"/>
  <c r="Q26" i="11"/>
  <c r="F26" i="12" s="1"/>
  <c r="Q25" i="11"/>
  <c r="F25" i="12" s="1"/>
  <c r="Q24" i="11"/>
  <c r="F24" i="12" s="1"/>
  <c r="Q23" i="11"/>
  <c r="F23" i="12" s="1"/>
  <c r="Q22" i="11"/>
  <c r="F22" i="12" s="1"/>
  <c r="Q21" i="11"/>
  <c r="F21" i="12" s="1"/>
  <c r="Q20" i="11"/>
  <c r="F20" i="12" s="1"/>
  <c r="Q19" i="11"/>
  <c r="F19" i="12" s="1"/>
  <c r="Q18" i="11"/>
  <c r="F18" i="12" s="1"/>
  <c r="Q17" i="11"/>
  <c r="F17" i="12" s="1"/>
  <c r="Q16" i="11"/>
  <c r="F16" i="12" s="1"/>
  <c r="Q15" i="11"/>
  <c r="F15" i="12" s="1"/>
  <c r="Q14" i="11"/>
  <c r="F14" i="12" s="1"/>
  <c r="Q13" i="11"/>
  <c r="F13" i="12" s="1"/>
  <c r="Q12" i="11"/>
  <c r="F12" i="12" s="1"/>
  <c r="Q11" i="11"/>
  <c r="F11" i="12" s="1"/>
  <c r="Q10" i="11"/>
  <c r="F10" i="12" s="1"/>
  <c r="Q9" i="11"/>
  <c r="F9" i="12" s="1"/>
  <c r="Q8" i="11"/>
  <c r="F8" i="12" s="1"/>
  <c r="Q7" i="11"/>
  <c r="F7" i="12" s="1"/>
  <c r="Q6" i="11"/>
  <c r="F6" i="12" s="1"/>
  <c r="Q5" i="11"/>
  <c r="H89" i="11" l="1"/>
  <c r="H89" i="12" s="1"/>
  <c r="Q85" i="11"/>
  <c r="F85" i="12" s="1"/>
  <c r="F5" i="12"/>
  <c r="D1" i="10"/>
  <c r="F1" i="10"/>
  <c r="C26" i="8" l="1"/>
  <c r="C20" i="8"/>
  <c r="C5" i="8"/>
  <c r="J2" i="8"/>
  <c r="C19" i="8"/>
  <c r="I66" i="1" l="1"/>
  <c r="AF1" i="7" l="1"/>
  <c r="AS44" i="7" l="1"/>
  <c r="AS39" i="7"/>
  <c r="AR39" i="7"/>
  <c r="AQ39" i="7"/>
  <c r="AP39" i="7"/>
  <c r="AO39" i="7"/>
  <c r="AN39" i="7"/>
  <c r="AM39" i="7"/>
  <c r="AL39" i="7"/>
  <c r="AK39" i="7"/>
  <c r="AJ39" i="7"/>
  <c r="AS38" i="7"/>
  <c r="AR38" i="7"/>
  <c r="AQ38" i="7"/>
  <c r="AP38" i="7"/>
  <c r="AO38" i="7"/>
  <c r="AN38" i="7"/>
  <c r="AM38" i="7"/>
  <c r="AL38" i="7"/>
  <c r="AK38" i="7"/>
  <c r="AJ38" i="7"/>
  <c r="AS37" i="7"/>
  <c r="AR37" i="7"/>
  <c r="AQ37" i="7"/>
  <c r="AP37" i="7"/>
  <c r="AO37" i="7"/>
  <c r="AN37" i="7"/>
  <c r="AM37" i="7"/>
  <c r="AL37" i="7"/>
  <c r="AK37" i="7"/>
  <c r="AJ37" i="7"/>
  <c r="AS36" i="7"/>
  <c r="AR36" i="7"/>
  <c r="AQ36" i="7"/>
  <c r="AP36" i="7"/>
  <c r="AO36" i="7"/>
  <c r="AN36" i="7"/>
  <c r="AM36" i="7"/>
  <c r="AL36" i="7"/>
  <c r="AK36" i="7"/>
  <c r="AJ36" i="7"/>
  <c r="AS35" i="7"/>
  <c r="AR35" i="7"/>
  <c r="AQ35" i="7"/>
  <c r="AP35" i="7"/>
  <c r="AO35" i="7"/>
  <c r="AN35" i="7"/>
  <c r="AM35" i="7"/>
  <c r="AL35" i="7"/>
  <c r="AK35" i="7"/>
  <c r="AJ35" i="7"/>
  <c r="AS34" i="7"/>
  <c r="AR34" i="7"/>
  <c r="AQ34" i="7"/>
  <c r="AP34" i="7"/>
  <c r="AO34" i="7"/>
  <c r="AN34" i="7"/>
  <c r="AM34" i="7"/>
  <c r="AL34" i="7"/>
  <c r="AK34" i="7"/>
  <c r="AJ34" i="7"/>
  <c r="AS33" i="7"/>
  <c r="AR33" i="7"/>
  <c r="AQ33" i="7"/>
  <c r="AP33" i="7"/>
  <c r="AO33" i="7"/>
  <c r="AN33" i="7"/>
  <c r="AM33" i="7"/>
  <c r="AL33" i="7"/>
  <c r="AK33" i="7"/>
  <c r="AJ33" i="7"/>
  <c r="AS32" i="7"/>
  <c r="AR32" i="7"/>
  <c r="AQ32" i="7"/>
  <c r="AP32" i="7"/>
  <c r="AO32" i="7"/>
  <c r="AN32" i="7"/>
  <c r="AM32" i="7"/>
  <c r="AL32" i="7"/>
  <c r="AK32" i="7"/>
  <c r="AJ32" i="7"/>
  <c r="AS31" i="7"/>
  <c r="AS28" i="7" s="1"/>
  <c r="AR31" i="7"/>
  <c r="AQ31" i="7"/>
  <c r="AP31" i="7"/>
  <c r="AO31" i="7"/>
  <c r="AO28" i="7" s="1"/>
  <c r="AN31" i="7"/>
  <c r="AM31" i="7"/>
  <c r="AL31" i="7"/>
  <c r="AK31" i="7"/>
  <c r="AK28" i="7" s="1"/>
  <c r="AS30" i="7"/>
  <c r="AQ30" i="7"/>
  <c r="AO30" i="7"/>
  <c r="AM30" i="7"/>
  <c r="AK30" i="7"/>
  <c r="D39" i="7"/>
  <c r="AD27" i="7"/>
  <c r="AD24" i="7"/>
  <c r="AC24" i="7"/>
  <c r="AD25" i="7" s="1"/>
  <c r="X24" i="7"/>
  <c r="W24" i="7"/>
  <c r="X25" i="7" s="1"/>
  <c r="R24" i="7"/>
  <c r="Q24" i="7"/>
  <c r="L24" i="7"/>
  <c r="K24" i="7"/>
  <c r="L25" i="7" s="1"/>
  <c r="F24" i="7"/>
  <c r="E24" i="7"/>
  <c r="F25" i="7" s="1"/>
  <c r="BC23" i="7"/>
  <c r="AF23" i="7" s="1"/>
  <c r="BM23" i="7" s="1"/>
  <c r="BB23" i="7"/>
  <c r="BA23" i="7"/>
  <c r="Z23" i="7" s="1"/>
  <c r="BK23" i="7" s="1"/>
  <c r="AZ23" i="7"/>
  <c r="AY23" i="7"/>
  <c r="T23" i="7" s="1"/>
  <c r="BI23" i="7" s="1"/>
  <c r="AX23" i="7"/>
  <c r="AW23" i="7"/>
  <c r="N23" i="7" s="1"/>
  <c r="BG23" i="7" s="1"/>
  <c r="AV23" i="7"/>
  <c r="AU23" i="7"/>
  <c r="H23" i="7" s="1"/>
  <c r="BE23" i="7" s="1"/>
  <c r="AT23" i="7"/>
  <c r="AE23" i="7"/>
  <c r="Y23" i="7"/>
  <c r="BJ23" i="7" s="1"/>
  <c r="S23" i="7"/>
  <c r="M23" i="7"/>
  <c r="BF23" i="7" s="1"/>
  <c r="G23" i="7"/>
  <c r="BJ22" i="7"/>
  <c r="BF22" i="7"/>
  <c r="BC22" i="7"/>
  <c r="AF22" i="7" s="1"/>
  <c r="BM22" i="7" s="1"/>
  <c r="BB22" i="7"/>
  <c r="BA22" i="7"/>
  <c r="AZ22" i="7"/>
  <c r="AY22" i="7"/>
  <c r="T22" i="7" s="1"/>
  <c r="BI22" i="7" s="1"/>
  <c r="AX22" i="7"/>
  <c r="AW22" i="7"/>
  <c r="AV22" i="7"/>
  <c r="AU22" i="7"/>
  <c r="H22" i="7" s="1"/>
  <c r="BE22" i="7" s="1"/>
  <c r="AT22" i="7"/>
  <c r="AE22" i="7"/>
  <c r="BL22" i="7" s="1"/>
  <c r="Z22" i="7"/>
  <c r="BK22" i="7" s="1"/>
  <c r="Y22" i="7"/>
  <c r="S22" i="7"/>
  <c r="BH22" i="7" s="1"/>
  <c r="N22" i="7"/>
  <c r="BG22" i="7" s="1"/>
  <c r="M22" i="7"/>
  <c r="G22" i="7"/>
  <c r="BD22" i="7" s="1"/>
  <c r="BC21" i="7"/>
  <c r="BB21" i="7"/>
  <c r="AE21" i="7" s="1"/>
  <c r="BA21" i="7"/>
  <c r="AZ21" i="7"/>
  <c r="Y21" i="7" s="1"/>
  <c r="AY21" i="7"/>
  <c r="AX21" i="7"/>
  <c r="S21" i="7" s="1"/>
  <c r="AW21" i="7"/>
  <c r="AV21" i="7"/>
  <c r="M21" i="7" s="1"/>
  <c r="AU21" i="7"/>
  <c r="AT21" i="7"/>
  <c r="G21" i="7" s="1"/>
  <c r="AF21" i="7"/>
  <c r="BM21" i="7" s="1"/>
  <c r="Z21" i="7"/>
  <c r="BK21" i="7" s="1"/>
  <c r="T21" i="7"/>
  <c r="BI21" i="7" s="1"/>
  <c r="N21" i="7"/>
  <c r="BG21" i="7" s="1"/>
  <c r="H21" i="7"/>
  <c r="BE21" i="7" s="1"/>
  <c r="BC20" i="7"/>
  <c r="AF20" i="7" s="1"/>
  <c r="BM20" i="7" s="1"/>
  <c r="BB20" i="7"/>
  <c r="BA20" i="7"/>
  <c r="Z20" i="7" s="1"/>
  <c r="BK20" i="7" s="1"/>
  <c r="AZ20" i="7"/>
  <c r="AY20" i="7"/>
  <c r="T20" i="7" s="1"/>
  <c r="BI20" i="7" s="1"/>
  <c r="AX20" i="7"/>
  <c r="AW20" i="7"/>
  <c r="N20" i="7" s="1"/>
  <c r="BG20" i="7" s="1"/>
  <c r="AV20" i="7"/>
  <c r="AU20" i="7"/>
  <c r="H20" i="7" s="1"/>
  <c r="BE20" i="7" s="1"/>
  <c r="AT20" i="7"/>
  <c r="AE20" i="7"/>
  <c r="BL20" i="7" s="1"/>
  <c r="Y20" i="7"/>
  <c r="BJ20" i="7" s="1"/>
  <c r="S20" i="7"/>
  <c r="BH20" i="7" s="1"/>
  <c r="M20" i="7"/>
  <c r="BF20" i="7" s="1"/>
  <c r="G20" i="7"/>
  <c r="BD20" i="7" s="1"/>
  <c r="BC19" i="7"/>
  <c r="BB19" i="7"/>
  <c r="AE19" i="7" s="1"/>
  <c r="BA19" i="7"/>
  <c r="AZ19" i="7"/>
  <c r="AY19" i="7"/>
  <c r="AX19" i="7"/>
  <c r="S19" i="7" s="1"/>
  <c r="AW19" i="7"/>
  <c r="AV19" i="7"/>
  <c r="AU19" i="7"/>
  <c r="AT19" i="7"/>
  <c r="G19" i="7" s="1"/>
  <c r="AF19" i="7"/>
  <c r="BM19" i="7" s="1"/>
  <c r="Z19" i="7"/>
  <c r="BK19" i="7" s="1"/>
  <c r="Y19" i="7"/>
  <c r="BJ19" i="7" s="1"/>
  <c r="T19" i="7"/>
  <c r="BI19" i="7" s="1"/>
  <c r="N19" i="7"/>
  <c r="BG19" i="7" s="1"/>
  <c r="M19" i="7"/>
  <c r="BF19" i="7" s="1"/>
  <c r="H19" i="7"/>
  <c r="BE19" i="7" s="1"/>
  <c r="BM18" i="7"/>
  <c r="BI18" i="7"/>
  <c r="BE18" i="7"/>
  <c r="BC18" i="7"/>
  <c r="AF18" i="7" s="1"/>
  <c r="BB18" i="7"/>
  <c r="BA18" i="7"/>
  <c r="AZ18" i="7"/>
  <c r="AY18" i="7"/>
  <c r="T18" i="7" s="1"/>
  <c r="AX18" i="7"/>
  <c r="AW18" i="7"/>
  <c r="AV18" i="7"/>
  <c r="AU18" i="7"/>
  <c r="H18" i="7" s="1"/>
  <c r="AT18" i="7"/>
  <c r="AE18" i="7"/>
  <c r="BL18" i="7" s="1"/>
  <c r="Z18" i="7"/>
  <c r="BK18" i="7" s="1"/>
  <c r="Y18" i="7"/>
  <c r="BJ18" i="7" s="1"/>
  <c r="S18" i="7"/>
  <c r="BH18" i="7" s="1"/>
  <c r="N18" i="7"/>
  <c r="BG18" i="7" s="1"/>
  <c r="M18" i="7"/>
  <c r="BF18" i="7" s="1"/>
  <c r="G18" i="7"/>
  <c r="BD18" i="7" s="1"/>
  <c r="BC17" i="7"/>
  <c r="BB17" i="7"/>
  <c r="AE17" i="7" s="1"/>
  <c r="BA17" i="7"/>
  <c r="AZ17" i="7"/>
  <c r="Y17" i="7" s="1"/>
  <c r="AY17" i="7"/>
  <c r="AX17" i="7"/>
  <c r="S17" i="7" s="1"/>
  <c r="AW17" i="7"/>
  <c r="AV17" i="7"/>
  <c r="M17" i="7" s="1"/>
  <c r="AU17" i="7"/>
  <c r="AT17" i="7"/>
  <c r="G17" i="7" s="1"/>
  <c r="AF17" i="7"/>
  <c r="BM17" i="7" s="1"/>
  <c r="Z17" i="7"/>
  <c r="BK17" i="7" s="1"/>
  <c r="T17" i="7"/>
  <c r="BI17" i="7" s="1"/>
  <c r="N17" i="7"/>
  <c r="BG17" i="7" s="1"/>
  <c r="H17" i="7"/>
  <c r="BE17" i="7" s="1"/>
  <c r="BC16" i="7"/>
  <c r="AF16" i="7" s="1"/>
  <c r="BM16" i="7" s="1"/>
  <c r="BB16" i="7"/>
  <c r="BA16" i="7"/>
  <c r="Z16" i="7" s="1"/>
  <c r="BK16" i="7" s="1"/>
  <c r="AZ16" i="7"/>
  <c r="AY16" i="7"/>
  <c r="T16" i="7" s="1"/>
  <c r="BI16" i="7" s="1"/>
  <c r="AX16" i="7"/>
  <c r="AW16" i="7"/>
  <c r="N16" i="7" s="1"/>
  <c r="BG16" i="7" s="1"/>
  <c r="AV16" i="7"/>
  <c r="AU16" i="7"/>
  <c r="H16" i="7" s="1"/>
  <c r="BE16" i="7" s="1"/>
  <c r="AT16" i="7"/>
  <c r="AE16" i="7"/>
  <c r="BL16" i="7" s="1"/>
  <c r="Y16" i="7"/>
  <c r="BJ16" i="7" s="1"/>
  <c r="S16" i="7"/>
  <c r="BH16" i="7" s="1"/>
  <c r="M16" i="7"/>
  <c r="BF16" i="7" s="1"/>
  <c r="G16" i="7"/>
  <c r="BD16" i="7" s="1"/>
  <c r="BJ15" i="7"/>
  <c r="BF15" i="7"/>
  <c r="BC15" i="7"/>
  <c r="AF15" i="7" s="1"/>
  <c r="BM15" i="7" s="1"/>
  <c r="BB15" i="7"/>
  <c r="BA15" i="7"/>
  <c r="AZ15" i="7"/>
  <c r="AY15" i="7"/>
  <c r="T15" i="7" s="1"/>
  <c r="BI15" i="7" s="1"/>
  <c r="AX15" i="7"/>
  <c r="AW15" i="7"/>
  <c r="AV15" i="7"/>
  <c r="AU15" i="7"/>
  <c r="H15" i="7" s="1"/>
  <c r="BE15" i="7" s="1"/>
  <c r="AT15" i="7"/>
  <c r="G15" i="7" s="1"/>
  <c r="BD15" i="7" s="1"/>
  <c r="AE15" i="7"/>
  <c r="BL15" i="7" s="1"/>
  <c r="Z15" i="7"/>
  <c r="BK15" i="7" s="1"/>
  <c r="Y15" i="7"/>
  <c r="S15" i="7"/>
  <c r="BH15" i="7" s="1"/>
  <c r="N15" i="7"/>
  <c r="BG15" i="7" s="1"/>
  <c r="M15" i="7"/>
  <c r="BC14" i="7"/>
  <c r="BB14" i="7"/>
  <c r="AE14" i="7" s="1"/>
  <c r="BA14" i="7"/>
  <c r="AZ14" i="7"/>
  <c r="Y14" i="7" s="1"/>
  <c r="AY14" i="7"/>
  <c r="AX14" i="7"/>
  <c r="S14" i="7" s="1"/>
  <c r="AW14" i="7"/>
  <c r="AV14" i="7"/>
  <c r="M14" i="7" s="1"/>
  <c r="AU14" i="7"/>
  <c r="AT14" i="7"/>
  <c r="AF14" i="7"/>
  <c r="Z14" i="7"/>
  <c r="T14" i="7"/>
  <c r="N14" i="7"/>
  <c r="H14" i="7"/>
  <c r="B14" i="7"/>
  <c r="C14" i="7" s="1"/>
  <c r="AO8" i="7"/>
  <c r="AO11" i="7" s="1"/>
  <c r="C6" i="7"/>
  <c r="S5" i="7"/>
  <c r="N5" i="7"/>
  <c r="AO3" i="7"/>
  <c r="D14" i="7" l="1"/>
  <c r="BN14" i="7"/>
  <c r="AL30" i="7"/>
  <c r="AR30" i="7"/>
  <c r="AR28" i="7" s="1"/>
  <c r="AS27" i="7" s="1"/>
  <c r="AN30" i="7"/>
  <c r="AN28" i="7" s="1"/>
  <c r="AO27" i="7" s="1"/>
  <c r="AP30" i="7"/>
  <c r="AQ41" i="7" s="1"/>
  <c r="AT24" i="7"/>
  <c r="AJ31" i="7"/>
  <c r="AM28" i="7"/>
  <c r="AQ28" i="7"/>
  <c r="AP7" i="7"/>
  <c r="I40" i="1"/>
  <c r="AS14" i="7"/>
  <c r="AQ14" i="7"/>
  <c r="AO14" i="7"/>
  <c r="AM14" i="7"/>
  <c r="AK14" i="7"/>
  <c r="AR14" i="7"/>
  <c r="AP14" i="7"/>
  <c r="AN14" i="7"/>
  <c r="AL14" i="7"/>
  <c r="AJ14" i="7"/>
  <c r="BF17" i="7"/>
  <c r="BJ17" i="7"/>
  <c r="S24" i="7"/>
  <c r="AN42" i="7"/>
  <c r="U14" i="7"/>
  <c r="BH14" i="7"/>
  <c r="AE24" i="7"/>
  <c r="AR42" i="7"/>
  <c r="AG14" i="7"/>
  <c r="BL14" i="7"/>
  <c r="BF21" i="7"/>
  <c r="BJ21" i="7"/>
  <c r="AO7" i="7"/>
  <c r="AO10" i="7"/>
  <c r="AK43" i="7"/>
  <c r="AL42" i="7"/>
  <c r="M24" i="7"/>
  <c r="O14" i="7"/>
  <c r="AO43" i="7"/>
  <c r="T24" i="7"/>
  <c r="AP42" i="7"/>
  <c r="AA14" i="7"/>
  <c r="BF14" i="7"/>
  <c r="BJ14" i="7"/>
  <c r="BJ24" i="7" s="1"/>
  <c r="A15" i="7"/>
  <c r="BD17" i="7"/>
  <c r="BH17" i="7"/>
  <c r="BL17" i="7"/>
  <c r="BD21" i="7"/>
  <c r="BH21" i="7"/>
  <c r="BL21" i="7"/>
  <c r="AF24" i="7"/>
  <c r="AE25" i="7"/>
  <c r="AM43" i="7"/>
  <c r="AO9" i="7"/>
  <c r="G14" i="7"/>
  <c r="AJ30" i="7" s="1"/>
  <c r="N24" i="7"/>
  <c r="Z24" i="7"/>
  <c r="AQ43" i="7"/>
  <c r="AT25" i="7"/>
  <c r="BE14" i="7"/>
  <c r="BG14" i="7"/>
  <c r="BG24" i="7" s="1"/>
  <c r="BI14" i="7"/>
  <c r="BI24" i="7" s="1"/>
  <c r="BK14" i="7"/>
  <c r="BK24" i="7" s="1"/>
  <c r="BM14" i="7"/>
  <c r="BM24" i="7" s="1"/>
  <c r="BD19" i="7"/>
  <c r="BH19" i="7"/>
  <c r="BL19" i="7"/>
  <c r="BD23" i="7"/>
  <c r="BH23" i="7"/>
  <c r="BL23" i="7"/>
  <c r="H24" i="7"/>
  <c r="Y24" i="7"/>
  <c r="A39" i="7"/>
  <c r="L30" i="7"/>
  <c r="AK24" i="7"/>
  <c r="R25" i="7"/>
  <c r="AK25" i="7" s="1"/>
  <c r="AJ24" i="7"/>
  <c r="I30" i="7"/>
  <c r="G30" i="7"/>
  <c r="BD27" i="7"/>
  <c r="AM41" i="7"/>
  <c r="AL28" i="7"/>
  <c r="AP28" i="7"/>
  <c r="I26" i="5"/>
  <c r="H25" i="5"/>
  <c r="AS41" i="7" l="1"/>
  <c r="AO41" i="7"/>
  <c r="S25" i="7"/>
  <c r="AK41" i="7"/>
  <c r="AJ28" i="7"/>
  <c r="AI26" i="7"/>
  <c r="AQ27" i="7"/>
  <c r="Y25" i="7"/>
  <c r="AM27" i="7"/>
  <c r="M25" i="7"/>
  <c r="G24" i="7"/>
  <c r="AJ42" i="7"/>
  <c r="AK44" i="7" s="1"/>
  <c r="I14" i="7"/>
  <c r="BD14" i="7"/>
  <c r="AS43" i="7"/>
  <c r="AM44" i="7" s="1"/>
  <c r="S7" i="7"/>
  <c r="Q7" i="7"/>
  <c r="T6" i="7"/>
  <c r="R6" i="7"/>
  <c r="P6" i="7"/>
  <c r="T7" i="7"/>
  <c r="R7" i="7"/>
  <c r="V6" i="7"/>
  <c r="S6" i="7"/>
  <c r="Q6" i="7"/>
  <c r="E40" i="7"/>
  <c r="C40" i="7"/>
  <c r="H39" i="7"/>
  <c r="AM24" i="7"/>
  <c r="BD26" i="7"/>
  <c r="BE24" i="7"/>
  <c r="B15" i="7"/>
  <c r="BF24" i="7"/>
  <c r="BL24" i="7"/>
  <c r="BH24" i="7"/>
  <c r="M1" i="5"/>
  <c r="AJ41" i="7" l="1"/>
  <c r="AI41" i="7" s="1"/>
  <c r="AK27" i="7"/>
  <c r="AL26" i="7" s="1"/>
  <c r="AN7" i="7" s="1"/>
  <c r="G25" i="7"/>
  <c r="AL25" i="7" s="1"/>
  <c r="A16" i="7"/>
  <c r="C15" i="7"/>
  <c r="BD24" i="7"/>
  <c r="BD25" i="7"/>
  <c r="BD28" i="7" s="1"/>
  <c r="AO44" i="7"/>
  <c r="AQ44" i="7" s="1"/>
  <c r="AR44" i="7" s="1"/>
  <c r="D27" i="7"/>
  <c r="E76" i="1"/>
  <c r="E75" i="1"/>
  <c r="D76" i="1"/>
  <c r="L87" i="11" s="1"/>
  <c r="D75" i="1"/>
  <c r="K87" i="12" l="1"/>
  <c r="L89" i="11"/>
  <c r="K89" i="12" s="1"/>
  <c r="D15" i="7"/>
  <c r="BN15" i="7"/>
  <c r="AK26" i="7"/>
  <c r="K26" i="7"/>
  <c r="B16" i="7"/>
  <c r="BD30" i="7"/>
  <c r="AC39" i="7" s="1"/>
  <c r="BD29" i="7"/>
  <c r="AR15" i="7"/>
  <c r="AP15" i="7"/>
  <c r="AN15" i="7"/>
  <c r="AL15" i="7"/>
  <c r="AJ15" i="7"/>
  <c r="AS15" i="7"/>
  <c r="AQ15" i="7"/>
  <c r="AO15" i="7"/>
  <c r="AM15" i="7"/>
  <c r="AK15" i="7"/>
  <c r="O15" i="7"/>
  <c r="U15" i="7"/>
  <c r="AA15" i="7"/>
  <c r="I15" i="7"/>
  <c r="AG15" i="7"/>
  <c r="E23" i="1"/>
  <c r="D23" i="1"/>
  <c r="S26" i="7" l="1"/>
  <c r="AF42" i="7"/>
  <c r="AB39" i="7"/>
  <c r="AF40" i="7"/>
  <c r="A17" i="7"/>
  <c r="C16" i="7"/>
  <c r="D4" i="5"/>
  <c r="D16" i="7" l="1"/>
  <c r="BN16" i="7"/>
  <c r="AR16" i="7"/>
  <c r="AP16" i="7"/>
  <c r="AN16" i="7"/>
  <c r="AL16" i="7"/>
  <c r="AJ16" i="7"/>
  <c r="AQ16" i="7"/>
  <c r="AM16" i="7"/>
  <c r="AS16" i="7"/>
  <c r="AO16" i="7"/>
  <c r="AK16" i="7"/>
  <c r="U16" i="7"/>
  <c r="O16" i="7"/>
  <c r="I16" i="7"/>
  <c r="AG16" i="7"/>
  <c r="AA16" i="7"/>
  <c r="B17" i="7"/>
  <c r="M20" i="5"/>
  <c r="M19" i="5"/>
  <c r="C17" i="7" l="1"/>
  <c r="A18" i="7"/>
  <c r="D5" i="5"/>
  <c r="K26" i="5"/>
  <c r="M23" i="5"/>
  <c r="M22" i="5"/>
  <c r="M21" i="5"/>
  <c r="M18" i="5"/>
  <c r="M17" i="5"/>
  <c r="M16" i="5"/>
  <c r="M15" i="5"/>
  <c r="M14" i="5"/>
  <c r="M13" i="5"/>
  <c r="M12" i="5"/>
  <c r="M11" i="5"/>
  <c r="M10" i="5"/>
  <c r="M9" i="5"/>
  <c r="C6" i="5"/>
  <c r="F5" i="5"/>
  <c r="BN17" i="7" l="1"/>
  <c r="D17" i="7"/>
  <c r="D18" i="7"/>
  <c r="B18" i="7"/>
  <c r="AS17" i="7"/>
  <c r="AQ17" i="7"/>
  <c r="AO17" i="7"/>
  <c r="AM17" i="7"/>
  <c r="AK17" i="7"/>
  <c r="AR17" i="7"/>
  <c r="AN17" i="7"/>
  <c r="AJ17" i="7"/>
  <c r="AP17" i="7"/>
  <c r="AL17" i="7"/>
  <c r="O17" i="7"/>
  <c r="AA17" i="7"/>
  <c r="I17" i="7"/>
  <c r="AG17" i="7"/>
  <c r="U17" i="7"/>
  <c r="D6" i="5"/>
  <c r="M24" i="5"/>
  <c r="L27" i="5"/>
  <c r="A19" i="7" l="1"/>
  <c r="C18" i="7"/>
  <c r="BN18" i="7" s="1"/>
  <c r="D74" i="1"/>
  <c r="K29" i="5"/>
  <c r="K28" i="5"/>
  <c r="G27" i="5"/>
  <c r="F27" i="5"/>
  <c r="I52" i="1"/>
  <c r="AR18" i="7" l="1"/>
  <c r="AP18" i="7"/>
  <c r="AN18" i="7"/>
  <c r="AL18" i="7"/>
  <c r="AJ18" i="7"/>
  <c r="AS18" i="7"/>
  <c r="AO18" i="7"/>
  <c r="AK18" i="7"/>
  <c r="AQ18" i="7"/>
  <c r="AM18" i="7"/>
  <c r="AG18" i="7"/>
  <c r="U18" i="7"/>
  <c r="I18" i="7"/>
  <c r="O18" i="7"/>
  <c r="AA18" i="7"/>
  <c r="B19" i="7"/>
  <c r="D19" i="7"/>
  <c r="E74" i="1"/>
  <c r="D77" i="1"/>
  <c r="M53" i="1"/>
  <c r="C19" i="7" l="1"/>
  <c r="BN19" i="7" s="1"/>
  <c r="A20" i="7"/>
  <c r="L46" i="1"/>
  <c r="L6" i="1"/>
  <c r="F55" i="1" l="1"/>
  <c r="L55" i="1" s="1"/>
  <c r="D20" i="7"/>
  <c r="B20" i="7"/>
  <c r="AS19" i="7"/>
  <c r="AQ19" i="7"/>
  <c r="AO19" i="7"/>
  <c r="AM19" i="7"/>
  <c r="AK19" i="7"/>
  <c r="AP19" i="7"/>
  <c r="AL19" i="7"/>
  <c r="AR19" i="7"/>
  <c r="AN19" i="7"/>
  <c r="AJ19" i="7"/>
  <c r="O19" i="7"/>
  <c r="I19" i="7"/>
  <c r="AG19" i="7"/>
  <c r="AA19" i="7"/>
  <c r="U19" i="7"/>
  <c r="N53" i="1"/>
  <c r="E49" i="1"/>
  <c r="B93" i="12" l="1"/>
  <c r="D58" i="1"/>
  <c r="G58" i="1"/>
  <c r="A21" i="7"/>
  <c r="C20" i="7"/>
  <c r="BN20" i="7" s="1"/>
  <c r="AR20" i="7" l="1"/>
  <c r="AP20" i="7"/>
  <c r="AN20" i="7"/>
  <c r="AL20" i="7"/>
  <c r="AJ20" i="7"/>
  <c r="AQ20" i="7"/>
  <c r="AM20" i="7"/>
  <c r="AS20" i="7"/>
  <c r="AO20" i="7"/>
  <c r="AK20" i="7"/>
  <c r="I20" i="7"/>
  <c r="AG20" i="7"/>
  <c r="O20" i="7"/>
  <c r="U20" i="7"/>
  <c r="AA20" i="7"/>
  <c r="D21" i="7"/>
  <c r="B21" i="7"/>
  <c r="C21" i="7" l="1"/>
  <c r="BN21" i="7" s="1"/>
  <c r="A22" i="7"/>
  <c r="D22" i="7" l="1"/>
  <c r="B22" i="7"/>
  <c r="AS21" i="7"/>
  <c r="AQ21" i="7"/>
  <c r="AO21" i="7"/>
  <c r="AM21" i="7"/>
  <c r="AK21" i="7"/>
  <c r="AR21" i="7"/>
  <c r="AN21" i="7"/>
  <c r="AJ21" i="7"/>
  <c r="AP21" i="7"/>
  <c r="AL21" i="7"/>
  <c r="I21" i="7"/>
  <c r="AG21" i="7"/>
  <c r="O21" i="7"/>
  <c r="AA21" i="7"/>
  <c r="U21" i="7"/>
  <c r="A23" i="7" l="1"/>
  <c r="C22" i="7"/>
  <c r="BN22" i="7" s="1"/>
  <c r="AR22" i="7" l="1"/>
  <c r="AP22" i="7"/>
  <c r="AN22" i="7"/>
  <c r="AL22" i="7"/>
  <c r="AJ22" i="7"/>
  <c r="AS22" i="7"/>
  <c r="AO22" i="7"/>
  <c r="AK22" i="7"/>
  <c r="AQ22" i="7"/>
  <c r="AM22" i="7"/>
  <c r="AG22" i="7"/>
  <c r="U22" i="7"/>
  <c r="I22" i="7"/>
  <c r="AA22" i="7"/>
  <c r="O22" i="7"/>
  <c r="D23" i="7"/>
  <c r="B23" i="7"/>
  <c r="C23" i="7" s="1"/>
  <c r="BN23" i="7" s="1"/>
  <c r="BN24" i="7" s="1"/>
  <c r="N26" i="7" s="1"/>
  <c r="AR23" i="7" l="1"/>
  <c r="AP23" i="7"/>
  <c r="AN23" i="7"/>
  <c r="AL23" i="7"/>
  <c r="AJ23" i="7"/>
  <c r="AQ23" i="7"/>
  <c r="AM23" i="7"/>
  <c r="AO23" i="7"/>
  <c r="AS23" i="7"/>
  <c r="AK23" i="7"/>
  <c r="I23" i="7"/>
  <c r="I24" i="7" s="1"/>
  <c r="U23" i="7"/>
  <c r="U24" i="7" s="1"/>
  <c r="AG23" i="7"/>
  <c r="AG24" i="7" s="1"/>
  <c r="AA23" i="7"/>
  <c r="AA24" i="7" s="1"/>
  <c r="O23" i="7"/>
  <c r="O24" i="7" s="1"/>
  <c r="AL24" i="7" l="1"/>
  <c r="AN24" i="7" s="1"/>
  <c r="AO24" i="7" l="1"/>
  <c r="L26" i="7"/>
  <c r="S27" i="7"/>
  <c r="S28" i="7" s="1"/>
  <c r="A26" i="7" l="1"/>
  <c r="A27" i="7"/>
  <c r="AP24" i="7"/>
  <c r="AQ24" i="7" s="1"/>
  <c r="A28" i="7" l="1"/>
  <c r="AF26" i="7"/>
  <c r="D28" i="7" l="1"/>
  <c r="D29" i="7"/>
  <c r="A29" i="7"/>
  <c r="D40" i="7" l="1"/>
  <c r="E40" i="1"/>
  <c r="M27" i="3"/>
  <c r="M28" i="3"/>
  <c r="M29" i="3"/>
  <c r="M30" i="3"/>
  <c r="M31" i="3"/>
  <c r="M32" i="3"/>
  <c r="M33" i="3"/>
  <c r="M34" i="3"/>
  <c r="M35" i="3"/>
  <c r="M36" i="3"/>
  <c r="M37" i="3"/>
  <c r="M38" i="3"/>
  <c r="M39" i="3"/>
  <c r="M40" i="3"/>
  <c r="M41" i="3"/>
  <c r="M42" i="3"/>
  <c r="M43" i="3"/>
  <c r="M44" i="3"/>
  <c r="M45" i="3"/>
  <c r="M46" i="3"/>
  <c r="M47" i="3"/>
  <c r="M48" i="3"/>
  <c r="M49" i="3"/>
  <c r="M50" i="3"/>
  <c r="M51" i="3"/>
  <c r="M26" i="3"/>
  <c r="M25" i="3"/>
  <c r="M24" i="3"/>
  <c r="L48" i="1" s="1"/>
  <c r="H50" i="1" s="1"/>
  <c r="M23" i="3"/>
  <c r="S39" i="7" l="1"/>
  <c r="AO26" i="7"/>
  <c r="AP26" i="7" s="1"/>
  <c r="L53" i="1"/>
  <c r="L52" i="1"/>
  <c r="F49" i="1"/>
  <c r="L49" i="1"/>
  <c r="M50" i="1" s="1"/>
  <c r="G50" i="1"/>
  <c r="M87" i="11" l="1"/>
  <c r="L87" i="12"/>
  <c r="M89" i="11"/>
  <c r="L89" i="12" s="1"/>
  <c r="AR26" i="7"/>
  <c r="AQ26" i="7"/>
  <c r="I53" i="1"/>
  <c r="I50" i="1"/>
  <c r="L50" i="1"/>
  <c r="H22" i="1" s="1"/>
  <c r="F20" i="1"/>
  <c r="H23" i="1" l="1"/>
  <c r="L25" i="1"/>
  <c r="G35" i="1" l="1"/>
  <c r="E27" i="1" l="1"/>
  <c r="F27" i="1" s="1"/>
  <c r="D27" i="1"/>
  <c r="J19" i="1" l="1"/>
  <c r="G18" i="1"/>
  <c r="L40" i="1" l="1"/>
  <c r="J38" i="1"/>
  <c r="E24" i="1"/>
  <c r="L14" i="1" l="1"/>
  <c r="C16" i="1"/>
  <c r="C7" i="1" l="1"/>
  <c r="A1" i="13" s="1"/>
  <c r="A2" i="11" l="1"/>
  <c r="A2" i="12"/>
  <c r="C2" i="8"/>
  <c r="R1" i="7"/>
  <c r="G59" i="1"/>
  <c r="L1" i="5"/>
  <c r="G16" i="1"/>
  <c r="H16" i="1" l="1"/>
  <c r="E28" i="1" s="1"/>
  <c r="E30" i="1"/>
  <c r="F30" i="1" s="1"/>
  <c r="J3" i="3"/>
  <c r="J4" i="3" s="1"/>
  <c r="J5" i="3" s="1"/>
  <c r="J6" i="3" s="1"/>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J48" i="3" s="1"/>
  <c r="J49" i="3" s="1"/>
  <c r="J50" i="3" s="1"/>
  <c r="J51" i="3" s="1"/>
  <c r="J52" i="3" s="1"/>
  <c r="J53" i="3" s="1"/>
  <c r="J54" i="3" s="1"/>
  <c r="J55" i="3" s="1"/>
  <c r="J56" i="3" s="1"/>
  <c r="J57" i="3" s="1"/>
  <c r="J58" i="3" s="1"/>
  <c r="J59" i="3" s="1"/>
  <c r="J60" i="3" s="1"/>
  <c r="J61" i="3" s="1"/>
  <c r="J62" i="3" s="1"/>
  <c r="J63" i="3" s="1"/>
  <c r="J64" i="3" s="1"/>
  <c r="J65" i="3" s="1"/>
  <c r="J66" i="3" s="1"/>
  <c r="J67" i="3" s="1"/>
  <c r="J68" i="3" s="1"/>
  <c r="J69" i="3" s="1"/>
  <c r="J70" i="3" s="1"/>
  <c r="J71" i="3" s="1"/>
  <c r="J72" i="3" s="1"/>
  <c r="J73" i="3" s="1"/>
  <c r="J74" i="3" s="1"/>
  <c r="J75" i="3" s="1"/>
  <c r="J76" i="3" s="1"/>
  <c r="J77" i="3" s="1"/>
  <c r="J78" i="3" s="1"/>
  <c r="J79" i="3" s="1"/>
  <c r="J80" i="3" s="1"/>
  <c r="J81" i="3" s="1"/>
  <c r="J82" i="3" s="1"/>
  <c r="J83" i="3" s="1"/>
  <c r="J84" i="3" s="1"/>
  <c r="J85" i="3" s="1"/>
  <c r="J86" i="3" s="1"/>
  <c r="J87" i="3" s="1"/>
  <c r="J88" i="3" s="1"/>
  <c r="J89" i="3" s="1"/>
  <c r="J90" i="3" s="1"/>
  <c r="J91" i="3" s="1"/>
  <c r="J92" i="3" s="1"/>
  <c r="J93" i="3" s="1"/>
  <c r="J94" i="3" s="1"/>
  <c r="J95" i="3" s="1"/>
  <c r="J96" i="3" s="1"/>
  <c r="J97" i="3" s="1"/>
  <c r="J98" i="3" s="1"/>
  <c r="J99" i="3" s="1"/>
  <c r="J100" i="3" s="1"/>
  <c r="J101" i="3" s="1"/>
  <c r="J102" i="3" s="1"/>
  <c r="J103" i="3" s="1"/>
  <c r="J104" i="3" s="1"/>
  <c r="J105" i="3" s="1"/>
  <c r="J106" i="3" s="1"/>
  <c r="J107" i="3" s="1"/>
  <c r="J108" i="3" s="1"/>
  <c r="J109" i="3" s="1"/>
  <c r="J110" i="3" s="1"/>
  <c r="J111" i="3" s="1"/>
  <c r="J112" i="3" s="1"/>
  <c r="J113" i="3" s="1"/>
  <c r="J114" i="3" s="1"/>
  <c r="J115" i="3" s="1"/>
  <c r="J116" i="3" s="1"/>
  <c r="J117" i="3" s="1"/>
  <c r="J118" i="3" s="1"/>
  <c r="J119" i="3" s="1"/>
  <c r="J120" i="3" s="1"/>
  <c r="J121" i="3" s="1"/>
  <c r="J122" i="3" s="1"/>
  <c r="J123" i="3" s="1"/>
  <c r="J124" i="3" s="1"/>
  <c r="J125" i="3" s="1"/>
  <c r="J126" i="3" s="1"/>
  <c r="J127" i="3" s="1"/>
  <c r="J128" i="3" s="1"/>
  <c r="J129" i="3" s="1"/>
  <c r="J130" i="3" s="1"/>
  <c r="J131" i="3" s="1"/>
  <c r="J132" i="3" s="1"/>
  <c r="J133" i="3" s="1"/>
  <c r="J134" i="3" s="1"/>
  <c r="J135" i="3" s="1"/>
  <c r="J136" i="3" s="1"/>
  <c r="J137" i="3" s="1"/>
  <c r="J138" i="3" s="1"/>
  <c r="J139" i="3" s="1"/>
  <c r="J140" i="3" s="1"/>
  <c r="J141" i="3" s="1"/>
  <c r="J142" i="3" s="1"/>
  <c r="J143" i="3" s="1"/>
  <c r="J144" i="3" s="1"/>
  <c r="J145" i="3" s="1"/>
  <c r="J146" i="3" s="1"/>
  <c r="J147" i="3" s="1"/>
  <c r="J148" i="3" s="1"/>
  <c r="J149" i="3" s="1"/>
  <c r="J150" i="3" s="1"/>
  <c r="J151" i="3" s="1"/>
  <c r="J152" i="3" s="1"/>
  <c r="J153" i="3" s="1"/>
  <c r="J154" i="3" s="1"/>
  <c r="J155" i="3" s="1"/>
  <c r="J156" i="3" s="1"/>
  <c r="J157" i="3" s="1"/>
  <c r="J158" i="3" s="1"/>
  <c r="J159" i="3" s="1"/>
  <c r="J160" i="3" s="1"/>
  <c r="J161" i="3" s="1"/>
  <c r="J162" i="3" s="1"/>
  <c r="J163" i="3" s="1"/>
  <c r="J164" i="3" s="1"/>
  <c r="J165" i="3" s="1"/>
  <c r="J166" i="3" s="1"/>
  <c r="J167" i="3" s="1"/>
  <c r="J168" i="3" s="1"/>
  <c r="J169" i="3" s="1"/>
  <c r="J170" i="3" s="1"/>
  <c r="J171" i="3" s="1"/>
  <c r="J172" i="3" s="1"/>
  <c r="J173" i="3" s="1"/>
  <c r="J174" i="3" s="1"/>
  <c r="J175" i="3" s="1"/>
  <c r="J176" i="3" s="1"/>
  <c r="J177" i="3" s="1"/>
  <c r="J178" i="3" s="1"/>
  <c r="J179" i="3" s="1"/>
  <c r="J180" i="3" s="1"/>
  <c r="J181" i="3" s="1"/>
  <c r="J182" i="3" s="1"/>
  <c r="J183" i="3" s="1"/>
  <c r="J184" i="3" s="1"/>
  <c r="J185" i="3" s="1"/>
  <c r="J186" i="3" s="1"/>
  <c r="J187" i="3" s="1"/>
  <c r="J188" i="3" s="1"/>
  <c r="J189" i="3" s="1"/>
  <c r="J190" i="3" s="1"/>
  <c r="J191" i="3" s="1"/>
  <c r="J192" i="3" s="1"/>
  <c r="J193" i="3" s="1"/>
  <c r="J194" i="3" s="1"/>
  <c r="J195" i="3" s="1"/>
  <c r="J196" i="3" s="1"/>
  <c r="J197" i="3" s="1"/>
  <c r="J198" i="3" s="1"/>
  <c r="J199" i="3" s="1"/>
  <c r="J200" i="3" s="1"/>
  <c r="J201" i="3" s="1"/>
  <c r="J202" i="3" s="1"/>
  <c r="J203" i="3" s="1"/>
  <c r="J204" i="3" s="1"/>
  <c r="J205" i="3" s="1"/>
  <c r="J206" i="3" s="1"/>
  <c r="J207" i="3" s="1"/>
  <c r="J208" i="3" s="1"/>
  <c r="J209" i="3" s="1"/>
  <c r="J210" i="3" s="1"/>
  <c r="J211" i="3" s="1"/>
  <c r="J212" i="3" s="1"/>
  <c r="J213" i="3" s="1"/>
  <c r="J214" i="3" s="1"/>
  <c r="J215" i="3" s="1"/>
  <c r="J216" i="3" s="1"/>
  <c r="J217" i="3" s="1"/>
  <c r="J218" i="3" s="1"/>
  <c r="J219" i="3" s="1"/>
  <c r="J220" i="3" s="1"/>
  <c r="J221" i="3" s="1"/>
  <c r="J222" i="3" s="1"/>
  <c r="J223" i="3" s="1"/>
  <c r="D4" i="3"/>
  <c r="L44" i="1" l="1"/>
  <c r="F18" i="1"/>
  <c r="E18" i="1"/>
  <c r="C18" i="1" l="1"/>
  <c r="J92" i="12" s="1"/>
  <c r="L18" i="1" l="1"/>
  <c r="D19" i="1" s="1"/>
  <c r="J94" i="12" l="1"/>
  <c r="J93" i="12"/>
  <c r="Z41" i="7"/>
  <c r="C59" i="1"/>
  <c r="C92" i="12" s="1"/>
  <c r="E58" i="1"/>
  <c r="I58" i="1" s="1"/>
  <c r="G6" i="1"/>
  <c r="B92" i="12" l="1"/>
  <c r="L59" i="1"/>
  <c r="H59" i="1"/>
  <c r="C19" i="1"/>
  <c r="E20" i="1"/>
  <c r="L37" i="1"/>
  <c r="D24" i="1"/>
  <c r="D3" i="3"/>
  <c r="F2" i="3"/>
  <c r="F3" i="3" s="1"/>
  <c r="F4" i="3" s="1"/>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G36" i="1" l="1"/>
  <c r="F36" i="1"/>
  <c r="F120" i="3"/>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F215" i="3" s="1"/>
  <c r="F216" i="3" s="1"/>
  <c r="F217" i="3" s="1"/>
  <c r="F218" i="3" s="1"/>
  <c r="F219" i="3" s="1"/>
  <c r="F220" i="3" s="1"/>
  <c r="F221" i="3" s="1"/>
  <c r="F222" i="3" s="1"/>
  <c r="F223" i="3" s="1"/>
  <c r="F224" i="3" s="1"/>
  <c r="F225" i="3" s="1"/>
  <c r="F226" i="3" s="1"/>
  <c r="F227" i="3" s="1"/>
  <c r="F228" i="3" s="1"/>
  <c r="F229" i="3" s="1"/>
  <c r="F230" i="3" s="1"/>
  <c r="F231" i="3" s="1"/>
  <c r="F232" i="3" s="1"/>
  <c r="F233" i="3" s="1"/>
  <c r="F234" i="3" s="1"/>
  <c r="F235" i="3" s="1"/>
  <c r="F236" i="3" s="1"/>
  <c r="F237" i="3" s="1"/>
  <c r="F238" i="3" s="1"/>
  <c r="F239" i="3" s="1"/>
  <c r="F240" i="3" s="1"/>
  <c r="F241" i="3" s="1"/>
  <c r="F242" i="3" s="1"/>
  <c r="F243" i="3" s="1"/>
  <c r="F244" i="3" s="1"/>
  <c r="F245" i="3" s="1"/>
  <c r="F246" i="3" s="1"/>
  <c r="F247" i="3" s="1"/>
  <c r="F248" i="3" s="1"/>
  <c r="F249" i="3" s="1"/>
  <c r="F250" i="3" s="1"/>
  <c r="F251" i="3" s="1"/>
  <c r="F252" i="3" s="1"/>
  <c r="F253" i="3" s="1"/>
  <c r="F254" i="3" s="1"/>
  <c r="F255" i="3" s="1"/>
  <c r="F256" i="3" s="1"/>
  <c r="F257" i="3" s="1"/>
  <c r="F258" i="3" s="1"/>
  <c r="F259" i="3" s="1"/>
  <c r="F260" i="3" s="1"/>
  <c r="F261" i="3" s="1"/>
  <c r="F262" i="3" s="1"/>
  <c r="F263" i="3" s="1"/>
  <c r="F264" i="3" s="1"/>
  <c r="F265" i="3" s="1"/>
  <c r="F266" i="3" s="1"/>
  <c r="F267" i="3" s="1"/>
  <c r="F268" i="3" s="1"/>
  <c r="F269" i="3" s="1"/>
  <c r="F270" i="3" s="1"/>
  <c r="F271" i="3" s="1"/>
  <c r="F272" i="3" s="1"/>
  <c r="F273" i="3" s="1"/>
  <c r="F274" i="3" s="1"/>
  <c r="F275" i="3" s="1"/>
  <c r="F276" i="3" s="1"/>
  <c r="F277" i="3" s="1"/>
  <c r="F278" i="3" s="1"/>
  <c r="F279" i="3" s="1"/>
  <c r="F280" i="3" s="1"/>
  <c r="F281" i="3" s="1"/>
  <c r="F282" i="3" s="1"/>
  <c r="F283" i="3" s="1"/>
  <c r="F284" i="3" s="1"/>
  <c r="F285" i="3" s="1"/>
  <c r="F286" i="3" s="1"/>
  <c r="F287" i="3" s="1"/>
  <c r="F288" i="3" s="1"/>
  <c r="F289" i="3" s="1"/>
  <c r="F290" i="3" s="1"/>
  <c r="F291" i="3" s="1"/>
  <c r="F292" i="3" s="1"/>
  <c r="F293" i="3" s="1"/>
  <c r="F294" i="3" s="1"/>
  <c r="F295" i="3" s="1"/>
  <c r="F296" i="3" s="1"/>
  <c r="F297" i="3" s="1"/>
  <c r="F298" i="3" s="1"/>
  <c r="F299" i="3" s="1"/>
  <c r="F300" i="3" s="1"/>
  <c r="F301" i="3" s="1"/>
  <c r="F302" i="3" s="1"/>
  <c r="F303" i="3" s="1"/>
  <c r="F304" i="3" s="1"/>
  <c r="F305" i="3" s="1"/>
  <c r="F306" i="3" s="1"/>
  <c r="F307" i="3" s="1"/>
  <c r="F308" i="3" s="1"/>
  <c r="F309" i="3" s="1"/>
  <c r="F310" i="3" s="1"/>
  <c r="F311" i="3" s="1"/>
  <c r="F312" i="3" s="1"/>
  <c r="F313" i="3" s="1"/>
  <c r="F314" i="3" s="1"/>
  <c r="F315" i="3" s="1"/>
  <c r="F316" i="3" s="1"/>
  <c r="F317" i="3" s="1"/>
  <c r="F318" i="3" s="1"/>
  <c r="F319" i="3" s="1"/>
  <c r="F320" i="3" s="1"/>
  <c r="F321" i="3" s="1"/>
  <c r="F322" i="3" s="1"/>
  <c r="F323" i="3" s="1"/>
  <c r="F324" i="3" s="1"/>
  <c r="F325" i="3" s="1"/>
  <c r="C23" i="1" l="1"/>
  <c r="E26" i="1" s="1"/>
  <c r="E36" i="1"/>
  <c r="F37" i="1"/>
  <c r="B24" i="1" l="1"/>
  <c r="E29" i="1"/>
  <c r="E33" i="1" s="1"/>
  <c r="O92" i="12" l="1"/>
  <c r="G87" i="11"/>
  <c r="O87" i="12" s="1"/>
  <c r="G89" i="11" l="1"/>
  <c r="O89" i="12" s="1"/>
</calcChain>
</file>

<file path=xl/comments1.xml><?xml version="1.0" encoding="utf-8"?>
<comments xmlns="http://schemas.openxmlformats.org/spreadsheetml/2006/main">
  <authors>
    <author>Flatz Johannes</author>
    <author>Flatz</author>
  </authors>
  <commentList>
    <comment ref="T6" authorId="0" shapeId="0">
      <text>
        <r>
          <rPr>
            <sz val="9"/>
            <color indexed="81"/>
            <rFont val="Tahoma"/>
            <family val="2"/>
          </rPr>
          <t>Diese Abstufungen stehen im Zusammenhang mit den 
schulautonomen Gestaltungsmöglichkeiten der Schülerbetreuung</t>
        </r>
      </text>
    </comment>
    <comment ref="A39" authorId="1" shapeId="0">
      <text>
        <r>
          <rPr>
            <sz val="9"/>
            <color indexed="81"/>
            <rFont val="Segoe UI"/>
            <family val="2"/>
          </rPr>
          <t>Hier werden Stunden angezeigt, nachdem 
zuvor im Blatt "Konti VS" in den Zellen j12 
bis j16 die Klassen eingetragen wurden.
Zu beachten:  Genehmigung bei BilDi 
muss eingeholt sein/werden!</t>
        </r>
      </text>
    </comment>
  </commentList>
</comments>
</file>

<file path=xl/sharedStrings.xml><?xml version="1.0" encoding="utf-8"?>
<sst xmlns="http://schemas.openxmlformats.org/spreadsheetml/2006/main" count="533" uniqueCount="395">
  <si>
    <t>SKZ</t>
  </si>
  <si>
    <t>Schulname</t>
  </si>
  <si>
    <t>Schulstufe</t>
  </si>
  <si>
    <t>Köpfe</t>
  </si>
  <si>
    <t>ao-u</t>
  </si>
  <si>
    <t>ao-m</t>
  </si>
  <si>
    <t>SPF</t>
  </si>
  <si>
    <t>spf</t>
  </si>
  <si>
    <t xml:space="preserve">Stundenkontingente </t>
  </si>
  <si>
    <t>SuS</t>
  </si>
  <si>
    <t>= Schülerinnen und Schüler</t>
  </si>
  <si>
    <t>aus Kopfquote</t>
  </si>
  <si>
    <t>Bezeichnung aus Präs/3</t>
  </si>
  <si>
    <t>Schulkennzahl</t>
  </si>
  <si>
    <t>Sozial-Zuschlag</t>
  </si>
  <si>
    <t>Zwischensumme:</t>
  </si>
  <si>
    <t>Stundenkontingent:</t>
  </si>
  <si>
    <t xml:space="preserve">Klassenzahl: </t>
  </si>
  <si>
    <t xml:space="preserve">  berechnet</t>
  </si>
  <si>
    <t>Um 2% wird hier nirgends mehr gekürzt!</t>
  </si>
  <si>
    <t>Autonome KL ausgleichen Einre:Unterr</t>
  </si>
  <si>
    <t>..an einer Polytechnischen Schule in Vbg</t>
  </si>
  <si>
    <t xml:space="preserve"> 0 - 30</t>
  </si>
  <si>
    <t xml:space="preserve"> 31 - 100</t>
  </si>
  <si>
    <t xml:space="preserve"> 101 - 333</t>
  </si>
  <si>
    <t xml:space="preserve">in Stufe 9. </t>
  </si>
  <si>
    <t>unter-
stufig</t>
  </si>
  <si>
    <r>
      <rPr>
        <sz val="12"/>
        <color theme="1"/>
        <rFont val="Calibri"/>
        <family val="2"/>
      </rPr>
      <t>Betrachtung und</t>
    </r>
    <r>
      <rPr>
        <b/>
        <sz val="12"/>
        <color theme="1"/>
        <rFont val="Calibri"/>
        <family val="2"/>
      </rPr>
      <t xml:space="preserve"> Berechnung für den Schulstandort:</t>
    </r>
  </si>
  <si>
    <t xml:space="preserve">  ..und auch unterstufig</t>
  </si>
  <si>
    <t>80xxxx</t>
  </si>
  <si>
    <t>PTS  . . .</t>
  </si>
  <si>
    <t>PTS Bludenz</t>
  </si>
  <si>
    <t>PTS Montafon</t>
  </si>
  <si>
    <t>PTS Thüringen</t>
  </si>
  <si>
    <t>PTS Bregenz</t>
  </si>
  <si>
    <t>PTS Bezau</t>
  </si>
  <si>
    <t>PTS Lauterach</t>
  </si>
  <si>
    <t>PTS Kleinwalsertal</t>
  </si>
  <si>
    <t>PTS Dornbirn</t>
  </si>
  <si>
    <t>PTS Rankweil</t>
  </si>
  <si>
    <t>PTS Feldkirch</t>
  </si>
  <si>
    <t xml:space="preserve"> PTS . . .</t>
  </si>
  <si>
    <t>Die Unterstufigen werden weitergezählt zu den SPF ..</t>
  </si>
  <si>
    <t>KHZ = 25,0 &gt;&gt; 23,6</t>
  </si>
  <si>
    <t>für unterstufige SuS  .. nach Sozioökonomie</t>
  </si>
  <si>
    <t xml:space="preserve"> Klassen eingerichtet</t>
  </si>
  <si>
    <t xml:space="preserve"> SuS </t>
  </si>
  <si>
    <t xml:space="preserve">für LZ umgerech. bei geschätzt </t>
  </si>
  <si>
    <t>Für GTS in getrennter Abfolge</t>
  </si>
  <si>
    <t>werden Stunden angenommen:</t>
  </si>
  <si>
    <t>Wochenstunden ganzjährig</t>
  </si>
  <si>
    <t>WoStden für die Unterrichtserteilung</t>
  </si>
  <si>
    <t>Zuschlag:  SPF-SuS</t>
  </si>
  <si>
    <t>Für verschränkte GTS ist bei PTS hier nicht vorgesorgt!</t>
  </si>
  <si>
    <t>Nur möglich bei gemeinsamem Schulsprengel an VS oder PTS</t>
  </si>
  <si>
    <t>Zum 'Ausgleich' im gemeinsamen Sprengel:</t>
  </si>
  <si>
    <t>Alles über 6 Stden für ao-u gibt einen Zuschlag</t>
  </si>
  <si>
    <t>Übertrag aus vorstehenden Zeilen:</t>
  </si>
  <si>
    <t>Konti22</t>
  </si>
  <si>
    <t>PTS Hittisau (= KL bei MS)</t>
  </si>
  <si>
    <t>Ganztägige Schulform</t>
  </si>
  <si>
    <t xml:space="preserve">… laut SchOG   an der  </t>
  </si>
  <si>
    <t xml:space="preserve">GLZ </t>
  </si>
  <si>
    <t>ILZ &gt;&gt;*2</t>
  </si>
  <si>
    <t xml:space="preserve">… mit einer verpflichtend durchgehenden Anwesenheit der angemeldeten Schüler </t>
  </si>
  <si>
    <t>bis mindestens 16:00 Uhr  an betreuten Nachmittagen.</t>
  </si>
  <si>
    <t>siehe dazu:</t>
  </si>
  <si>
    <t>http://www2.vobs.at/ftp-pub/allgemein/formulare/GTS.PDF</t>
  </si>
  <si>
    <t xml:space="preserve">..und </t>
  </si>
  <si>
    <t xml:space="preserve">Wochentag:  </t>
  </si>
  <si>
    <t>Montag</t>
  </si>
  <si>
    <t>Dienstag</t>
  </si>
  <si>
    <t>Mittwoch</t>
  </si>
  <si>
    <t>Donnerstag</t>
  </si>
  <si>
    <t>Freitag</t>
  </si>
  <si>
    <t>Uhrzeit:</t>
  </si>
  <si>
    <t>Schülerzahl</t>
  </si>
  <si>
    <t>in</t>
  </si>
  <si>
    <t>von</t>
  </si>
  <si>
    <t>bis</t>
  </si>
  <si>
    <t>GL</t>
  </si>
  <si>
    <t>IL</t>
  </si>
  <si>
    <t>Schüler in Gruppen:</t>
  </si>
  <si>
    <t>Datum</t>
  </si>
  <si>
    <t>GTS in verschränkten Klassen:</t>
  </si>
  <si>
    <t>Anmerkung:</t>
  </si>
  <si>
    <t xml:space="preserve">Gru.GL </t>
  </si>
  <si>
    <t xml:space="preserve">Gru.IL </t>
  </si>
  <si>
    <t xml:space="preserve">zus. </t>
  </si>
  <si>
    <t xml:space="preserve">1/3 </t>
  </si>
  <si>
    <r>
      <t xml:space="preserve">In Getrennter Abfolge </t>
    </r>
    <r>
      <rPr>
        <u/>
        <sz val="12"/>
        <rFont val="Calibri"/>
        <family val="2"/>
        <scheme val="minor"/>
      </rPr>
      <t>teilnehmende Schüler</t>
    </r>
    <r>
      <rPr>
        <sz val="12"/>
        <rFont val="Calibri"/>
        <family val="2"/>
        <scheme val="minor"/>
      </rPr>
      <t xml:space="preserve">: </t>
    </r>
    <r>
      <rPr>
        <sz val="2"/>
        <rFont val="Calibri"/>
        <family val="2"/>
        <scheme val="minor"/>
      </rPr>
      <t>'</t>
    </r>
  </si>
  <si>
    <r>
      <rPr>
        <sz val="12"/>
        <rFont val="Calibri"/>
        <family val="2"/>
        <scheme val="minor"/>
      </rPr>
      <t xml:space="preserve">Einteilung der </t>
    </r>
    <r>
      <rPr>
        <b/>
        <sz val="12"/>
        <rFont val="Calibri"/>
        <family val="2"/>
        <scheme val="minor"/>
      </rPr>
      <t>'</t>
    </r>
    <r>
      <rPr>
        <b/>
        <u/>
        <sz val="12"/>
        <rFont val="Calibri"/>
        <family val="2"/>
        <scheme val="minor"/>
      </rPr>
      <t>Lernzeiten' in getrennter Form</t>
    </r>
    <r>
      <rPr>
        <b/>
        <sz val="12"/>
        <rFont val="Calibri"/>
        <family val="2"/>
        <scheme val="minor"/>
      </rPr>
      <t>:</t>
    </r>
  </si>
  <si>
    <t>IT-Arbeitsplätze:</t>
  </si>
  <si>
    <t>angeschl.</t>
  </si>
  <si>
    <t>.. außer bei den angeschl.</t>
  </si>
  <si>
    <t>PTS Hittisau</t>
  </si>
  <si>
    <t>..für die Unterrichtserteilung</t>
  </si>
  <si>
    <t>Einrechnungen</t>
  </si>
  <si>
    <t>=  schulbezogene Verminderungen der Unterrichtsverpflichtung</t>
  </si>
  <si>
    <r>
      <t>Zahl der</t>
    </r>
    <r>
      <rPr>
        <b/>
        <sz val="12"/>
        <rFont val="Calibri"/>
        <family val="2"/>
        <scheme val="minor"/>
      </rPr>
      <t xml:space="preserve"> </t>
    </r>
    <r>
      <rPr>
        <b/>
        <u/>
        <sz val="12"/>
        <rFont val="Calibri"/>
        <family val="2"/>
        <scheme val="minor"/>
      </rPr>
      <t>IT-Arbeitsplätze</t>
    </r>
  </si>
  <si>
    <t xml:space="preserve"> …für die Verwendung im Unterricht</t>
  </si>
  <si>
    <t xml:space="preserve">GTS - </t>
  </si>
  <si>
    <t>..für die Lernzeiten GLZ, ILZ</t>
  </si>
  <si>
    <t>Ltg</t>
  </si>
  <si>
    <t>Altr.</t>
  </si>
  <si>
    <t>Schulleitung:</t>
  </si>
  <si>
    <t xml:space="preserve">Die Direktorin /der Direktor ..  </t>
  </si>
  <si>
    <t xml:space="preserve"> ist im Altrecht angestellt (meist L2a2)</t>
  </si>
  <si>
    <t>a</t>
  </si>
  <si>
    <t xml:space="preserve"> ist im PD-Schema eingestuft</t>
  </si>
  <si>
    <t>b</t>
  </si>
  <si>
    <t xml:space="preserve">Berechnung mit </t>
  </si>
  <si>
    <t>Leitung</t>
  </si>
  <si>
    <t xml:space="preserve"> Klassen *1,5</t>
  </si>
  <si>
    <t>GTS</t>
  </si>
  <si>
    <t>leitet diese Klassen als angeschlossene</t>
  </si>
  <si>
    <t>c</t>
  </si>
  <si>
    <t>hat anderswo ihre/seine Stammschule</t>
  </si>
  <si>
    <t xml:space="preserve">der Jahresnorm von 20: </t>
  </si>
  <si>
    <t xml:space="preserve">Berechnung für PD: </t>
  </si>
  <si>
    <t xml:space="preserve"> Erfolgt nach den Vollbeschäftigungsäquivalenten [VBÄ]</t>
  </si>
  <si>
    <t>freig. ab 10,0 VBÄ,  12 WoStd ab 5,0 VBÄ,  darunter 6 WoStd</t>
  </si>
  <si>
    <t>zum 30. September des vorangegangenen Schuljahres.</t>
  </si>
  <si>
    <t>Assistenz</t>
  </si>
  <si>
    <t>=  schulische Assistenz       ..laut gesondertem Tabellenblatt &lt;Assistenz&gt;</t>
  </si>
  <si>
    <t xml:space="preserve">Beantragt sind:  </t>
  </si>
  <si>
    <t>zur "Bedarfsplanung"</t>
  </si>
  <si>
    <t xml:space="preserve">Weitere Einrechnung für </t>
  </si>
  <si>
    <t xml:space="preserve"> . . .</t>
  </si>
  <si>
    <t>Schulische Assistenz</t>
  </si>
  <si>
    <t>Anzahl WoStunden 
für die Assistenz 
im Unterricht</t>
  </si>
  <si>
    <t xml:space="preserve">Anzahl WoStunden 
für die Assistenz im 
GTS-Freizeitbereich </t>
  </si>
  <si>
    <t xml:space="preserve">pflegerische, therapeut. 
-funktionale, u. lernun- 
terstützende Assistenz </t>
  </si>
  <si>
    <t xml:space="preserve">für erzieherische und 
lernunterstützende 
Assistenz </t>
  </si>
  <si>
    <t>Anzahl</t>
  </si>
  <si>
    <t>Klasse</t>
  </si>
  <si>
    <t>der SuS
 in d. KL</t>
  </si>
  <si>
    <t>Name d. SchülerIn</t>
  </si>
  <si>
    <t>Schul-stufe</t>
  </si>
  <si>
    <t>lfd.</t>
  </si>
  <si>
    <t xml:space="preserve">  SPF</t>
  </si>
  <si>
    <t xml:space="preserve">  nein</t>
  </si>
  <si>
    <t>beantragt</t>
  </si>
  <si>
    <t xml:space="preserve"> Folglich ergibt sich als Antrag der Schule ..</t>
  </si>
  <si>
    <r>
      <t xml:space="preserve">für Assistenzleistung im </t>
    </r>
    <r>
      <rPr>
        <b/>
        <sz val="11"/>
        <rFont val="Calibri"/>
        <family val="2"/>
        <scheme val="minor"/>
      </rPr>
      <t>Unterricht</t>
    </r>
  </si>
  <si>
    <t>Wochenstunden</t>
  </si>
  <si>
    <r>
      <t xml:space="preserve">für Assistenzleistung im </t>
    </r>
    <r>
      <rPr>
        <b/>
        <sz val="11"/>
        <rFont val="Calibri"/>
        <family val="2"/>
        <scheme val="minor"/>
      </rPr>
      <t>Freizeitbereich (GTS)</t>
    </r>
  </si>
  <si>
    <t>Anmerkungen:</t>
  </si>
  <si>
    <t xml:space="preserve">
..hier kann zB ergänzend begründet werden, 
was bislang bei DM /SQM noch nicht bekannt ist oder nicht bereits vorbesprochen wurde ..</t>
  </si>
  <si>
    <t xml:space="preserve"> zum Beispiel: </t>
  </si>
  <si>
    <t>Apfel Arnold</t>
  </si>
  <si>
    <t>X</t>
  </si>
  <si>
    <t>Beere Berta</t>
  </si>
  <si>
    <t>Dattel Dieter</t>
  </si>
  <si>
    <t>x</t>
  </si>
  <si>
    <t>1.H</t>
  </si>
  <si>
    <t>1.D</t>
  </si>
  <si>
    <t>Religionsunterricht röm.-kath.</t>
  </si>
  <si>
    <t>Meldung für die Bedarfsplanung</t>
  </si>
  <si>
    <t xml:space="preserve">Der röm.kath. Religionsunterricht wird voraussichtlich abgehalten .. </t>
  </si>
  <si>
    <t xml:space="preserve"> mit gesamt</t>
  </si>
  <si>
    <t>Klassen bzw Gruppen</t>
  </si>
  <si>
    <t xml:space="preserve"> .. im Rahmen der Vorgaben des Religionsunterrichtsgesetzes.</t>
  </si>
  <si>
    <t>Wochenstden  in</t>
  </si>
  <si>
    <t>ODER:</t>
  </si>
  <si>
    <t xml:space="preserve">Es wird </t>
  </si>
  <si>
    <t>KEIN  Religionsunterricht abgehalten an der Schule</t>
  </si>
  <si>
    <t>Maßgeblicher Stichtag ist der 2. Montag des Unterrichtsjahres</t>
  </si>
  <si>
    <t>. . .</t>
  </si>
  <si>
    <t>Tabellenblatt</t>
  </si>
  <si>
    <t>vor vobs-Scharfstellen der EÖ-Meldung, und wieder nach den EÖ-Meldungen, vor/mit vobs-Bedarf ..</t>
  </si>
  <si>
    <t xml:space="preserve">vor Bedarfserhebung, danach aus eingereichter BedErh, dann nach den Leiterbestellungen und nochmals </t>
  </si>
  <si>
    <t xml:space="preserve">Hier soll mehrfach jährlich der aktuelle Datenstand abgeglichen werden. </t>
  </si>
  <si>
    <t xml:space="preserve">Die Schulbezeichnungen wurden von Tobi mit Sokrates und SAP abgestimmt, </t>
  </si>
  <si>
    <t>angeschlossene KL:</t>
  </si>
  <si>
    <t>..wobei bei angeschlossenen KL keine (weitere) Einrechnung (am Standort) vorgesehen ist.</t>
  </si>
  <si>
    <t>Die Assistenzleistung im GTS-Freizeitbereich kann NIEMALS über ein Präs/3-Dienstverhältnis finanziert werden.</t>
  </si>
  <si>
    <t>..unabhängig davon, welches Personal diese Stunden abdecken wird.</t>
  </si>
  <si>
    <t xml:space="preserve">Hier sollen die notwendigen Stunden zur Gänze eingetragen werden, </t>
  </si>
  <si>
    <t>das hier ermittelte Ergebnis ist lediglich ein Schätz-/Annäherungswert!</t>
  </si>
  <si>
    <t xml:space="preserve"> ..für die Leiter-Verminderung im Altrecht ist das Sokrates-Ergebnis maßgeblich,</t>
  </si>
  <si>
    <t xml:space="preserve">Die berechneten Wochenstunden für die LZ sind verbindlich, </t>
  </si>
  <si>
    <t>die in SOK (mit allen Details) ermittelten Gruppen!</t>
  </si>
  <si>
    <t>Sehr wohl verbindlich ist die hier berechnete Zahl an Wochenstunden!</t>
  </si>
  <si>
    <t xml:space="preserve">Die hier errechnete Anzahl an Gruppen kann von der Gruppenzahl in Sokrates abweichen,  ..maßgeblich sind jedenfalls </t>
  </si>
  <si>
    <t>Die möglichen Höchststunden für g.GTS sollen in unveränderter Großzügigkeit weitergeführt werden.</t>
  </si>
  <si>
    <t>..und hier angezeigt für ein komplettes GTS-Bild der Schule</t>
  </si>
  <si>
    <t>Für die verschränkte Form werden die Stunden hingegen aus dem Konti-Blatt übernommen</t>
  </si>
  <si>
    <t>In diesem Tabellenblatt werden die Stunden für die getrennte Form festgestellt - wie bisher in Aufbau und Ausmaß</t>
  </si>
  <si>
    <t>Hier kann noch beliebiger Text/Antrag/Hinweis ergänzt werden ..</t>
  </si>
  <si>
    <t xml:space="preserve"> - " -</t>
  </si>
  <si>
    <t>Hellgraue Schriftfarbe, wenn nicht in PD eingestuft</t>
  </si>
  <si>
    <t>So weit gerechnet werden kann, ist hier die Unterri.Verpflichtung angezeigt</t>
  </si>
  <si>
    <t>Es kann mit den wenigen Daten nicht immer zu-Ende-gerechnet werden, daher manchmal Fragezeigen</t>
  </si>
  <si>
    <t>Wenn Leitung in PD, dann andere Schriftfarbe und nur wenige Einträge</t>
  </si>
  <si>
    <t>Hier sollen nicht Einzel-Einrechnungen der eigenen Lehrer an anderen Schulen eingetragen werden, sondern zB IT-Regionalbetreuung, ARGE</t>
  </si>
  <si>
    <t>..wobei derartige Fälle kaum mehr vorkommen werden!?</t>
  </si>
  <si>
    <t xml:space="preserve">Die Stundenberechnung für g.GTS ist aus den bisherigen Regelungen übernommen. </t>
  </si>
  <si>
    <t>Eine autonome KL-Änderung wirkt nicht (mehr) bei gänzlicher Freistellung und nie bei PD-Leitung!</t>
  </si>
  <si>
    <t>Wo und wie zu begründen wäre, wird hier offen gelassen</t>
  </si>
  <si>
    <t>Hier wird die Zwischensumme auf 1 Kommastelle aufgerundet</t>
  </si>
  <si>
    <t>.. auch die -0,5 für IT-Erhöhung scheint hier auf</t>
  </si>
  <si>
    <t xml:space="preserve">Das Ergebnis der Kopfquote wird hier berechnet; </t>
  </si>
  <si>
    <t>Die KL-Anzahl lässt sich hier überschreiben, wenn schulautonom anders beschlossen wurde.</t>
  </si>
  <si>
    <t>..und keineswegs mit der Absicht, etwas einsparen zu wollen.</t>
  </si>
  <si>
    <t>..möglichst gleichlautend wie zuletzt bis 2021/22</t>
  </si>
  <si>
    <t>Die Berechnung der Klassen wird ausschließlich benötigt für die Leitungsverminderung im Altrecht!</t>
  </si>
  <si>
    <t>Bei Eintrag einer nicht-existenten SKZ erscheint möglicherweise der Schulname der nächstniedrigeren SKZ</t>
  </si>
  <si>
    <t>Diese Zelle soll ausgewählt sein, dann gibt's den Hilfetext zum Befüllen</t>
  </si>
  <si>
    <t>gesonderte Mappen mit geringen Abweichungen  "zur Bedarfsplanung" im Frühjahr und "zum Schulstart" im Herbst</t>
  </si>
  <si>
    <t>pro Schultyp gesondert = in vier Varianten</t>
  </si>
  <si>
    <t>Excel-Mappe für die Berechnung der Stundenressourcen pro Einzelschule, in dieser Form begonnen im Frühjahr 2022 (ab dem Schuljahr 2022/23)</t>
  </si>
  <si>
    <t>In c16 werden behördenseits die möglichen/vorgesehenen KL berechnet</t>
  </si>
  <si>
    <t>In dieser Zeile sind alle SuS anzuführen</t>
  </si>
  <si>
    <t>Alt+F11, unter Eigenschaften&gt;Visible bei verstecktem Tabellenblatt die Einstellung ändern zum Einblenden</t>
  </si>
  <si>
    <t>in Zelle G6 erscheint ein Text, wenn der Schulname anders lautet als der Eintrag aus der Tabelle &lt;BasisP&gt;</t>
  </si>
  <si>
    <t>Zum Chancen-/Sozial-Index ist vereinbart, dass gleichmäßig an alle PTS</t>
  </si>
  <si>
    <t>(stattdessen) ein Zuschlag bei "Unterstufigkeit" zugerechnet werden soll</t>
  </si>
  <si>
    <t>Eine behördlich genehmigte Änderung der KL-Zahl ..aus der Zelle K44 wird hier einbezogen</t>
  </si>
  <si>
    <t>Es wird die durchschnittliche Anzahl der SuS pro KL angezeigt</t>
  </si>
  <si>
    <t>in DFöKL 20 Stden</t>
  </si>
  <si>
    <t>Für die DFörderung sind vor Ort entsprechende Einteilungen zu treffen</t>
  </si>
  <si>
    <t>&lt;&lt;&lt;Diese Zeile darf nur von Standorten mit gemeinsamem Schulsprengel (dzt Lauterach&amp;Bregenz) eingeblendet und verwendet werden!</t>
  </si>
  <si>
    <t>rechts in j38 wird die GTS-Stundensumme angezeigt  ..nach Einträgen im Tabellenblatt &lt;GTS&gt;</t>
  </si>
  <si>
    <t>..von verschränkten GTS-Klassen wird an PTS bis auf weiteres NICHT ausgegangen!</t>
  </si>
  <si>
    <t>In der Zelle K44 darf die Schule dann eine Ganzzahl eintragen, wenn von Präs/3 genehmigt wurde</t>
  </si>
  <si>
    <t>Ab mittleren Schulgrößen = ab 2,5 kann hier um 0,1 erhöht werden. Das geht dann zulasten des Unterrichts, siehe Zeile 23</t>
  </si>
  <si>
    <t>Hier erscheint der passende Textvorschlag, sofern die Spalte P in Tabelle &lt;BasisP&gt; aktuell gewartet ist</t>
  </si>
  <si>
    <t xml:space="preserve">Die beantragten Stunden sind meist bereits abgesprochen, </t>
  </si>
  <si>
    <t>bei neuen/zusätzlichen Wünschen wird die Schule unten Anmerkungen zu ergänzen haben.</t>
  </si>
  <si>
    <t>BasisP</t>
  </si>
  <si>
    <t>Die Pro-Kopf-Berechnung ist in den Spalten A:F festgelegt</t>
  </si>
  <si>
    <t>Für SPF ist der Stunden-Zuschlag in den Spalten H:J zu finden</t>
  </si>
  <si>
    <t>..und hier wird auch der Zuschlag für die unterstufigen SuS berechnet bzw zur/nach SPF weitergerechnet</t>
  </si>
  <si>
    <t>Die Grundsätze sind in L22:M51 hinterlegt,  orange-textgefärbt in N sind die nicht um 2% gekürzten Werte</t>
  </si>
  <si>
    <t>Aus den Einträgen in L6:L18 kann die Leitungsberechnung im Altrecht abgeleitet werden.</t>
  </si>
  <si>
    <t>die genauen Daten dafür und Relevantes für den Leiter sind festgehalten in den Zellen M6:P18</t>
  </si>
  <si>
    <t>Höherwertung von 0,3 für SuS mit SPF laut Zelle g13 bei KL-Berechnung durch die Behörde in c16</t>
  </si>
  <si>
    <t xml:space="preserve">Hintergrund: </t>
  </si>
  <si>
    <t xml:space="preserve">Was darüber hinaus für eine DFöKL benötigt wird, </t>
  </si>
  <si>
    <t xml:space="preserve">die ersten 6,0 für die DFörderung daraus abzudecken sind. </t>
  </si>
  <si>
    <t>bewirkt einen Zuschlag in der Zeile 27</t>
  </si>
  <si>
    <t xml:space="preserve">Die Kopfquote ist bei PTS bereits sehr hoch angesetzt, sodass </t>
  </si>
  <si>
    <t>..es gab zuletzt nämlich nur 1 Standort mit 1 Rel-Gruppe!</t>
  </si>
  <si>
    <t>Für Religion r.k. ist KEIN eigenes Tabellenblatt vorgesehen bei den PTS!</t>
  </si>
  <si>
    <t xml:space="preserve"> lila </t>
  </si>
  <si>
    <t>..gefärbte Tabellenblätter sollen 'versteckt'-augeblendet sein</t>
  </si>
  <si>
    <t>Berechnung der Stundenressourcen</t>
  </si>
  <si>
    <t xml:space="preserve">BedS  = Bedarfsplanung der Stundenressourcen </t>
  </si>
  <si>
    <t>in J7 kann die Versions-Nr angepasst werden, falls Änderungen notwendig wurden</t>
  </si>
  <si>
    <t>Konti23</t>
  </si>
  <si>
    <t>Anmerkungen der Schule zur GTS:</t>
  </si>
  <si>
    <t xml:space="preserve">für ..  </t>
  </si>
  <si>
    <t xml:space="preserve"> Im Tabellenblatt &lt;Assistenz&gt; sind Einträge </t>
  </si>
  <si>
    <t xml:space="preserve"> vorzunehmen, damit hier Werte aufscheinen </t>
  </si>
  <si>
    <t>bzw. durch Lehrpersonal mit der Verwendung "Stütz- und BegleitlehrerInnen"</t>
  </si>
  <si>
    <t>Korrektur durch Präs/3</t>
  </si>
  <si>
    <t>Schulische Assistenz durch SAF Personal</t>
  </si>
  <si>
    <t>LehrerInnen-
stunden</t>
  </si>
  <si>
    <t xml:space="preserve">tatsächlich eingerichtete Gruppen </t>
  </si>
  <si>
    <t>für tatsächlich eingerichtete Gruppen</t>
  </si>
  <si>
    <t>für Gruppenberechnung</t>
  </si>
  <si>
    <t>GL_MO</t>
  </si>
  <si>
    <t>IL_MO</t>
  </si>
  <si>
    <t>GL_DI</t>
  </si>
  <si>
    <t>IL_DI</t>
  </si>
  <si>
    <t>GL_MI</t>
  </si>
  <si>
    <t>IL_MI</t>
  </si>
  <si>
    <t>GL_DO</t>
  </si>
  <si>
    <t>IL_DO</t>
  </si>
  <si>
    <t>GL_FR</t>
  </si>
  <si>
    <t>IL_FR</t>
  </si>
  <si>
    <t>GLZ Einheiten</t>
  </si>
  <si>
    <t>Konti!S85</t>
  </si>
  <si>
    <t>ILZ Einheiten</t>
  </si>
  <si>
    <t>GLZ</t>
  </si>
  <si>
    <t>ILZ</t>
  </si>
  <si>
    <t>verschränkt</t>
  </si>
  <si>
    <t>Gruppen</t>
  </si>
  <si>
    <t>Gerundet</t>
  </si>
  <si>
    <t>Klassen</t>
  </si>
  <si>
    <t>(außer bei Mail-Einreichung:)</t>
  </si>
  <si>
    <t xml:space="preserve">   Unterschrift  [Dir.]</t>
  </si>
  <si>
    <t>ja</t>
  </si>
  <si>
    <t>nein</t>
  </si>
  <si>
    <t>Extra Antrag für Unterrichtsstunden</t>
  </si>
  <si>
    <t>zb.: Zusatzkontingent DM: Unterrichtstunden für besondere Förderung; Begabungs- u. Begabtenförderung,
100 Schulen 1000 Chancen</t>
  </si>
  <si>
    <t>Einheit &lt; 25 min</t>
  </si>
  <si>
    <t>Anmeldungen für den Erstsprachenunterricht</t>
  </si>
  <si>
    <t xml:space="preserve">ein Unterricht in dieser Erstsprache zustande kommt. </t>
  </si>
  <si>
    <t>Albanisch</t>
  </si>
  <si>
    <t>Polnisch</t>
  </si>
  <si>
    <t>Sonstige Sprachen</t>
  </si>
  <si>
    <t>Arabisch</t>
  </si>
  <si>
    <t>Rumänisch</t>
  </si>
  <si>
    <t>Armenisch</t>
  </si>
  <si>
    <t>Russisch</t>
  </si>
  <si>
    <t>B/K/S</t>
  </si>
  <si>
    <t>Spanisch</t>
  </si>
  <si>
    <t>Chinesisch</t>
  </si>
  <si>
    <t>Tschetschenisch</t>
  </si>
  <si>
    <t>Englisch</t>
  </si>
  <si>
    <t>Türkisch</t>
  </si>
  <si>
    <t>Französisch</t>
  </si>
  <si>
    <t>Ungarisch</t>
  </si>
  <si>
    <t>Italienisch</t>
  </si>
  <si>
    <t>Ukrainisch</t>
  </si>
  <si>
    <t>Klasse, Telnr. der Eltern bekanntgegeben werden.</t>
  </si>
  <si>
    <t>Übermitteln Sie bitte die Schülerdaten per Mail an:</t>
  </si>
  <si>
    <t>mustafa.can@bildung-vbg.gv.at</t>
  </si>
  <si>
    <t>Anmeldeformulare und weiterführende Informationen</t>
  </si>
  <si>
    <t>CI  für VS u. MS</t>
  </si>
  <si>
    <t xml:space="preserve">Untergrenze MS </t>
  </si>
  <si>
    <t>Konti24</t>
  </si>
  <si>
    <t>Schuljahr</t>
  </si>
  <si>
    <t>SKZ_BEZEICHNUNG</t>
  </si>
  <si>
    <t>schueler
_anzahl</t>
  </si>
  <si>
    <t>CI</t>
  </si>
  <si>
    <t>CIklasse</t>
  </si>
  <si>
    <t>schulart
_modus</t>
  </si>
  <si>
    <t>erhalter</t>
  </si>
  <si>
    <t>SART
für Konti</t>
  </si>
  <si>
    <t>Schulname
für Konti</t>
  </si>
  <si>
    <t>Bezirk</t>
  </si>
  <si>
    <t>Abzug
IT</t>
  </si>
  <si>
    <t>SB</t>
  </si>
  <si>
    <t xml:space="preserve">Faktor MS </t>
  </si>
  <si>
    <t>2018/19</t>
  </si>
  <si>
    <t>öffentlich</t>
  </si>
  <si>
    <t>Bludenz</t>
  </si>
  <si>
    <t>Thüringen</t>
  </si>
  <si>
    <t>Bregenz</t>
  </si>
  <si>
    <t>Bezau</t>
  </si>
  <si>
    <t>Kleinwalsertal</t>
  </si>
  <si>
    <t>Lauterach</t>
  </si>
  <si>
    <t>Hittisau</t>
  </si>
  <si>
    <t>Dornbirn</t>
  </si>
  <si>
    <t>Feldkirch</t>
  </si>
  <si>
    <t>Rankweil</t>
  </si>
  <si>
    <t>PTS</t>
  </si>
  <si>
    <t>Montafon</t>
  </si>
  <si>
    <t>Gr</t>
  </si>
  <si>
    <r>
      <t xml:space="preserve"> NICHT</t>
    </r>
    <r>
      <rPr>
        <sz val="11"/>
        <rFont val="Calibri"/>
        <family val="2"/>
      </rPr>
      <t xml:space="preserve"> im Dienst</t>
    </r>
  </si>
  <si>
    <r>
      <t xml:space="preserve"> Versetzung beantragt
</t>
    </r>
    <r>
      <rPr>
        <sz val="11"/>
        <rFont val="Calibri"/>
        <family val="2"/>
      </rPr>
      <t xml:space="preserve"> (mit xx Stunden)</t>
    </r>
  </si>
  <si>
    <r>
      <t xml:space="preserve"> Religion
 </t>
    </r>
    <r>
      <rPr>
        <sz val="11"/>
        <rFont val="Calibri"/>
        <family val="2"/>
      </rPr>
      <t>(röm.kath.)</t>
    </r>
  </si>
  <si>
    <t xml:space="preserve"> Muttersprache &amp;
 andere Religionen</t>
  </si>
  <si>
    <t xml:space="preserve"> Werken,
 Ernährung/Haushalt</t>
  </si>
  <si>
    <t xml:space="preserve"> Instrumental</t>
  </si>
  <si>
    <r>
      <rPr>
        <sz val="11"/>
        <rFont val="Calibri"/>
        <family val="2"/>
      </rPr>
      <t xml:space="preserve"> für</t>
    </r>
    <r>
      <rPr>
        <b/>
        <sz val="11"/>
        <rFont val="Calibri"/>
        <family val="2"/>
      </rPr>
      <t xml:space="preserve"> Assistenz
 (mit Anstellung über BilDi)</t>
    </r>
  </si>
  <si>
    <r>
      <t xml:space="preserve"> Einrechnungen
</t>
    </r>
    <r>
      <rPr>
        <sz val="11"/>
        <rFont val="Calibri"/>
        <family val="2"/>
      </rPr>
      <t xml:space="preserve"> (IT, Bib &amp; sonstige
 Einrechnungen) </t>
    </r>
  </si>
  <si>
    <r>
      <t xml:space="preserve"> Stunden an
 </t>
    </r>
    <r>
      <rPr>
        <b/>
        <sz val="11"/>
        <rFont val="Calibri"/>
        <family val="2"/>
      </rPr>
      <t>anderen Schulen</t>
    </r>
  </si>
  <si>
    <r>
      <t xml:space="preserve"> Beschäftigungsausmaß 
 </t>
    </r>
    <r>
      <rPr>
        <sz val="11"/>
        <rFont val="Calibri"/>
        <family val="2"/>
      </rPr>
      <t>in Stunden</t>
    </r>
  </si>
  <si>
    <t xml:space="preserve">Summe: </t>
  </si>
  <si>
    <t xml:space="preserve">zur Verfügung stehendes Kontingent: </t>
  </si>
  <si>
    <t xml:space="preserve">Restkontingent: </t>
  </si>
  <si>
    <t>PTS für 2024/25</t>
  </si>
  <si>
    <t>Name</t>
  </si>
  <si>
    <t>Vorname</t>
  </si>
  <si>
    <t>Std.</t>
  </si>
  <si>
    <t>Rel</t>
  </si>
  <si>
    <t>WE/EH</t>
  </si>
  <si>
    <t>Inst</t>
  </si>
  <si>
    <t>Assi</t>
  </si>
  <si>
    <t>Einr.</t>
  </si>
  <si>
    <t>and.
Schule</t>
  </si>
  <si>
    <t>lit</t>
  </si>
  <si>
    <r>
      <t xml:space="preserve">LehrerInnen mit </t>
    </r>
    <r>
      <rPr>
        <b/>
        <u/>
        <sz val="22"/>
        <color theme="1"/>
        <rFont val="Calibri"/>
        <family val="2"/>
      </rPr>
      <t>anderer Stammschule</t>
    </r>
    <r>
      <rPr>
        <b/>
        <sz val="22"/>
        <color theme="1"/>
        <rFont val="Calibri"/>
        <family val="2"/>
      </rPr>
      <t xml:space="preserve">, </t>
    </r>
  </si>
  <si>
    <r>
      <t xml:space="preserve">Name, </t>
    </r>
    <r>
      <rPr>
        <b/>
        <sz val="12"/>
        <rFont val="Calibri"/>
        <family val="2"/>
      </rPr>
      <t>Stammschule</t>
    </r>
    <r>
      <rPr>
        <sz val="12"/>
        <rFont val="Calibri"/>
        <family val="2"/>
      </rPr>
      <t xml:space="preserve">
</t>
    </r>
  </si>
  <si>
    <r>
      <t xml:space="preserve">Assistenz
</t>
    </r>
    <r>
      <rPr>
        <sz val="10"/>
        <rFont val="Calibri"/>
        <family val="2"/>
      </rPr>
      <t>(mit Anstellung über BilDi)</t>
    </r>
  </si>
  <si>
    <r>
      <t xml:space="preserve">Einrechnungen
</t>
    </r>
    <r>
      <rPr>
        <sz val="11"/>
        <rFont val="Calibri"/>
        <family val="2"/>
        <scheme val="minor"/>
      </rPr>
      <t>IT-Betreuung,  MDM, Bibliothek,…</t>
    </r>
  </si>
  <si>
    <r>
      <t xml:space="preserve">
</t>
    </r>
    <r>
      <rPr>
        <b/>
        <sz val="11"/>
        <rFont val="Calibri"/>
        <family val="2"/>
      </rPr>
      <t>Fach</t>
    </r>
  </si>
  <si>
    <t xml:space="preserve">
Stunden</t>
  </si>
  <si>
    <t xml:space="preserve">Einschätzung der Schule: </t>
  </si>
  <si>
    <t xml:space="preserve">     keine personelle Änderung notwendig</t>
  </si>
  <si>
    <r>
      <t xml:space="preserve">     </t>
    </r>
    <r>
      <rPr>
        <b/>
        <u/>
        <sz val="14"/>
        <rFont val="Calibri"/>
        <family val="2"/>
      </rPr>
      <t>Überbesetzung:</t>
    </r>
  </si>
  <si>
    <t xml:space="preserve">      Lehrverpflichtung eingesetzt werden.  </t>
  </si>
  <si>
    <t xml:space="preserve">      Lösungsvorschlag:</t>
  </si>
  <si>
    <t>1. Unterrichtsfach</t>
  </si>
  <si>
    <t>Anzahl Stunden
in Fach 1</t>
  </si>
  <si>
    <t>2. Unterrichtsfach</t>
  </si>
  <si>
    <t>Anzahl Stunden
in Fach 2</t>
  </si>
  <si>
    <t>3. Unterrichtsfach</t>
  </si>
  <si>
    <t>Anzahl Stunden
in Fach 3</t>
  </si>
  <si>
    <t>Anzahl Stunden für
Teamteaching, Integration</t>
  </si>
  <si>
    <t>Summe</t>
  </si>
  <si>
    <t xml:space="preserve">     zusätzlicher Bedarf
      an Lehrpersonen:</t>
  </si>
  <si>
    <r>
      <t xml:space="preserve">LeiterIn und LehrerInnen </t>
    </r>
    <r>
      <rPr>
        <b/>
        <sz val="18"/>
        <rFont val="Calibri"/>
        <family val="2"/>
      </rPr>
      <t xml:space="preserve">
</t>
    </r>
    <r>
      <rPr>
        <b/>
        <sz val="18"/>
        <color indexed="16"/>
        <rFont val="Calibri"/>
        <family val="2"/>
      </rPr>
      <t xml:space="preserve">der eigenen Schule 
</t>
    </r>
    <r>
      <rPr>
        <b/>
        <sz val="10"/>
        <color indexed="16"/>
        <rFont val="Calibri"/>
        <family val="2"/>
      </rPr>
      <t>[= Stammschule]</t>
    </r>
    <r>
      <rPr>
        <b/>
        <sz val="10"/>
        <rFont val="Calibri"/>
        <family val="2"/>
      </rPr>
      <t xml:space="preserve">
… in alphabetischer Reihenfolge
</t>
    </r>
    <r>
      <rPr>
        <b/>
        <u/>
        <sz val="10"/>
        <rFont val="Calibri"/>
        <family val="2"/>
      </rPr>
      <t>beginnend mit der Leitung</t>
    </r>
  </si>
  <si>
    <t xml:space="preserve"> Erstsprache &amp;
 andere Religionen</t>
  </si>
  <si>
    <t xml:space="preserve">      nicht alle im Blatt &lt;Lehrpersonen&gt; eingetragenen Lehrpersonen können im Rahmen ihrer </t>
  </si>
  <si>
    <t xml:space="preserve">verpflichtend angemeldet haben, unabhängig davon, ob an der Stammschule </t>
  </si>
  <si>
    <r>
      <t xml:space="preserve"> Gehaltene Stunden
</t>
    </r>
    <r>
      <rPr>
        <sz val="11"/>
        <rFont val="Calibri"/>
        <family val="2"/>
        <scheme val="minor"/>
      </rPr>
      <t xml:space="preserve"> außer jene der Spalten H bis O</t>
    </r>
  </si>
  <si>
    <r>
      <t xml:space="preserve"> Gehaltene Stunden
</t>
    </r>
    <r>
      <rPr>
        <sz val="11"/>
        <rFont val="Calibri"/>
        <family val="2"/>
        <scheme val="minor"/>
      </rPr>
      <t xml:space="preserve"> außer jene der Spalten F bis N</t>
    </r>
  </si>
  <si>
    <t xml:space="preserve"> Erstsprache &amp;
alle Religionen</t>
  </si>
  <si>
    <t xml:space="preserve">Lit. Stunden + GTS: </t>
  </si>
  <si>
    <t xml:space="preserve">Extra Antrag: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</si>
</sst>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General\ \K\L"/>
    <numFmt numFmtId="166" formatCode="\+\ 0.0;\-\ 0.0"/>
    <numFmt numFmtId="167" formatCode="&quot;davon &quot;0.0"/>
    <numFmt numFmtId="168" formatCode="\á\ \ 0.00"/>
    <numFmt numFmtId="169" formatCode="\+General;\-General"/>
    <numFmt numFmtId="170" formatCode="\+\ General"/>
    <numFmt numFmtId="171" formatCode="0.0%"/>
  </numFmts>
  <fonts count="191"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2"/>
      <color theme="1"/>
      <name val="Calibri"/>
      <family val="2"/>
    </font>
    <font>
      <sz val="14"/>
      <color theme="1"/>
      <name val="Calibri"/>
      <family val="2"/>
    </font>
    <font>
      <sz val="11"/>
      <color theme="1"/>
      <name val="Calibri"/>
      <family val="2"/>
      <scheme val="minor"/>
    </font>
    <font>
      <sz val="11"/>
      <color rgb="FF0070C0"/>
      <name val="Calibri"/>
      <family val="2"/>
    </font>
    <font>
      <sz val="13"/>
      <color theme="1"/>
      <name val="Calibri"/>
      <family val="2"/>
    </font>
    <font>
      <sz val="16"/>
      <color theme="1"/>
      <name val="Calibri"/>
      <family val="2"/>
    </font>
    <font>
      <b/>
      <sz val="12"/>
      <color theme="1"/>
      <name val="Calibri"/>
      <family val="2"/>
    </font>
    <font>
      <sz val="11"/>
      <color rgb="FFC00000"/>
      <name val="Calibri"/>
      <family val="2"/>
    </font>
    <font>
      <sz val="10"/>
      <color rgb="FFC00000"/>
      <name val="Calibri"/>
      <family val="2"/>
    </font>
    <font>
      <sz val="11"/>
      <color theme="0" tint="-0.499984740745262"/>
      <name val="Calibri"/>
      <family val="2"/>
    </font>
    <font>
      <sz val="10"/>
      <name val="Calibri"/>
      <family val="2"/>
    </font>
    <font>
      <sz val="11"/>
      <name val="Calibri"/>
      <family val="2"/>
    </font>
    <font>
      <b/>
      <u/>
      <sz val="12"/>
      <color theme="1"/>
      <name val="Calibri"/>
      <family val="2"/>
    </font>
    <font>
      <i/>
      <sz val="10"/>
      <color theme="0" tint="-0.499984740745262"/>
      <name val="Calibri"/>
      <family val="2"/>
    </font>
    <font>
      <i/>
      <sz val="11"/>
      <color theme="1"/>
      <name val="Calibri"/>
      <family val="2"/>
    </font>
    <font>
      <b/>
      <sz val="11"/>
      <color rgb="FF0070C0"/>
      <name val="Calibri"/>
      <family val="2"/>
    </font>
    <font>
      <sz val="11"/>
      <color rgb="FF7030A0"/>
      <name val="Calibri"/>
      <family val="2"/>
    </font>
    <font>
      <sz val="20"/>
      <color theme="1"/>
      <name val="Calibri"/>
      <family val="2"/>
    </font>
    <font>
      <sz val="4"/>
      <color theme="1"/>
      <name val="Calibri"/>
      <family val="2"/>
    </font>
    <font>
      <sz val="10"/>
      <color theme="1"/>
      <name val="Calibri"/>
      <family val="2"/>
    </font>
    <font>
      <sz val="5"/>
      <color theme="0" tint="-0.499984740745262"/>
      <name val="Calibri"/>
      <family val="2"/>
    </font>
    <font>
      <b/>
      <u/>
      <sz val="11"/>
      <color theme="1"/>
      <name val="Calibri"/>
      <family val="2"/>
    </font>
    <font>
      <sz val="5"/>
      <color theme="1"/>
      <name val="Calibri"/>
      <family val="2"/>
      <scheme val="minor"/>
    </font>
    <font>
      <i/>
      <sz val="8"/>
      <color theme="1"/>
      <name val="Calibri"/>
      <family val="2"/>
    </font>
    <font>
      <i/>
      <sz val="9"/>
      <color theme="1"/>
      <name val="Calibri"/>
      <family val="2"/>
    </font>
    <font>
      <i/>
      <sz val="10"/>
      <name val="Calibri"/>
      <family val="2"/>
    </font>
    <font>
      <b/>
      <sz val="11"/>
      <color rgb="FFC00000"/>
      <name val="Calibri"/>
      <family val="2"/>
    </font>
    <font>
      <sz val="11"/>
      <color theme="0" tint="-0.499984740745262"/>
      <name val="Calibri"/>
      <family val="2"/>
      <scheme val="minor"/>
    </font>
    <font>
      <b/>
      <sz val="14"/>
      <color theme="1"/>
      <name val="Calibri"/>
      <family val="2"/>
    </font>
    <font>
      <sz val="6"/>
      <color theme="0"/>
      <name val="Calibri"/>
      <family val="2"/>
    </font>
    <font>
      <i/>
      <sz val="8"/>
      <color rgb="FF0070C0"/>
      <name val="Calibri"/>
      <family val="2"/>
    </font>
    <font>
      <sz val="11"/>
      <name val="Arial"/>
      <family val="2"/>
    </font>
    <font>
      <u/>
      <sz val="11"/>
      <color indexed="12"/>
      <name val="Arial"/>
      <family val="2"/>
    </font>
    <font>
      <sz val="9"/>
      <color indexed="81"/>
      <name val="Tahoma"/>
      <family val="2"/>
    </font>
    <font>
      <sz val="9"/>
      <color indexed="81"/>
      <name val="Segoe UI"/>
      <family val="2"/>
    </font>
    <font>
      <sz val="24"/>
      <name val="Calibri"/>
      <family val="2"/>
      <scheme val="minor"/>
    </font>
    <font>
      <sz val="11"/>
      <name val="Calibri"/>
      <family val="2"/>
      <scheme val="minor"/>
    </font>
    <font>
      <u/>
      <sz val="18"/>
      <name val="Calibri"/>
      <family val="2"/>
      <scheme val="minor"/>
    </font>
    <font>
      <sz val="8"/>
      <name val="Calibri"/>
      <family val="2"/>
      <scheme val="minor"/>
    </font>
    <font>
      <sz val="9"/>
      <name val="Calibri"/>
      <family val="2"/>
      <scheme val="minor"/>
    </font>
    <font>
      <u/>
      <sz val="8"/>
      <name val="Calibri"/>
      <family val="2"/>
      <scheme val="minor"/>
    </font>
    <font>
      <i/>
      <sz val="11"/>
      <color indexed="62"/>
      <name val="Calibri"/>
      <family val="2"/>
      <scheme val="minor"/>
    </font>
    <font>
      <sz val="10"/>
      <color rgb="FF333399"/>
      <name val="Calibri"/>
      <family val="2"/>
      <scheme val="minor"/>
    </font>
    <font>
      <sz val="11"/>
      <color indexed="62"/>
      <name val="Calibri"/>
      <family val="2"/>
      <scheme val="minor"/>
    </font>
    <font>
      <u/>
      <sz val="11"/>
      <color rgb="FF333399"/>
      <name val="Calibri"/>
      <family val="2"/>
      <scheme val="minor"/>
    </font>
    <font>
      <sz val="14"/>
      <name val="Calibri"/>
      <family val="2"/>
      <scheme val="minor"/>
    </font>
    <font>
      <sz val="12"/>
      <name val="Calibri"/>
      <family val="2"/>
      <scheme val="minor"/>
    </font>
    <font>
      <u/>
      <sz val="12"/>
      <name val="Calibri"/>
      <family val="2"/>
      <scheme val="minor"/>
    </font>
    <font>
      <sz val="2"/>
      <name val="Calibri"/>
      <family val="2"/>
      <scheme val="minor"/>
    </font>
    <font>
      <b/>
      <sz val="12"/>
      <name val="Calibri"/>
      <family val="2"/>
      <scheme val="minor"/>
    </font>
    <font>
      <b/>
      <sz val="11"/>
      <name val="Calibri"/>
      <family val="2"/>
      <scheme val="minor"/>
    </font>
    <font>
      <sz val="10"/>
      <name val="Calibri"/>
      <family val="2"/>
      <scheme val="minor"/>
    </font>
    <font>
      <sz val="8"/>
      <color indexed="12"/>
      <name val="Calibri"/>
      <family val="2"/>
      <scheme val="minor"/>
    </font>
    <font>
      <i/>
      <sz val="8"/>
      <color indexed="60"/>
      <name val="Calibri"/>
      <family val="2"/>
      <scheme val="minor"/>
    </font>
    <font>
      <b/>
      <u/>
      <sz val="12"/>
      <name val="Calibri"/>
      <family val="2"/>
      <scheme val="minor"/>
    </font>
    <font>
      <sz val="8"/>
      <color theme="2" tint="-0.249977111117893"/>
      <name val="Calibri"/>
      <family val="2"/>
      <scheme val="minor"/>
    </font>
    <font>
      <sz val="16"/>
      <name val="Calibri"/>
      <family val="2"/>
      <scheme val="minor"/>
    </font>
    <font>
      <sz val="11"/>
      <color indexed="16"/>
      <name val="Calibri"/>
      <family val="2"/>
      <scheme val="minor"/>
    </font>
    <font>
      <sz val="8"/>
      <color indexed="44"/>
      <name val="Calibri"/>
      <family val="2"/>
      <scheme val="minor"/>
    </font>
    <font>
      <sz val="8"/>
      <color theme="6" tint="0.79998168889431442"/>
      <name val="Calibri"/>
      <family val="2"/>
      <scheme val="minor"/>
    </font>
    <font>
      <sz val="18"/>
      <color theme="6" tint="0.79998168889431442"/>
      <name val="Calibri"/>
      <family val="2"/>
      <scheme val="minor"/>
    </font>
    <font>
      <sz val="11"/>
      <color indexed="17"/>
      <name val="Calibri"/>
      <family val="2"/>
      <scheme val="minor"/>
    </font>
    <font>
      <sz val="9"/>
      <color indexed="17"/>
      <name val="Calibri"/>
      <family val="2"/>
      <scheme val="minor"/>
    </font>
    <font>
      <sz val="7"/>
      <color indexed="17"/>
      <name val="Calibri"/>
      <family val="2"/>
      <scheme val="minor"/>
    </font>
    <font>
      <sz val="9"/>
      <color indexed="12"/>
      <name val="Calibri"/>
      <family val="2"/>
      <scheme val="minor"/>
    </font>
    <font>
      <sz val="9"/>
      <color indexed="16"/>
      <name val="Calibri"/>
      <family val="2"/>
      <scheme val="minor"/>
    </font>
    <font>
      <sz val="8"/>
      <color theme="0"/>
      <name val="Calibri"/>
      <family val="2"/>
      <scheme val="minor"/>
    </font>
    <font>
      <sz val="8"/>
      <color rgb="FF0070C0"/>
      <name val="Calibri"/>
      <family val="2"/>
      <scheme val="minor"/>
    </font>
    <font>
      <sz val="6"/>
      <name val="Calibri"/>
      <family val="2"/>
      <scheme val="minor"/>
    </font>
    <font>
      <b/>
      <sz val="14"/>
      <name val="Calibri"/>
      <family val="2"/>
      <scheme val="minor"/>
    </font>
    <font>
      <sz val="11"/>
      <color indexed="12"/>
      <name val="Calibri"/>
      <family val="2"/>
      <scheme val="minor"/>
    </font>
    <font>
      <b/>
      <sz val="11"/>
      <color theme="4" tint="-0.249977111117893"/>
      <name val="Calibri"/>
      <family val="2"/>
      <scheme val="minor"/>
    </font>
    <font>
      <b/>
      <sz val="9"/>
      <name val="Calibri"/>
      <family val="2"/>
      <scheme val="minor"/>
    </font>
    <font>
      <i/>
      <sz val="11"/>
      <name val="Calibri"/>
      <family val="2"/>
      <scheme val="minor"/>
    </font>
    <font>
      <sz val="8"/>
      <color rgb="FF0000FF"/>
      <name val="Calibri"/>
      <family val="2"/>
      <scheme val="minor"/>
    </font>
    <font>
      <sz val="11"/>
      <color rgb="FF0000FF"/>
      <name val="Calibri"/>
      <family val="2"/>
      <scheme val="minor"/>
    </font>
    <font>
      <i/>
      <sz val="6"/>
      <name val="Calibri"/>
      <family val="2"/>
      <scheme val="minor"/>
    </font>
    <font>
      <sz val="11"/>
      <color rgb="FF0070C0"/>
      <name val="Calibri"/>
      <family val="2"/>
      <scheme val="minor"/>
    </font>
    <font>
      <sz val="11"/>
      <color indexed="16"/>
      <name val="Arial"/>
      <family val="2"/>
    </font>
    <font>
      <sz val="8"/>
      <color indexed="16"/>
      <name val="Arial"/>
      <family val="2"/>
    </font>
    <font>
      <b/>
      <sz val="11"/>
      <color rgb="FF7030A0"/>
      <name val="Arial"/>
      <family val="2"/>
    </font>
    <font>
      <b/>
      <sz val="11"/>
      <name val="Arial"/>
      <family val="2"/>
    </font>
    <font>
      <sz val="14"/>
      <name val="Arial"/>
      <family val="2"/>
    </font>
    <font>
      <sz val="18"/>
      <name val="Calibri"/>
      <family val="2"/>
      <scheme val="minor"/>
    </font>
    <font>
      <u/>
      <sz val="10"/>
      <name val="Calibri"/>
      <family val="2"/>
      <scheme val="minor"/>
    </font>
    <font>
      <sz val="11"/>
      <color theme="0" tint="-0.249977111117893"/>
      <name val="Calibri"/>
      <family val="2"/>
      <scheme val="minor"/>
    </font>
    <font>
      <sz val="18"/>
      <color theme="1"/>
      <name val="Calibri"/>
      <family val="2"/>
    </font>
    <font>
      <sz val="10"/>
      <name val="Arial"/>
      <family val="2"/>
    </font>
    <font>
      <sz val="11"/>
      <color theme="4" tint="0.39997558519241921"/>
      <name val="Calibri"/>
      <family val="2"/>
      <scheme val="minor"/>
    </font>
    <font>
      <b/>
      <sz val="11"/>
      <color theme="4" tint="0.39997558519241921"/>
      <name val="Calibri"/>
      <family val="2"/>
      <scheme val="minor"/>
    </font>
    <font>
      <sz val="11"/>
      <color theme="5" tint="0.39997558519241921"/>
      <name val="Calibri"/>
      <family val="2"/>
      <scheme val="minor"/>
    </font>
    <font>
      <sz val="8"/>
      <color theme="1"/>
      <name val="Calibri"/>
      <family val="2"/>
    </font>
    <font>
      <sz val="8"/>
      <color theme="0" tint="-0.499984740745262"/>
      <name val="Calibri"/>
      <family val="2"/>
    </font>
    <font>
      <u/>
      <sz val="12"/>
      <color theme="1"/>
      <name val="Calibri"/>
      <family val="2"/>
    </font>
    <font>
      <strike/>
      <sz val="8"/>
      <color theme="0" tint="-0.499984740745262"/>
      <name val="Calibri"/>
      <family val="2"/>
    </font>
    <font>
      <i/>
      <sz val="9"/>
      <color rgb="FF0070C0"/>
      <name val="Calibri"/>
      <family val="2"/>
    </font>
    <font>
      <u/>
      <sz val="13"/>
      <color theme="1"/>
      <name val="Calibri"/>
      <family val="2"/>
    </font>
    <font>
      <sz val="5"/>
      <color theme="1"/>
      <name val="Calibri"/>
      <family val="2"/>
    </font>
    <font>
      <sz val="11"/>
      <color theme="1"/>
      <name val="Calibri"/>
      <family val="2"/>
    </font>
    <font>
      <u/>
      <sz val="20"/>
      <name val="Calibri"/>
      <family val="2"/>
      <scheme val="minor"/>
    </font>
    <font>
      <sz val="26"/>
      <name val="Calibri"/>
      <family val="2"/>
      <scheme val="minor"/>
    </font>
    <font>
      <i/>
      <sz val="8"/>
      <color rgb="FF0070C0"/>
      <name val="Calibri"/>
      <family val="2"/>
      <scheme val="minor"/>
    </font>
    <font>
      <sz val="10"/>
      <color rgb="FF0070C0"/>
      <name val="Calibri"/>
      <family val="2"/>
      <scheme val="minor"/>
    </font>
    <font>
      <sz val="24"/>
      <color theme="1"/>
      <name val="Calibri"/>
      <family val="2"/>
      <scheme val="minor"/>
    </font>
    <font>
      <sz val="9"/>
      <color rgb="FF0070C0"/>
      <name val="Calibri"/>
      <family val="2"/>
      <scheme val="minor"/>
    </font>
    <font>
      <sz val="8"/>
      <color theme="0" tint="-0.249977111117893"/>
      <name val="Calibri"/>
      <family val="2"/>
      <scheme val="minor"/>
    </font>
    <font>
      <b/>
      <sz val="13"/>
      <name val="Calibri"/>
      <family val="2"/>
      <scheme val="minor"/>
    </font>
    <font>
      <sz val="13"/>
      <name val="Calibri"/>
      <family val="2"/>
      <scheme val="minor"/>
    </font>
    <font>
      <b/>
      <u/>
      <sz val="11"/>
      <name val="Calibri"/>
      <family val="2"/>
      <scheme val="minor"/>
    </font>
    <font>
      <b/>
      <i/>
      <sz val="14"/>
      <name val="Calibri"/>
      <family val="2"/>
      <scheme val="minor"/>
    </font>
    <font>
      <sz val="6"/>
      <color theme="1"/>
      <name val="Calibri"/>
      <family val="2"/>
    </font>
    <font>
      <sz val="13"/>
      <color theme="1"/>
      <name val="Calibri"/>
      <family val="2"/>
      <scheme val="minor"/>
    </font>
    <font>
      <b/>
      <u/>
      <sz val="20"/>
      <name val="Calibri"/>
      <family val="2"/>
      <scheme val="minor"/>
    </font>
    <font>
      <sz val="20"/>
      <name val="Calibri"/>
      <family val="2"/>
      <scheme val="minor"/>
    </font>
    <font>
      <sz val="19"/>
      <color theme="1"/>
      <name val="Calibri"/>
      <family val="2"/>
    </font>
    <font>
      <strike/>
      <sz val="11"/>
      <color theme="1"/>
      <name val="Calibri"/>
      <family val="2"/>
    </font>
    <font>
      <i/>
      <sz val="12"/>
      <color theme="1"/>
      <name val="Calibri"/>
      <family val="2"/>
    </font>
    <font>
      <i/>
      <sz val="10"/>
      <color theme="1"/>
      <name val="Calibri"/>
      <family val="2"/>
    </font>
    <font>
      <i/>
      <sz val="16"/>
      <color theme="1"/>
      <name val="Calibri"/>
      <family val="2"/>
    </font>
    <font>
      <u/>
      <sz val="18"/>
      <color theme="1"/>
      <name val="Calibri"/>
      <family val="2"/>
    </font>
    <font>
      <sz val="6"/>
      <color theme="0"/>
      <name val="Calibri"/>
      <family val="2"/>
      <scheme val="minor"/>
    </font>
    <font>
      <i/>
      <sz val="11"/>
      <name val="Calibri"/>
      <family val="2"/>
    </font>
    <font>
      <u/>
      <sz val="19"/>
      <name val="Calibri"/>
      <family val="2"/>
      <scheme val="minor"/>
    </font>
    <font>
      <sz val="7"/>
      <color rgb="FF0070C0"/>
      <name val="Calibri"/>
      <family val="2"/>
      <scheme val="minor"/>
    </font>
    <font>
      <i/>
      <sz val="11"/>
      <color rgb="FFFF5050"/>
      <name val="Calibri"/>
      <family val="2"/>
    </font>
    <font>
      <sz val="6"/>
      <color rgb="FF0070C0"/>
      <name val="Calibri"/>
      <family val="2"/>
      <scheme val="minor"/>
    </font>
    <font>
      <sz val="11"/>
      <color theme="0"/>
      <name val="Calibri"/>
      <family val="2"/>
      <scheme val="minor"/>
    </font>
    <font>
      <i/>
      <sz val="9"/>
      <color rgb="FF333399"/>
      <name val="Calibri"/>
      <family val="2"/>
      <scheme val="minor"/>
    </font>
    <font>
      <b/>
      <sz val="10"/>
      <name val="Calibri"/>
      <family val="2"/>
      <scheme val="minor"/>
    </font>
    <font>
      <sz val="7"/>
      <name val="Arial"/>
      <family val="2"/>
    </font>
    <font>
      <sz val="6"/>
      <color theme="1"/>
      <name val="Calibri"/>
      <family val="2"/>
      <scheme val="minor"/>
    </font>
    <font>
      <sz val="14"/>
      <color theme="0"/>
      <name val="Calibri"/>
      <family val="2"/>
      <scheme val="minor"/>
    </font>
    <font>
      <strike/>
      <sz val="9"/>
      <color theme="0"/>
      <name val="Calibri"/>
      <family val="2"/>
      <scheme val="minor"/>
    </font>
    <font>
      <sz val="28"/>
      <color theme="0"/>
      <name val="Calibri"/>
      <family val="2"/>
      <scheme val="minor"/>
    </font>
    <font>
      <b/>
      <u/>
      <sz val="12"/>
      <color theme="0"/>
      <name val="Calibri"/>
      <family val="2"/>
      <scheme val="minor"/>
    </font>
    <font>
      <sz val="8"/>
      <color theme="1"/>
      <name val="Calibri"/>
      <family val="2"/>
      <scheme val="minor"/>
    </font>
    <font>
      <b/>
      <sz val="11"/>
      <color theme="1"/>
      <name val="Calibri"/>
      <family val="2"/>
      <scheme val="minor"/>
    </font>
    <font>
      <sz val="12"/>
      <color theme="1"/>
      <name val="Calibri"/>
      <family val="2"/>
      <scheme val="minor"/>
    </font>
    <font>
      <sz val="20"/>
      <color theme="0"/>
      <name val="Calibri"/>
      <family val="2"/>
      <scheme val="minor"/>
    </font>
    <font>
      <u/>
      <sz val="11"/>
      <color indexed="12"/>
      <name val="Calibri"/>
      <family val="2"/>
      <scheme val="minor"/>
    </font>
    <font>
      <sz val="12"/>
      <color theme="0"/>
      <name val="Calibri"/>
      <family val="2"/>
      <scheme val="minor"/>
    </font>
    <font>
      <sz val="8"/>
      <name val="Calibri"/>
      <family val="2"/>
    </font>
    <font>
      <b/>
      <sz val="11"/>
      <name val="Calibri"/>
      <family val="2"/>
    </font>
    <font>
      <b/>
      <u/>
      <sz val="14"/>
      <color rgb="FFC00000"/>
      <name val="Calibri"/>
      <family val="2"/>
      <scheme val="minor"/>
    </font>
    <font>
      <sz val="14"/>
      <color theme="1"/>
      <name val="Calibri"/>
      <family val="2"/>
      <scheme val="minor"/>
    </font>
    <font>
      <sz val="11"/>
      <color rgb="FF000000"/>
      <name val="Calibri"/>
      <family val="2"/>
    </font>
    <font>
      <b/>
      <sz val="11"/>
      <color rgb="FF000000"/>
      <name val="Calibri"/>
      <family val="2"/>
    </font>
    <font>
      <b/>
      <sz val="25"/>
      <name val="Calibri"/>
      <family val="2"/>
      <scheme val="minor"/>
    </font>
    <font>
      <u/>
      <sz val="24"/>
      <name val="Calibri"/>
      <family val="2"/>
      <scheme val="minor"/>
    </font>
    <font>
      <i/>
      <sz val="18"/>
      <name val="Calibri"/>
      <family val="2"/>
      <scheme val="minor"/>
    </font>
    <font>
      <b/>
      <sz val="20"/>
      <name val="Calibri"/>
      <family val="2"/>
      <scheme val="minor"/>
    </font>
    <font>
      <b/>
      <sz val="18"/>
      <name val="Calibri"/>
      <family val="2"/>
    </font>
    <font>
      <b/>
      <sz val="18"/>
      <color indexed="16"/>
      <name val="Calibri"/>
      <family val="2"/>
    </font>
    <font>
      <b/>
      <sz val="10"/>
      <color indexed="16"/>
      <name val="Calibri"/>
      <family val="2"/>
    </font>
    <font>
      <b/>
      <sz val="10"/>
      <name val="Calibri"/>
      <family val="2"/>
    </font>
    <font>
      <b/>
      <u/>
      <sz val="10"/>
      <name val="Calibri"/>
      <family val="2"/>
    </font>
    <font>
      <sz val="7"/>
      <name val="Calibri"/>
      <family val="2"/>
      <scheme val="minor"/>
    </font>
    <font>
      <sz val="13"/>
      <color indexed="12"/>
      <name val="Calibri"/>
      <family val="2"/>
      <scheme val="minor"/>
    </font>
    <font>
      <sz val="5"/>
      <name val="Calibri"/>
      <family val="2"/>
      <scheme val="minor"/>
    </font>
    <font>
      <b/>
      <sz val="8"/>
      <color indexed="12"/>
      <name val="Calibri"/>
      <family val="2"/>
      <scheme val="minor"/>
    </font>
    <font>
      <sz val="10"/>
      <color theme="0"/>
      <name val="Calibri"/>
      <family val="2"/>
    </font>
    <font>
      <sz val="7"/>
      <color theme="4" tint="0.39997558519241921"/>
      <name val="Calibri"/>
      <family val="2"/>
      <scheme val="minor"/>
    </font>
    <font>
      <b/>
      <u/>
      <sz val="25"/>
      <name val="Calibri"/>
      <family val="2"/>
    </font>
    <font>
      <sz val="7"/>
      <color theme="9" tint="0.39997558519241921"/>
      <name val="Calibri"/>
      <family val="2"/>
      <scheme val="minor"/>
    </font>
    <font>
      <sz val="4"/>
      <name val="Calibri"/>
      <family val="2"/>
      <scheme val="minor"/>
    </font>
    <font>
      <sz val="18"/>
      <color indexed="10"/>
      <name val="Calibri"/>
      <family val="2"/>
      <scheme val="minor"/>
    </font>
    <font>
      <b/>
      <sz val="22"/>
      <color theme="1"/>
      <name val="Calibri"/>
      <family val="2"/>
      <scheme val="minor"/>
    </font>
    <font>
      <b/>
      <u/>
      <sz val="22"/>
      <color theme="1"/>
      <name val="Calibri"/>
      <family val="2"/>
    </font>
    <font>
      <b/>
      <sz val="22"/>
      <color theme="1"/>
      <name val="Calibri"/>
      <family val="2"/>
    </font>
    <font>
      <i/>
      <sz val="12"/>
      <name val="Calibri"/>
      <family val="2"/>
      <scheme val="minor"/>
    </font>
    <font>
      <sz val="8"/>
      <color indexed="10"/>
      <name val="Calibri"/>
      <family val="2"/>
      <scheme val="minor"/>
    </font>
    <font>
      <b/>
      <sz val="16"/>
      <color theme="1"/>
      <name val="Calibri"/>
      <family val="2"/>
    </font>
    <font>
      <b/>
      <sz val="12"/>
      <name val="Calibri"/>
      <family val="2"/>
    </font>
    <font>
      <sz val="12"/>
      <name val="Calibri"/>
      <family val="2"/>
    </font>
    <font>
      <sz val="14"/>
      <color indexed="12"/>
      <name val="Calibri"/>
      <family val="2"/>
      <scheme val="minor"/>
    </font>
    <font>
      <b/>
      <sz val="22"/>
      <name val="Calibri"/>
      <family val="2"/>
      <scheme val="minor"/>
    </font>
    <font>
      <sz val="22"/>
      <name val="Calibri"/>
      <family val="2"/>
      <scheme val="minor"/>
    </font>
    <font>
      <b/>
      <i/>
      <sz val="24"/>
      <name val="Calibri"/>
      <family val="2"/>
      <scheme val="minor"/>
    </font>
    <font>
      <b/>
      <sz val="16"/>
      <name val="Calibri"/>
      <family val="2"/>
      <scheme val="minor"/>
    </font>
    <font>
      <b/>
      <u/>
      <sz val="14"/>
      <name val="Calibri"/>
      <family val="2"/>
    </font>
    <font>
      <sz val="11"/>
      <color indexed="10"/>
      <name val="Calibri"/>
      <family val="2"/>
      <scheme val="minor"/>
    </font>
    <font>
      <sz val="11"/>
      <color rgb="FF000000"/>
      <name val="Calibri"/>
      <family val="2"/>
      <scheme val="minor"/>
    </font>
    <font>
      <b/>
      <sz val="11"/>
      <color theme="0"/>
      <name val="Calibri"/>
      <family val="2"/>
      <scheme val="minor"/>
    </font>
  </fonts>
  <fills count="5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79998168889431442"/>
        <bgColor indexed="64"/>
      </patternFill>
    </fill>
    <fill>
      <gradientFill degree="180">
        <stop position="0">
          <color theme="5" tint="-0.25098422193060094"/>
        </stop>
        <stop position="1">
          <color theme="5" tint="0.80001220740379042"/>
        </stop>
      </gradientFill>
    </fill>
    <fill>
      <patternFill patternType="solid">
        <fgColor theme="9"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CCFF"/>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gradientFill degree="135">
        <stop position="0">
          <color theme="0"/>
        </stop>
        <stop position="1">
          <color rgb="FFFFFFCC"/>
        </stop>
      </gradientFill>
    </fill>
    <fill>
      <patternFill patternType="solid">
        <fgColor rgb="FFFF99FF"/>
        <bgColor indexed="64"/>
      </patternFill>
    </fill>
    <fill>
      <patternFill patternType="solid">
        <fgColor rgb="FFCCFFFF"/>
        <bgColor indexed="64"/>
      </patternFill>
    </fill>
    <fill>
      <patternFill patternType="solid">
        <fgColor theme="7" tint="0.79998168889431442"/>
        <bgColor indexed="64"/>
      </patternFill>
    </fill>
    <fill>
      <patternFill patternType="solid">
        <fgColor theme="4" tint="0.59999389629810485"/>
        <bgColor indexed="64"/>
      </patternFill>
    </fill>
    <fill>
      <gradientFill degree="270">
        <stop position="0">
          <color theme="0"/>
        </stop>
        <stop position="1">
          <color rgb="FFFFFFCC"/>
        </stop>
      </gradientFill>
    </fill>
    <fill>
      <gradientFill degree="180">
        <stop position="0">
          <color theme="0"/>
        </stop>
        <stop position="1">
          <color theme="0" tint="-0.1490218817712943"/>
        </stop>
      </gradientFill>
    </fill>
    <fill>
      <gradientFill degree="180">
        <stop position="0">
          <color theme="0"/>
        </stop>
        <stop position="1">
          <color theme="4" tint="0.59999389629810485"/>
        </stop>
      </gradientFill>
    </fill>
    <fill>
      <gradientFill>
        <stop position="0">
          <color theme="0"/>
        </stop>
        <stop position="1">
          <color theme="4" tint="0.59999389629810485"/>
        </stop>
      </gradientFill>
    </fill>
    <fill>
      <patternFill patternType="solid">
        <fgColor theme="7" tint="0.39997558519241921"/>
        <bgColor indexed="64"/>
      </patternFill>
    </fill>
    <fill>
      <patternFill patternType="solid">
        <fgColor theme="4" tint="0.79998168889431442"/>
        <bgColor indexed="64"/>
      </patternFill>
    </fill>
    <fill>
      <patternFill patternType="solid">
        <fgColor rgb="FFCCFAC6"/>
        <bgColor indexed="64"/>
      </patternFill>
    </fill>
    <fill>
      <gradientFill>
        <stop position="0">
          <color theme="0"/>
        </stop>
        <stop position="1">
          <color theme="5" tint="0.40000610370189521"/>
        </stop>
      </gradientFill>
    </fill>
    <fill>
      <patternFill patternType="solid">
        <fgColor theme="5" tint="0.39997558519241921"/>
        <bgColor indexed="64"/>
      </patternFill>
    </fill>
    <fill>
      <patternFill patternType="lightHorizontal">
        <fgColor theme="0" tint="-0.34998626667073579"/>
        <bgColor theme="0" tint="-4.9989318521683403E-2"/>
      </patternFill>
    </fill>
    <fill>
      <patternFill patternType="solid">
        <fgColor rgb="FF66FFCC"/>
        <bgColor indexed="64"/>
      </patternFill>
    </fill>
    <fill>
      <patternFill patternType="solid">
        <fgColor rgb="FFFFC000"/>
        <bgColor indexed="64"/>
      </patternFill>
    </fill>
    <fill>
      <patternFill patternType="solid">
        <fgColor rgb="FF00B0F0"/>
        <bgColor indexed="64"/>
      </patternFill>
    </fill>
    <fill>
      <patternFill patternType="solid">
        <fgColor rgb="FF66FF99"/>
        <bgColor indexed="64"/>
      </patternFill>
    </fill>
    <fill>
      <patternFill patternType="solid">
        <fgColor rgb="FF7030A0"/>
        <bgColor indexed="64"/>
      </patternFill>
    </fill>
    <fill>
      <patternFill patternType="solid">
        <fgColor rgb="FFDB91B6"/>
        <bgColor indexed="64"/>
      </patternFill>
    </fill>
    <fill>
      <gradientFill degree="180">
        <stop position="0">
          <color theme="0"/>
        </stop>
        <stop position="1">
          <color rgb="FFDB91B6"/>
        </stop>
      </gradientFill>
    </fill>
    <fill>
      <patternFill patternType="gray125">
        <fgColor rgb="FF00FFCC"/>
        <bgColor theme="0"/>
      </patternFill>
    </fill>
    <fill>
      <patternFill patternType="solid">
        <fgColor rgb="FF00FFCC"/>
        <bgColor indexed="64"/>
      </patternFill>
    </fill>
    <fill>
      <patternFill patternType="solid">
        <fgColor theme="0" tint="-4.9989318521683403E-2"/>
        <bgColor indexed="64"/>
      </patternFill>
    </fill>
    <fill>
      <patternFill patternType="solid">
        <fgColor rgb="FF9E052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6B4CD"/>
        <bgColor indexed="64"/>
      </patternFill>
    </fill>
    <fill>
      <patternFill patternType="solid">
        <fgColor rgb="FFEFF9FF"/>
        <bgColor indexed="64"/>
      </patternFill>
    </fill>
    <fill>
      <patternFill patternType="solid">
        <fgColor rgb="FFDDFFF4"/>
        <bgColor indexed="64"/>
      </patternFill>
    </fill>
    <fill>
      <patternFill patternType="solid">
        <fgColor rgb="FFFFF2CC"/>
        <bgColor indexed="64"/>
      </patternFill>
    </fill>
    <fill>
      <patternFill patternType="solid">
        <fgColor rgb="FFE6EDD7"/>
        <bgColor indexed="64"/>
      </patternFill>
    </fill>
    <fill>
      <patternFill patternType="solid">
        <fgColor theme="3" tint="0.79998168889431442"/>
        <bgColor indexed="64"/>
      </patternFill>
    </fill>
    <fill>
      <patternFill patternType="solid">
        <fgColor indexed="65"/>
        <bgColor indexed="64"/>
      </patternFill>
    </fill>
    <fill>
      <patternFill patternType="solid">
        <fgColor rgb="FFF3FFF3"/>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right style="thin">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slantDashDot">
        <color indexed="64"/>
      </left>
      <right style="slantDashDot">
        <color indexed="64"/>
      </right>
      <top style="slantDashDot">
        <color indexed="64"/>
      </top>
      <bottom style="slantDashDot">
        <color indexed="64"/>
      </bottom>
      <diagonal/>
    </border>
    <border>
      <left style="hair">
        <color indexed="64"/>
      </left>
      <right style="dashed">
        <color indexed="64"/>
      </right>
      <top style="dashed">
        <color indexed="64"/>
      </top>
      <bottom style="hair">
        <color indexed="64"/>
      </bottom>
      <diagonal/>
    </border>
    <border>
      <left style="dashed">
        <color indexed="64"/>
      </left>
      <right style="dashed">
        <color indexed="64"/>
      </right>
      <top style="dashed">
        <color indexed="64"/>
      </top>
      <bottom style="hair">
        <color indexed="64"/>
      </bottom>
      <diagonal/>
    </border>
    <border>
      <left style="dashed">
        <color indexed="64"/>
      </left>
      <right style="hair">
        <color indexed="64"/>
      </right>
      <top style="dashed">
        <color indexed="64"/>
      </top>
      <bottom style="hair">
        <color indexed="64"/>
      </bottom>
      <diagonal/>
    </border>
    <border>
      <left style="hair">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hair">
        <color indexed="64"/>
      </right>
      <top/>
      <bottom style="dashed">
        <color indexed="64"/>
      </bottom>
      <diagonal/>
    </border>
    <border>
      <left/>
      <right style="hair">
        <color indexed="64"/>
      </right>
      <top style="hair">
        <color indexed="64"/>
      </top>
      <bottom/>
      <diagonal/>
    </border>
    <border>
      <left style="hair">
        <color indexed="64"/>
      </left>
      <right/>
      <top style="hair">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hair">
        <color indexed="64"/>
      </left>
      <right/>
      <top/>
      <bottom/>
      <diagonal/>
    </border>
    <border>
      <left/>
      <right style="hair">
        <color indexed="64"/>
      </right>
      <top/>
      <bottom/>
      <diagonal/>
    </border>
    <border>
      <left style="dashed">
        <color indexed="64"/>
      </left>
      <right style="hair">
        <color indexed="64"/>
      </right>
      <top/>
      <bottom/>
      <diagonal/>
    </border>
    <border>
      <left/>
      <right style="dashed">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dashed">
        <color indexed="64"/>
      </right>
      <top/>
      <bottom style="dashed">
        <color indexed="64"/>
      </bottom>
      <diagonal/>
    </border>
    <border>
      <left style="dashed">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bottom/>
      <diagonal/>
    </border>
    <border>
      <left/>
      <right/>
      <top style="dashed">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auto="1"/>
      </bottom>
      <diagonal/>
    </border>
    <border>
      <left style="hair">
        <color indexed="64"/>
      </left>
      <right/>
      <top style="hair">
        <color indexed="64"/>
      </top>
      <bottom style="dashed">
        <color indexed="64"/>
      </bottom>
      <diagonal/>
    </border>
    <border>
      <left style="dashed">
        <color auto="1"/>
      </left>
      <right style="hair">
        <color indexed="64"/>
      </right>
      <top style="hair">
        <color auto="1"/>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dashed">
        <color indexed="64"/>
      </left>
      <right/>
      <top/>
      <bottom style="double">
        <color indexed="64"/>
      </bottom>
      <diagonal/>
    </border>
    <border>
      <left/>
      <right/>
      <top style="thick">
        <color indexed="64"/>
      </top>
      <bottom/>
      <diagonal/>
    </border>
    <border>
      <left style="dashed">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ashed">
        <color indexed="64"/>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bottom style="dashed">
        <color indexed="64"/>
      </bottom>
      <diagonal/>
    </border>
    <border>
      <left style="thin">
        <color auto="1"/>
      </left>
      <right style="hair">
        <color auto="1"/>
      </right>
      <top style="thick">
        <color auto="1"/>
      </top>
      <bottom style="double">
        <color auto="1"/>
      </bottom>
      <diagonal/>
    </border>
    <border>
      <left style="hair">
        <color auto="1"/>
      </left>
      <right style="hair">
        <color auto="1"/>
      </right>
      <top style="thick">
        <color auto="1"/>
      </top>
      <bottom style="double">
        <color auto="1"/>
      </bottom>
      <diagonal/>
    </border>
    <border>
      <left style="hair">
        <color auto="1"/>
      </left>
      <right style="thin">
        <color auto="1"/>
      </right>
      <top style="thick">
        <color auto="1"/>
      </top>
      <bottom style="double">
        <color auto="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bottom style="dotted">
        <color indexed="64"/>
      </bottom>
      <diagonal/>
    </border>
    <border>
      <left/>
      <right style="hair">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auto="1"/>
      </left>
      <right/>
      <top style="thick">
        <color auto="1"/>
      </top>
      <bottom style="double">
        <color auto="1"/>
      </bottom>
      <diagonal/>
    </border>
    <border>
      <left/>
      <right/>
      <top style="thick">
        <color auto="1"/>
      </top>
      <bottom style="double">
        <color auto="1"/>
      </bottom>
      <diagonal/>
    </border>
    <border>
      <left/>
      <right style="thin">
        <color auto="1"/>
      </right>
      <top style="thick">
        <color auto="1"/>
      </top>
      <bottom style="double">
        <color auto="1"/>
      </bottom>
      <diagonal/>
    </border>
  </borders>
  <cellStyleXfs count="15">
    <xf numFmtId="0" fontId="0" fillId="0" borderId="0"/>
    <xf numFmtId="0" fontId="10" fillId="0" borderId="0"/>
    <xf numFmtId="0" fontId="39" fillId="0" borderId="0"/>
    <xf numFmtId="0" fontId="40" fillId="0" borderId="0" applyNumberFormat="0" applyFill="0" applyBorder="0" applyAlignment="0" applyProtection="0">
      <alignment vertical="top"/>
      <protection locked="0"/>
    </xf>
    <xf numFmtId="0" fontId="39" fillId="0" borderId="0"/>
    <xf numFmtId="0" fontId="95" fillId="0" borderId="0"/>
    <xf numFmtId="0" fontId="39" fillId="0" borderId="0"/>
    <xf numFmtId="0" fontId="39" fillId="0" borderId="0"/>
    <xf numFmtId="9" fontId="106" fillId="0" borderId="0" applyFont="0" applyFill="0" applyBorder="0" applyAlignment="0" applyProtection="0"/>
    <xf numFmtId="0" fontId="95" fillId="0" borderId="0"/>
    <xf numFmtId="0" fontId="39" fillId="0" borderId="0"/>
    <xf numFmtId="0" fontId="4" fillId="0" borderId="0"/>
    <xf numFmtId="0" fontId="39" fillId="0" borderId="0"/>
    <xf numFmtId="0" fontId="39" fillId="0" borderId="0"/>
    <xf numFmtId="0" fontId="4" fillId="0" borderId="0"/>
  </cellStyleXfs>
  <cellXfs count="891">
    <xf numFmtId="0" fontId="0" fillId="0" borderId="0" xfId="0"/>
    <xf numFmtId="0" fontId="0" fillId="0" borderId="0" xfId="0" quotePrefix="1"/>
    <xf numFmtId="0" fontId="0" fillId="0" borderId="0" xfId="0" applyAlignment="1">
      <alignment horizontal="center"/>
    </xf>
    <xf numFmtId="0" fontId="9" fillId="0" borderId="0" xfId="0" applyFont="1"/>
    <xf numFmtId="0" fontId="0" fillId="0" borderId="0" xfId="0" applyAlignment="1">
      <alignment vertical="center"/>
    </xf>
    <xf numFmtId="0" fontId="0" fillId="0" borderId="0" xfId="0" applyAlignment="1">
      <alignment horizontal="center" vertical="center"/>
    </xf>
    <xf numFmtId="0" fontId="10" fillId="0" borderId="0" xfId="1"/>
    <xf numFmtId="2" fontId="10" fillId="0" borderId="0" xfId="1" applyNumberFormat="1"/>
    <xf numFmtId="0" fontId="13" fillId="0" borderId="0" xfId="0" applyFont="1"/>
    <xf numFmtId="0" fontId="14" fillId="0" borderId="0" xfId="0" applyFont="1"/>
    <xf numFmtId="0" fontId="14" fillId="0" borderId="0" xfId="0" applyFont="1" applyAlignment="1">
      <alignment horizontal="left" vertical="center" indent="1"/>
    </xf>
    <xf numFmtId="0" fontId="14" fillId="0" borderId="0" xfId="0" applyFont="1" applyAlignment="1">
      <alignment vertical="top"/>
    </xf>
    <xf numFmtId="0" fontId="0" fillId="0" borderId="0" xfId="0" applyAlignment="1">
      <alignment horizontal="right" vertical="center" indent="1"/>
    </xf>
    <xf numFmtId="0" fontId="10" fillId="0" borderId="0" xfId="1" applyAlignment="1">
      <alignment horizontal="right"/>
    </xf>
    <xf numFmtId="0" fontId="16" fillId="0" borderId="0" xfId="0" applyFont="1" applyAlignment="1">
      <alignment horizontal="left" vertical="center" indent="1"/>
    </xf>
    <xf numFmtId="0" fontId="15" fillId="0" borderId="0" xfId="0" applyFont="1" applyAlignment="1">
      <alignment horizontal="right" vertical="center" indent="1"/>
    </xf>
    <xf numFmtId="0" fontId="19" fillId="0" borderId="0" xfId="0" applyFont="1" applyAlignment="1">
      <alignment horizontal="left" vertical="center" indent="1"/>
    </xf>
    <xf numFmtId="0" fontId="20" fillId="0" borderId="0" xfId="0" applyFont="1" applyAlignment="1">
      <alignment horizontal="right" vertical="center" indent="1"/>
    </xf>
    <xf numFmtId="0" fontId="11" fillId="0" borderId="0" xfId="0" applyFont="1" applyAlignment="1">
      <alignment horizontal="right" vertical="center" indent="1"/>
    </xf>
    <xf numFmtId="0" fontId="21" fillId="0" borderId="0" xfId="0" applyFont="1" applyAlignment="1">
      <alignment horizontal="right" vertical="center" indent="1"/>
    </xf>
    <xf numFmtId="0" fontId="24" fillId="0" borderId="0" xfId="0" applyFont="1" applyAlignment="1">
      <alignment horizontal="right" vertical="center" indent="1"/>
    </xf>
    <xf numFmtId="0" fontId="25" fillId="0" borderId="0" xfId="0" applyFont="1"/>
    <xf numFmtId="0" fontId="27" fillId="0" borderId="0" xfId="0" applyFont="1"/>
    <xf numFmtId="0" fontId="28" fillId="0" borderId="0" xfId="0" applyFont="1" applyAlignment="1">
      <alignment horizontal="center"/>
    </xf>
    <xf numFmtId="0" fontId="29" fillId="0" borderId="0" xfId="0" applyFont="1" applyBorder="1" applyAlignment="1">
      <alignment horizontal="right" vertical="top"/>
    </xf>
    <xf numFmtId="0" fontId="30" fillId="0" borderId="0" xfId="1" applyFont="1" applyAlignment="1">
      <alignment horizontal="center"/>
    </xf>
    <xf numFmtId="0" fontId="0" fillId="0" borderId="8" xfId="0" applyBorder="1" applyAlignment="1">
      <alignment horizontal="center"/>
    </xf>
    <xf numFmtId="164" fontId="0" fillId="0" borderId="1" xfId="0" applyNumberFormat="1" applyBorder="1" applyAlignment="1">
      <alignment horizontal="right" vertical="center" indent="1"/>
    </xf>
    <xf numFmtId="164" fontId="0" fillId="3" borderId="1" xfId="0" applyNumberFormat="1" applyFill="1" applyBorder="1" applyAlignment="1" applyProtection="1">
      <alignment horizontal="right" vertical="center" indent="1"/>
      <protection locked="0"/>
    </xf>
    <xf numFmtId="164" fontId="14" fillId="5" borderId="6" xfId="0" applyNumberFormat="1" applyFont="1" applyFill="1" applyBorder="1" applyAlignment="1">
      <alignment horizontal="right" vertical="center" indent="1"/>
    </xf>
    <xf numFmtId="0" fontId="19" fillId="0" borderId="0" xfId="0" applyFont="1" applyAlignment="1" applyProtection="1">
      <alignment horizontal="left" vertical="center" indent="1"/>
      <protection locked="0"/>
    </xf>
    <xf numFmtId="0" fontId="33" fillId="0" borderId="0" xfId="0" applyFont="1" applyAlignment="1">
      <alignment horizontal="left" vertical="center" indent="1"/>
    </xf>
    <xf numFmtId="0" fontId="28" fillId="0" borderId="0" xfId="0" applyFont="1" applyAlignment="1">
      <alignment horizontal="left"/>
    </xf>
    <xf numFmtId="164" fontId="28" fillId="0" borderId="0" xfId="0" applyNumberFormat="1" applyFont="1" applyAlignment="1">
      <alignment horizontal="left"/>
    </xf>
    <xf numFmtId="0" fontId="34" fillId="0" borderId="0" xfId="0" applyFont="1"/>
    <xf numFmtId="2" fontId="0" fillId="0" borderId="1" xfId="0" applyNumberFormat="1" applyBorder="1" applyAlignment="1">
      <alignment horizontal="right" vertical="center" indent="1"/>
    </xf>
    <xf numFmtId="2" fontId="15" fillId="0" borderId="1" xfId="0" applyNumberFormat="1" applyFont="1" applyBorder="1" applyAlignment="1">
      <alignment horizontal="right" vertical="center" indent="1"/>
    </xf>
    <xf numFmtId="0" fontId="0" fillId="6" borderId="0" xfId="0" applyFill="1"/>
    <xf numFmtId="0" fontId="10" fillId="4" borderId="0" xfId="1" applyFill="1"/>
    <xf numFmtId="164" fontId="10" fillId="0" borderId="0" xfId="1" applyNumberFormat="1"/>
    <xf numFmtId="164" fontId="10" fillId="4" borderId="0" xfId="1" applyNumberFormat="1" applyFill="1"/>
    <xf numFmtId="0" fontId="10" fillId="9" borderId="0" xfId="1" applyFill="1" applyAlignment="1">
      <alignment horizontal="center"/>
    </xf>
    <xf numFmtId="0" fontId="10" fillId="6" borderId="0" xfId="1" applyFill="1"/>
    <xf numFmtId="0" fontId="35" fillId="0" borderId="0" xfId="1" applyFont="1"/>
    <xf numFmtId="0" fontId="0" fillId="0" borderId="0" xfId="0" applyAlignment="1">
      <alignment horizontal="right" vertical="center"/>
    </xf>
    <xf numFmtId="0" fontId="0" fillId="2" borderId="1"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0" fillId="0" borderId="0" xfId="1" applyAlignment="1">
      <alignment horizontal="center"/>
    </xf>
    <xf numFmtId="0" fontId="10" fillId="6" borderId="0" xfId="1" applyFill="1" applyAlignment="1"/>
    <xf numFmtId="0" fontId="26" fillId="0" borderId="0" xfId="0" applyFont="1" applyAlignment="1">
      <alignment vertical="center"/>
    </xf>
    <xf numFmtId="0" fontId="27" fillId="0" borderId="0" xfId="0" applyFont="1" applyAlignment="1">
      <alignment vertical="top"/>
    </xf>
    <xf numFmtId="0" fontId="8" fillId="0" borderId="0" xfId="0" applyFont="1"/>
    <xf numFmtId="0" fontId="0" fillId="0" borderId="0" xfId="0" applyFont="1" applyAlignment="1">
      <alignment horizontal="right" vertical="center"/>
    </xf>
    <xf numFmtId="165" fontId="0" fillId="0" borderId="2" xfId="0" applyNumberFormat="1" applyBorder="1" applyAlignment="1">
      <alignment horizontal="center" vertical="center"/>
    </xf>
    <xf numFmtId="0" fontId="11" fillId="0" borderId="0" xfId="0" applyFont="1" applyAlignment="1">
      <alignment horizontal="right" vertical="center"/>
    </xf>
    <xf numFmtId="0" fontId="23" fillId="2" borderId="1" xfId="0" applyFont="1" applyFill="1" applyBorder="1" applyAlignment="1" applyProtection="1">
      <alignment horizontal="center" vertical="center"/>
      <protection locked="0" hidden="1"/>
    </xf>
    <xf numFmtId="0" fontId="11" fillId="0" borderId="0" xfId="0" applyFont="1" applyAlignment="1">
      <alignment vertical="center"/>
    </xf>
    <xf numFmtId="0" fontId="15" fillId="0" borderId="0" xfId="0" applyFont="1" applyAlignment="1">
      <alignment horizontal="right" vertical="center"/>
    </xf>
    <xf numFmtId="165" fontId="15" fillId="0" borderId="0" xfId="0" applyNumberFormat="1" applyFont="1" applyBorder="1" applyAlignment="1">
      <alignment horizontal="center" vertical="center"/>
    </xf>
    <xf numFmtId="165" fontId="27" fillId="0" borderId="5" xfId="0" applyNumberFormat="1" applyFont="1" applyBorder="1" applyAlignment="1">
      <alignment horizontal="center" vertical="center"/>
    </xf>
    <xf numFmtId="0" fontId="27" fillId="0" borderId="5" xfId="0" applyNumberFormat="1" applyFont="1" applyBorder="1" applyAlignment="1">
      <alignment horizontal="center" vertical="center"/>
    </xf>
    <xf numFmtId="0" fontId="16" fillId="0" borderId="5" xfId="0" applyNumberFormat="1" applyFont="1" applyBorder="1" applyAlignment="1">
      <alignment horizontal="center" vertical="center"/>
    </xf>
    <xf numFmtId="0" fontId="0" fillId="0" borderId="0" xfId="0" applyFont="1"/>
    <xf numFmtId="2" fontId="0" fillId="0" borderId="1" xfId="0" applyNumberFormat="1" applyBorder="1" applyAlignment="1">
      <alignment horizontal="center" vertical="center"/>
    </xf>
    <xf numFmtId="0" fontId="12" fillId="0" borderId="0" xfId="0" applyFont="1"/>
    <xf numFmtId="164" fontId="11" fillId="3" borderId="1" xfId="0" applyNumberFormat="1" applyFont="1" applyFill="1" applyBorder="1" applyAlignment="1" applyProtection="1">
      <alignment horizontal="right" vertical="center" indent="1"/>
      <protection locked="0"/>
    </xf>
    <xf numFmtId="164" fontId="0" fillId="0" borderId="1" xfId="0" applyNumberFormat="1" applyFill="1" applyBorder="1" applyAlignment="1">
      <alignment horizontal="left" vertical="center" indent="1"/>
    </xf>
    <xf numFmtId="0" fontId="0" fillId="0" borderId="0" xfId="0" applyFill="1" applyAlignment="1">
      <alignment horizontal="center" vertical="center"/>
    </xf>
    <xf numFmtId="0" fontId="7" fillId="0" borderId="0" xfId="0" applyFont="1" applyAlignment="1">
      <alignment horizontal="center" vertical="top"/>
    </xf>
    <xf numFmtId="164" fontId="31" fillId="0" borderId="0" xfId="0" applyNumberFormat="1" applyFont="1" applyAlignment="1">
      <alignment horizontal="left" vertical="center" indent="2"/>
    </xf>
    <xf numFmtId="0" fontId="15" fillId="0" borderId="0" xfId="0" applyFont="1" applyAlignment="1"/>
    <xf numFmtId="0" fontId="15" fillId="0" borderId="0" xfId="0" applyFont="1" applyAlignment="1">
      <alignment vertical="top"/>
    </xf>
    <xf numFmtId="0" fontId="15" fillId="0" borderId="0" xfId="0" applyFont="1" applyAlignment="1">
      <alignment horizontal="right" vertical="top"/>
    </xf>
    <xf numFmtId="0" fontId="24" fillId="0" borderId="0" xfId="0" applyFont="1" applyAlignment="1">
      <alignment vertical="center"/>
    </xf>
    <xf numFmtId="0" fontId="24" fillId="0" borderId="0" xfId="0" applyFont="1" applyAlignment="1">
      <alignment horizontal="left" indent="1"/>
    </xf>
    <xf numFmtId="0" fontId="22" fillId="0" borderId="0" xfId="0" applyFont="1" applyAlignment="1"/>
    <xf numFmtId="0" fontId="0" fillId="0" borderId="0" xfId="0" applyProtection="1"/>
    <xf numFmtId="0" fontId="24" fillId="0" borderId="0" xfId="0" applyFont="1" applyAlignment="1" applyProtection="1">
      <alignment horizontal="right" vertical="center"/>
    </xf>
    <xf numFmtId="0" fontId="18" fillId="0" borderId="0" xfId="0" applyFont="1" applyAlignment="1" applyProtection="1">
      <alignment vertical="top" wrapText="1"/>
    </xf>
    <xf numFmtId="0" fontId="0" fillId="0" borderId="0" xfId="0" applyFont="1" applyAlignment="1">
      <alignment horizontal="left" vertical="center" indent="1"/>
    </xf>
    <xf numFmtId="0" fontId="20" fillId="3" borderId="0" xfId="0" applyFont="1" applyFill="1" applyAlignment="1" applyProtection="1">
      <alignment horizontal="left" indent="1"/>
      <protection locked="0" hidden="1"/>
    </xf>
    <xf numFmtId="0" fontId="0" fillId="2" borderId="2" xfId="0" applyFill="1" applyBorder="1" applyAlignment="1" applyProtection="1">
      <alignment horizontal="center" vertical="center"/>
      <protection locked="0"/>
    </xf>
    <xf numFmtId="0" fontId="11" fillId="0" borderId="0" xfId="0" applyFont="1" applyAlignment="1" applyProtection="1">
      <alignment horizontal="left" vertical="center" indent="1"/>
      <protection locked="0" hidden="1"/>
    </xf>
    <xf numFmtId="167" fontId="0" fillId="0" borderId="1" xfId="0" applyNumberFormat="1" applyBorder="1" applyAlignment="1">
      <alignment horizontal="left" vertical="center"/>
    </xf>
    <xf numFmtId="0" fontId="11" fillId="0" borderId="0" xfId="0" applyFont="1" applyAlignment="1" applyProtection="1">
      <alignment horizontal="right" vertical="center" indent="1"/>
      <protection hidden="1"/>
    </xf>
    <xf numFmtId="2" fontId="11" fillId="0" borderId="1" xfId="0" applyNumberFormat="1" applyFont="1" applyBorder="1" applyAlignment="1" applyProtection="1">
      <alignment horizontal="right" vertical="center" indent="1"/>
      <protection hidden="1"/>
    </xf>
    <xf numFmtId="0" fontId="11" fillId="0" borderId="0" xfId="0" applyFont="1" applyAlignment="1" applyProtection="1">
      <alignment horizontal="left" vertical="center" indent="1"/>
      <protection hidden="1"/>
    </xf>
    <xf numFmtId="0" fontId="28" fillId="0" borderId="0" xfId="0" applyNumberFormat="1" applyFont="1" applyAlignment="1">
      <alignment horizontal="center" vertical="top"/>
    </xf>
    <xf numFmtId="0" fontId="0" fillId="0" borderId="0" xfId="0" applyAlignment="1" applyProtection="1">
      <alignment horizontal="right" vertical="center" indent="1"/>
      <protection hidden="1"/>
    </xf>
    <xf numFmtId="0" fontId="10" fillId="8" borderId="0" xfId="1" applyFill="1" applyAlignment="1">
      <alignment horizontal="center"/>
    </xf>
    <xf numFmtId="164" fontId="10" fillId="8" borderId="0" xfId="1" applyNumberFormat="1" applyFill="1" applyAlignment="1">
      <alignment horizontal="center"/>
    </xf>
    <xf numFmtId="0" fontId="27" fillId="0" borderId="0" xfId="0" applyFont="1" applyFill="1"/>
    <xf numFmtId="0" fontId="0" fillId="0" borderId="0" xfId="0" applyFill="1"/>
    <xf numFmtId="0" fontId="0" fillId="0" borderId="0" xfId="0" applyFont="1" applyFill="1"/>
    <xf numFmtId="0" fontId="37" fillId="0" borderId="0" xfId="0" applyFont="1"/>
    <xf numFmtId="0" fontId="19" fillId="0" borderId="0" xfId="0" applyFont="1" applyAlignment="1" applyProtection="1">
      <alignment horizontal="left" vertical="center" indent="1"/>
    </xf>
    <xf numFmtId="168" fontId="38" fillId="0" borderId="0" xfId="0" applyNumberFormat="1" applyFont="1" applyAlignment="1">
      <alignment vertical="center"/>
    </xf>
    <xf numFmtId="2" fontId="38" fillId="0" borderId="0" xfId="0" applyNumberFormat="1" applyFont="1" applyAlignment="1">
      <alignment vertical="center"/>
    </xf>
    <xf numFmtId="0" fontId="43" fillId="0" borderId="0" xfId="0" applyFont="1"/>
    <xf numFmtId="0" fontId="44" fillId="0" borderId="0" xfId="2" applyFont="1"/>
    <xf numFmtId="0" fontId="44" fillId="0" borderId="0" xfId="2" applyFont="1" applyAlignment="1">
      <alignment horizontal="right"/>
    </xf>
    <xf numFmtId="0" fontId="46" fillId="0" borderId="0" xfId="2" applyFont="1"/>
    <xf numFmtId="0" fontId="46" fillId="0" borderId="0" xfId="2" applyFont="1" applyAlignment="1">
      <alignment horizontal="left"/>
    </xf>
    <xf numFmtId="0" fontId="46" fillId="0" borderId="0" xfId="2" applyFont="1" applyAlignment="1">
      <alignment horizontal="right"/>
    </xf>
    <xf numFmtId="0" fontId="10" fillId="0" borderId="0" xfId="0" applyFont="1"/>
    <xf numFmtId="0" fontId="47" fillId="0" borderId="0" xfId="2" applyFont="1"/>
    <xf numFmtId="0" fontId="48" fillId="0" borderId="0" xfId="2" applyFont="1"/>
    <xf numFmtId="0" fontId="46" fillId="0" borderId="0" xfId="2" applyFont="1" applyAlignment="1">
      <alignment horizontal="center"/>
    </xf>
    <xf numFmtId="0" fontId="49" fillId="0" borderId="0" xfId="0" applyFont="1" applyAlignment="1">
      <alignment horizontal="right"/>
    </xf>
    <xf numFmtId="0" fontId="49" fillId="0" borderId="0" xfId="0" applyFont="1"/>
    <xf numFmtId="0" fontId="50" fillId="0" borderId="0" xfId="2" applyFont="1" applyAlignment="1">
      <alignment horizontal="left" vertical="top" indent="1"/>
    </xf>
    <xf numFmtId="0" fontId="51" fillId="0" borderId="0" xfId="2" applyFont="1"/>
    <xf numFmtId="0" fontId="52" fillId="0" borderId="0" xfId="3" applyFont="1" applyAlignment="1" applyProtection="1"/>
    <xf numFmtId="0" fontId="53" fillId="0" borderId="0" xfId="2" applyFont="1"/>
    <xf numFmtId="0" fontId="54" fillId="0" borderId="0" xfId="2" applyFont="1" applyAlignment="1">
      <alignment horizontal="right" vertical="center"/>
    </xf>
    <xf numFmtId="0" fontId="44" fillId="0" borderId="0" xfId="2" applyFont="1" applyAlignment="1">
      <alignment horizontal="right" vertical="center"/>
    </xf>
    <xf numFmtId="169" fontId="57" fillId="12" borderId="11" xfId="2" applyNumberFormat="1" applyFont="1" applyFill="1" applyBorder="1" applyAlignment="1" applyProtection="1">
      <alignment horizontal="center" vertical="center"/>
      <protection locked="0"/>
    </xf>
    <xf numFmtId="0" fontId="44" fillId="0" borderId="0" xfId="0" applyFont="1" applyAlignment="1">
      <alignment vertical="center"/>
    </xf>
    <xf numFmtId="0" fontId="58" fillId="0" borderId="0" xfId="0" applyFont="1" applyAlignment="1">
      <alignment horizontal="center" vertical="center"/>
    </xf>
    <xf numFmtId="164" fontId="44" fillId="0" borderId="12" xfId="2" applyNumberFormat="1" applyFont="1" applyBorder="1" applyAlignment="1">
      <alignment horizontal="center"/>
    </xf>
    <xf numFmtId="164" fontId="59" fillId="0" borderId="13" xfId="2" applyNumberFormat="1" applyFont="1" applyBorder="1" applyAlignment="1">
      <alignment horizontal="center"/>
    </xf>
    <xf numFmtId="164" fontId="59" fillId="0" borderId="14" xfId="2" applyNumberFormat="1" applyFont="1" applyBorder="1" applyAlignment="1">
      <alignment horizontal="center"/>
    </xf>
    <xf numFmtId="0" fontId="46" fillId="0" borderId="0" xfId="2" applyFont="1" applyAlignment="1">
      <alignment horizontal="center" vertical="top"/>
    </xf>
    <xf numFmtId="0" fontId="46" fillId="0" borderId="0" xfId="2" applyFont="1" applyAlignment="1">
      <alignment horizontal="left" vertical="top"/>
    </xf>
    <xf numFmtId="0" fontId="59" fillId="0" borderId="15" xfId="2" applyFont="1" applyBorder="1" applyAlignment="1">
      <alignment horizontal="right" vertical="center"/>
    </xf>
    <xf numFmtId="0" fontId="59" fillId="0" borderId="16" xfId="2" applyFont="1" applyBorder="1" applyAlignment="1">
      <alignment horizontal="center" vertical="center"/>
    </xf>
    <xf numFmtId="0" fontId="59" fillId="0" borderId="17" xfId="2" applyFont="1" applyBorder="1" applyAlignment="1">
      <alignment vertical="center"/>
    </xf>
    <xf numFmtId="0" fontId="60" fillId="0" borderId="0" xfId="2" applyFont="1" applyAlignment="1">
      <alignment horizontal="left"/>
    </xf>
    <xf numFmtId="0" fontId="60" fillId="0" borderId="0" xfId="2" applyFont="1"/>
    <xf numFmtId="0" fontId="61" fillId="0" borderId="0" xfId="2" applyFont="1" applyAlignment="1">
      <alignment wrapText="1"/>
    </xf>
    <xf numFmtId="0" fontId="57" fillId="0" borderId="0" xfId="2" applyFont="1"/>
    <xf numFmtId="0" fontId="63" fillId="0" borderId="0" xfId="2" applyFont="1"/>
    <xf numFmtId="164" fontId="63" fillId="0" borderId="0" xfId="2" applyNumberFormat="1" applyFont="1" applyAlignment="1">
      <alignment horizontal="left"/>
    </xf>
    <xf numFmtId="0" fontId="64" fillId="0" borderId="0" xfId="2" applyFont="1"/>
    <xf numFmtId="0" fontId="44" fillId="0" borderId="0" xfId="2" applyFont="1" applyAlignment="1">
      <alignment horizontal="right" vertical="top"/>
    </xf>
    <xf numFmtId="0" fontId="65" fillId="0" borderId="0" xfId="2" applyFont="1"/>
    <xf numFmtId="20" fontId="66" fillId="0" borderId="0" xfId="2" applyNumberFormat="1" applyFont="1"/>
    <xf numFmtId="20" fontId="66" fillId="13" borderId="0" xfId="2" applyNumberFormat="1" applyFont="1" applyFill="1"/>
    <xf numFmtId="0" fontId="65" fillId="0" borderId="26" xfId="2" applyFont="1" applyBorder="1" applyAlignment="1">
      <alignment horizontal="center"/>
    </xf>
    <xf numFmtId="0" fontId="65" fillId="0" borderId="27" xfId="2" applyFont="1" applyBorder="1" applyAlignment="1">
      <alignment horizontal="center"/>
    </xf>
    <xf numFmtId="0" fontId="65" fillId="0" borderId="0" xfId="2" applyFont="1" applyAlignment="1">
      <alignment horizontal="center"/>
    </xf>
    <xf numFmtId="0" fontId="66" fillId="0" borderId="0" xfId="2" applyFont="1"/>
    <xf numFmtId="0" fontId="67" fillId="0" borderId="0" xfId="2" applyFont="1" applyAlignment="1">
      <alignment horizontal="right" indent="1"/>
    </xf>
    <xf numFmtId="0" fontId="67" fillId="0" borderId="7" xfId="2" applyFont="1" applyBorder="1" applyAlignment="1">
      <alignment horizontal="center"/>
    </xf>
    <xf numFmtId="0" fontId="69" fillId="0" borderId="0" xfId="2" applyFont="1"/>
    <xf numFmtId="0" fontId="70" fillId="0" borderId="0" xfId="2" applyFont="1" applyAlignment="1">
      <alignment horizontal="left"/>
    </xf>
    <xf numFmtId="0" fontId="70" fillId="0" borderId="0" xfId="2" applyFont="1" applyAlignment="1">
      <alignment horizontal="center"/>
    </xf>
    <xf numFmtId="0" fontId="71" fillId="0" borderId="0" xfId="0" applyFont="1" applyAlignment="1">
      <alignment horizontal="center" vertical="center"/>
    </xf>
    <xf numFmtId="0" fontId="71" fillId="0" borderId="0" xfId="0" applyFont="1" applyAlignment="1">
      <alignment horizontal="left" vertical="center"/>
    </xf>
    <xf numFmtId="0" fontId="72" fillId="0" borderId="0" xfId="0" applyFont="1" applyAlignment="1">
      <alignment horizontal="right"/>
    </xf>
    <xf numFmtId="0" fontId="73" fillId="15" borderId="0" xfId="0" applyFont="1" applyFill="1" applyAlignment="1">
      <alignment horizontal="center" vertical="center"/>
    </xf>
    <xf numFmtId="0" fontId="74" fillId="0" borderId="0" xfId="0" applyFont="1" applyAlignment="1">
      <alignment horizontal="right" vertical="center"/>
    </xf>
    <xf numFmtId="0" fontId="72" fillId="0" borderId="0" xfId="0" applyFont="1" applyAlignment="1">
      <alignment horizontal="right" vertical="center"/>
    </xf>
    <xf numFmtId="0" fontId="72" fillId="0" borderId="0" xfId="0" applyFont="1" applyFill="1" applyAlignment="1">
      <alignment horizontal="right" vertical="center"/>
    </xf>
    <xf numFmtId="0" fontId="72" fillId="0" borderId="0" xfId="0" applyFont="1" applyFill="1" applyAlignment="1">
      <alignment horizontal="right" vertical="top"/>
    </xf>
    <xf numFmtId="0" fontId="72" fillId="13" borderId="0" xfId="0" applyFont="1" applyFill="1" applyAlignment="1">
      <alignment horizontal="center" vertical="top"/>
    </xf>
    <xf numFmtId="0" fontId="73" fillId="16" borderId="0" xfId="0" applyFont="1" applyFill="1" applyAlignment="1">
      <alignment horizontal="center" vertical="center"/>
    </xf>
    <xf numFmtId="0" fontId="64" fillId="0" borderId="0" xfId="0" applyFont="1"/>
    <xf numFmtId="14" fontId="57" fillId="0" borderId="0" xfId="0" applyNumberFormat="1" applyFont="1" applyAlignment="1">
      <alignment horizontal="centerContinuous"/>
    </xf>
    <xf numFmtId="0" fontId="57" fillId="0" borderId="0" xfId="0" applyFont="1" applyAlignment="1">
      <alignment horizontal="centerContinuous"/>
    </xf>
    <xf numFmtId="0" fontId="60" fillId="0" borderId="0" xfId="0" applyFont="1" applyAlignment="1">
      <alignment horizontal="left"/>
    </xf>
    <xf numFmtId="0" fontId="78" fillId="0" borderId="0" xfId="0" applyFont="1"/>
    <xf numFmtId="0" fontId="66" fillId="0" borderId="0" xfId="0" applyFont="1"/>
    <xf numFmtId="0" fontId="53" fillId="0" borderId="0" xfId="0" applyFont="1" applyAlignment="1">
      <alignment horizontal="left" vertical="center"/>
    </xf>
    <xf numFmtId="0" fontId="80" fillId="0" borderId="0" xfId="0" applyFont="1" applyAlignment="1"/>
    <xf numFmtId="0" fontId="81" fillId="3" borderId="0" xfId="0" applyFont="1" applyFill="1"/>
    <xf numFmtId="0" fontId="72" fillId="0" borderId="0" xfId="0" applyFont="1" applyAlignment="1">
      <alignment horizontal="right" vertical="top"/>
    </xf>
    <xf numFmtId="0" fontId="72" fillId="0" borderId="0" xfId="0" applyFont="1" applyAlignment="1">
      <alignment vertical="top"/>
    </xf>
    <xf numFmtId="0" fontId="46" fillId="0" borderId="0" xfId="0" applyFont="1" applyAlignment="1">
      <alignment horizontal="right" vertical="top"/>
    </xf>
    <xf numFmtId="0" fontId="80" fillId="0" borderId="0" xfId="0" applyFont="1" applyAlignment="1">
      <alignment vertical="center"/>
    </xf>
    <xf numFmtId="0" fontId="46" fillId="13" borderId="0" xfId="0" applyFont="1" applyFill="1" applyAlignment="1">
      <alignment horizontal="center"/>
    </xf>
    <xf numFmtId="0" fontId="46" fillId="18" borderId="0" xfId="0" applyFont="1" applyFill="1" applyAlignment="1">
      <alignment horizontal="center"/>
    </xf>
    <xf numFmtId="0" fontId="44" fillId="0" borderId="0" xfId="2" applyFont="1" applyAlignment="1">
      <alignment horizontal="center"/>
    </xf>
    <xf numFmtId="0" fontId="82" fillId="0" borderId="0" xfId="0" applyNumberFormat="1" applyFont="1" applyAlignment="1">
      <alignment horizontal="left"/>
    </xf>
    <xf numFmtId="0" fontId="83" fillId="0" borderId="0" xfId="0" applyNumberFormat="1" applyFont="1"/>
    <xf numFmtId="0" fontId="44" fillId="19" borderId="0" xfId="2" applyFont="1" applyFill="1"/>
    <xf numFmtId="0" fontId="82" fillId="0" borderId="0" xfId="0" applyFont="1" applyAlignment="1">
      <alignment horizontal="right"/>
    </xf>
    <xf numFmtId="16" fontId="82" fillId="0" borderId="0" xfId="0" quotePrefix="1" applyNumberFormat="1" applyFont="1" applyAlignment="1">
      <alignment horizontal="right"/>
    </xf>
    <xf numFmtId="0" fontId="82" fillId="3" borderId="0" xfId="0" applyNumberFormat="1" applyFont="1" applyFill="1" applyAlignment="1">
      <alignment horizontal="left"/>
    </xf>
    <xf numFmtId="0" fontId="76" fillId="0" borderId="37" xfId="0" applyFont="1" applyBorder="1" applyAlignment="1">
      <alignment vertical="center"/>
    </xf>
    <xf numFmtId="0" fontId="84" fillId="0" borderId="37" xfId="0" applyFont="1" applyBorder="1" applyAlignment="1">
      <alignment horizontal="right" vertical="center"/>
    </xf>
    <xf numFmtId="0" fontId="10" fillId="0" borderId="0" xfId="1" applyAlignment="1"/>
    <xf numFmtId="0" fontId="10" fillId="10" borderId="0" xfId="1" applyFill="1"/>
    <xf numFmtId="0" fontId="10" fillId="11" borderId="0" xfId="1" applyFill="1" applyAlignment="1"/>
    <xf numFmtId="0" fontId="85" fillId="11" borderId="0" xfId="1" applyFont="1" applyFill="1"/>
    <xf numFmtId="0" fontId="85" fillId="0" borderId="0" xfId="1" applyFont="1"/>
    <xf numFmtId="0" fontId="85" fillId="11" borderId="0" xfId="1" applyFont="1" applyFill="1" applyAlignment="1">
      <alignment horizontal="center"/>
    </xf>
    <xf numFmtId="20" fontId="86" fillId="14" borderId="18" xfId="2" applyNumberFormat="1" applyFont="1" applyFill="1" applyBorder="1" applyAlignment="1" applyProtection="1">
      <alignment horizontal="center"/>
      <protection locked="0" hidden="1"/>
    </xf>
    <xf numFmtId="0" fontId="87" fillId="0" borderId="0" xfId="2" applyFont="1" applyAlignment="1">
      <alignment horizontal="center"/>
    </xf>
    <xf numFmtId="0" fontId="88" fillId="14" borderId="30" xfId="2" applyFont="1" applyFill="1" applyBorder="1" applyAlignment="1" applyProtection="1">
      <alignment horizontal="right" indent="1"/>
      <protection locked="0"/>
    </xf>
    <xf numFmtId="0" fontId="88" fillId="14" borderId="31" xfId="2" applyFont="1" applyFill="1" applyBorder="1" applyAlignment="1" applyProtection="1">
      <alignment horizontal="right" indent="1"/>
      <protection locked="0"/>
    </xf>
    <xf numFmtId="0" fontId="90" fillId="0" borderId="0" xfId="4" applyFont="1" applyAlignment="1">
      <alignment horizontal="right" indent="1"/>
    </xf>
    <xf numFmtId="0" fontId="39" fillId="0" borderId="0" xfId="4" applyAlignment="1">
      <alignment horizontal="right" indent="1"/>
    </xf>
    <xf numFmtId="20" fontId="86" fillId="14" borderId="22" xfId="2" applyNumberFormat="1" applyFont="1" applyFill="1" applyBorder="1" applyAlignment="1" applyProtection="1">
      <alignment horizontal="center"/>
      <protection locked="0" hidden="1"/>
    </xf>
    <xf numFmtId="20" fontId="86" fillId="14" borderId="23" xfId="2" applyNumberFormat="1" applyFont="1" applyFill="1" applyBorder="1" applyAlignment="1" applyProtection="1">
      <alignment horizontal="center"/>
      <protection locked="0" hidden="1"/>
    </xf>
    <xf numFmtId="20" fontId="86" fillId="14" borderId="32" xfId="2" applyNumberFormat="1" applyFont="1" applyFill="1" applyBorder="1" applyAlignment="1" applyProtection="1">
      <alignment horizontal="center"/>
      <protection locked="0" hidden="1"/>
    </xf>
    <xf numFmtId="20" fontId="86" fillId="14" borderId="27" xfId="2" applyNumberFormat="1" applyFont="1" applyFill="1" applyBorder="1" applyAlignment="1" applyProtection="1">
      <alignment horizontal="center"/>
      <protection locked="0" hidden="1"/>
    </xf>
    <xf numFmtId="0" fontId="79" fillId="0" borderId="0" xfId="2" applyFont="1" applyAlignment="1">
      <alignment horizontal="left" vertical="center" indent="1"/>
    </xf>
    <xf numFmtId="0" fontId="44" fillId="0" borderId="0" xfId="0" applyFont="1"/>
    <xf numFmtId="0" fontId="91" fillId="0" borderId="0" xfId="2" applyFont="1"/>
    <xf numFmtId="0" fontId="39" fillId="0" borderId="0" xfId="2" applyAlignment="1">
      <alignment horizontal="right"/>
    </xf>
    <xf numFmtId="0" fontId="89" fillId="0" borderId="0" xfId="2" applyFont="1" applyAlignment="1">
      <alignment horizontal="center"/>
    </xf>
    <xf numFmtId="0" fontId="39" fillId="0" borderId="0" xfId="2"/>
    <xf numFmtId="0" fontId="58" fillId="0" borderId="0" xfId="2" applyNumberFormat="1" applyFont="1" applyAlignment="1">
      <alignment horizontal="center"/>
    </xf>
    <xf numFmtId="0" fontId="54" fillId="0" borderId="0" xfId="0" applyFont="1" applyAlignment="1">
      <alignment vertical="center"/>
    </xf>
    <xf numFmtId="0" fontId="92" fillId="0" borderId="0" xfId="0" applyFont="1" applyAlignment="1">
      <alignment horizontal="left" indent="3"/>
    </xf>
    <xf numFmtId="0" fontId="47" fillId="0" borderId="0" xfId="0" applyFont="1" applyAlignment="1">
      <alignment horizontal="right" indent="1"/>
    </xf>
    <xf numFmtId="0" fontId="93" fillId="0" borderId="0" xfId="1" applyFont="1"/>
    <xf numFmtId="0" fontId="20" fillId="21" borderId="0" xfId="0" applyFont="1" applyFill="1"/>
    <xf numFmtId="0" fontId="22" fillId="21" borderId="0" xfId="0" quotePrefix="1" applyFont="1" applyFill="1"/>
    <xf numFmtId="0" fontId="9" fillId="21" borderId="0" xfId="0" applyFont="1" applyFill="1"/>
    <xf numFmtId="0" fontId="0" fillId="21" borderId="0" xfId="0" applyFill="1"/>
    <xf numFmtId="0" fontId="14" fillId="21" borderId="0" xfId="0" applyFont="1" applyFill="1" applyAlignment="1">
      <alignment vertical="center"/>
    </xf>
    <xf numFmtId="0" fontId="94" fillId="21" borderId="0" xfId="0" applyFont="1" applyFill="1"/>
    <xf numFmtId="0" fontId="22" fillId="21" borderId="0" xfId="0" applyFont="1" applyFill="1" applyAlignment="1">
      <alignment vertical="center"/>
    </xf>
    <xf numFmtId="0" fontId="94" fillId="0" borderId="0" xfId="0" applyFont="1"/>
    <xf numFmtId="0" fontId="8" fillId="0" borderId="0" xfId="0" applyFont="1" applyFill="1"/>
    <xf numFmtId="0" fontId="54" fillId="0" borderId="0" xfId="5" applyFont="1" applyAlignment="1">
      <alignment horizontal="right" indent="1"/>
    </xf>
    <xf numFmtId="0" fontId="57" fillId="3" borderId="1" xfId="5" applyFont="1" applyFill="1" applyBorder="1" applyAlignment="1" applyProtection="1">
      <alignment horizontal="center" vertical="center"/>
      <protection locked="0"/>
    </xf>
    <xf numFmtId="0" fontId="44" fillId="0" borderId="0" xfId="6" applyFont="1" applyAlignment="1">
      <alignment vertical="center"/>
    </xf>
    <xf numFmtId="0" fontId="59" fillId="0" borderId="0" xfId="7" applyFont="1" applyAlignment="1">
      <alignment vertical="center"/>
    </xf>
    <xf numFmtId="0" fontId="44" fillId="0" borderId="0" xfId="7" applyFont="1"/>
    <xf numFmtId="0" fontId="59" fillId="0" borderId="0" xfId="7" applyFont="1"/>
    <xf numFmtId="0" fontId="44" fillId="0" borderId="0" xfId="7" applyFont="1" applyAlignment="1">
      <alignment vertical="center"/>
    </xf>
    <xf numFmtId="0" fontId="96" fillId="0" borderId="0" xfId="5" applyFont="1" applyAlignment="1">
      <alignment horizontal="right" vertical="center"/>
    </xf>
    <xf numFmtId="0" fontId="97" fillId="11" borderId="0" xfId="5" applyFont="1" applyFill="1" applyAlignment="1">
      <alignment vertical="center"/>
    </xf>
    <xf numFmtId="0" fontId="97" fillId="23" borderId="0" xfId="5" applyFont="1" applyFill="1" applyAlignment="1">
      <alignment vertical="center"/>
    </xf>
    <xf numFmtId="0" fontId="54" fillId="0" borderId="0" xfId="5" applyFont="1"/>
    <xf numFmtId="0" fontId="59" fillId="0" borderId="0" xfId="5" applyFont="1"/>
    <xf numFmtId="0" fontId="54" fillId="0" borderId="0" xfId="5" applyFont="1" applyAlignment="1">
      <alignment horizontal="right" vertical="center"/>
    </xf>
    <xf numFmtId="0" fontId="57" fillId="0" borderId="0" xfId="5" applyFont="1" applyAlignment="1" applyProtection="1">
      <alignment horizontal="center"/>
      <protection locked="0"/>
    </xf>
    <xf numFmtId="0" fontId="0" fillId="24" borderId="0" xfId="0" applyFill="1"/>
    <xf numFmtId="0" fontId="98" fillId="0" borderId="0" xfId="1" applyFont="1" applyAlignment="1">
      <alignment horizontal="left" indent="1"/>
    </xf>
    <xf numFmtId="0" fontId="9" fillId="0" borderId="0" xfId="0" applyFont="1" applyFill="1"/>
    <xf numFmtId="0" fontId="14" fillId="25" borderId="0" xfId="0" applyFont="1" applyFill="1" applyAlignment="1">
      <alignment horizontal="right"/>
    </xf>
    <xf numFmtId="0" fontId="0" fillId="21" borderId="0" xfId="0" applyFill="1" applyAlignment="1">
      <alignment horizontal="center"/>
    </xf>
    <xf numFmtId="0" fontId="22" fillId="21" borderId="0" xfId="0" applyFont="1" applyFill="1" applyAlignment="1">
      <alignment horizontal="right"/>
    </xf>
    <xf numFmtId="166" fontId="0" fillId="0" borderId="2" xfId="0" applyNumberFormat="1" applyFill="1" applyBorder="1" applyAlignment="1" applyProtection="1">
      <alignment horizontal="right" vertical="center" indent="1"/>
    </xf>
    <xf numFmtId="0" fontId="99" fillId="0" borderId="0" xfId="0" applyFont="1" applyAlignment="1">
      <alignment horizontal="right" vertical="center"/>
    </xf>
    <xf numFmtId="164" fontId="0" fillId="0" borderId="0" xfId="0" applyNumberFormat="1" applyFont="1"/>
    <xf numFmtId="164" fontId="24" fillId="0" borderId="1" xfId="0" applyNumberFormat="1" applyFont="1" applyBorder="1" applyAlignment="1">
      <alignment horizontal="right" vertical="center" indent="1"/>
    </xf>
    <xf numFmtId="0" fontId="24" fillId="0" borderId="2" xfId="0" applyFont="1" applyFill="1" applyBorder="1" applyAlignment="1" applyProtection="1">
      <alignment horizontal="center" vertical="center"/>
    </xf>
    <xf numFmtId="0" fontId="27" fillId="0" borderId="0" xfId="0" applyFont="1" applyFill="1" applyAlignment="1">
      <alignment vertical="center"/>
    </xf>
    <xf numFmtId="0" fontId="85" fillId="0" borderId="0" xfId="1" applyFont="1" applyAlignment="1"/>
    <xf numFmtId="164" fontId="10" fillId="20" borderId="0" xfId="1" applyNumberFormat="1" applyFill="1"/>
    <xf numFmtId="0" fontId="100" fillId="0" borderId="0" xfId="0" applyFont="1" applyAlignment="1"/>
    <xf numFmtId="0" fontId="101" fillId="0" borderId="0" xfId="0" applyFont="1" applyFill="1"/>
    <xf numFmtId="0" fontId="100" fillId="0" borderId="0" xfId="0" applyFont="1"/>
    <xf numFmtId="0" fontId="0" fillId="0" borderId="0" xfId="0" applyAlignment="1">
      <alignment horizontal="left" indent="2"/>
    </xf>
    <xf numFmtId="0" fontId="0" fillId="0" borderId="0" xfId="0" applyAlignment="1">
      <alignment horizontal="left"/>
    </xf>
    <xf numFmtId="0" fontId="102" fillId="0" borderId="0" xfId="0" applyFont="1" applyFill="1"/>
    <xf numFmtId="0" fontId="0" fillId="0" borderId="0" xfId="0" applyAlignment="1">
      <alignment horizontal="right"/>
    </xf>
    <xf numFmtId="0" fontId="0" fillId="0" borderId="2" xfId="0" applyBorder="1" applyAlignment="1">
      <alignment horizontal="center"/>
    </xf>
    <xf numFmtId="0" fontId="0" fillId="0" borderId="40" xfId="0" applyBorder="1" applyAlignment="1">
      <alignment horizontal="center"/>
    </xf>
    <xf numFmtId="0" fontId="38" fillId="0" borderId="0" xfId="0" applyFont="1" applyAlignment="1">
      <alignment horizontal="center" vertical="center"/>
    </xf>
    <xf numFmtId="0" fontId="103" fillId="0" borderId="0" xfId="0" applyFont="1" applyAlignment="1">
      <alignment vertical="top"/>
    </xf>
    <xf numFmtId="0" fontId="22" fillId="21" borderId="0" xfId="0" quotePrefix="1" applyFont="1" applyFill="1" applyAlignment="1">
      <alignment horizontal="left" indent="2"/>
    </xf>
    <xf numFmtId="0" fontId="12" fillId="0" borderId="0" xfId="0" applyFont="1" applyAlignment="1">
      <alignment horizontal="left" indent="4"/>
    </xf>
    <xf numFmtId="0" fontId="104" fillId="0" borderId="0" xfId="0" applyFont="1" applyFill="1" applyAlignment="1">
      <alignment horizontal="left" indent="4"/>
    </xf>
    <xf numFmtId="0" fontId="8" fillId="0" borderId="0" xfId="0" applyFont="1" applyFill="1" applyAlignment="1">
      <alignment horizontal="left"/>
    </xf>
    <xf numFmtId="0" fontId="44" fillId="0" borderId="0" xfId="5" applyFont="1" applyFill="1" applyAlignment="1">
      <alignment horizontal="left" indent="1"/>
    </xf>
    <xf numFmtId="0" fontId="44" fillId="0" borderId="0" xfId="5" applyFont="1" applyAlignment="1">
      <alignment horizontal="right"/>
    </xf>
    <xf numFmtId="0" fontId="57" fillId="3" borderId="0" xfId="7" applyFont="1" applyFill="1" applyBorder="1" applyAlignment="1" applyProtection="1">
      <alignment vertical="center"/>
      <protection locked="0"/>
    </xf>
    <xf numFmtId="164" fontId="57" fillId="3" borderId="2" xfId="7" applyNumberFormat="1" applyFont="1" applyFill="1" applyBorder="1" applyAlignment="1" applyProtection="1">
      <alignment horizontal="center" vertical="center"/>
      <protection locked="0"/>
    </xf>
    <xf numFmtId="0" fontId="7" fillId="0" borderId="41" xfId="0" applyFont="1" applyBorder="1" applyAlignment="1">
      <alignment vertical="top"/>
    </xf>
    <xf numFmtId="164" fontId="59" fillId="0" borderId="0" xfId="7" applyNumberFormat="1" applyFont="1" applyAlignment="1">
      <alignment horizontal="center"/>
    </xf>
    <xf numFmtId="0" fontId="105" fillId="0" borderId="0" xfId="0" applyFont="1" applyAlignment="1">
      <alignment vertical="center"/>
    </xf>
    <xf numFmtId="0" fontId="7" fillId="0" borderId="0" xfId="0" applyFont="1" applyAlignment="1">
      <alignment horizontal="left" indent="3"/>
    </xf>
    <xf numFmtId="0" fontId="107" fillId="0" borderId="0" xfId="7" applyFont="1"/>
    <xf numFmtId="0" fontId="47" fillId="0" borderId="0" xfId="7" applyFont="1" applyFill="1" applyAlignment="1"/>
    <xf numFmtId="0" fontId="10" fillId="0" borderId="0" xfId="0" applyFont="1" applyBorder="1"/>
    <xf numFmtId="0" fontId="54" fillId="0" borderId="0" xfId="7" applyFont="1" applyFill="1" applyAlignment="1">
      <alignment horizontal="right" vertical="center"/>
    </xf>
    <xf numFmtId="0" fontId="108" fillId="0" borderId="0" xfId="7" applyFont="1"/>
    <xf numFmtId="0" fontId="53" fillId="0" borderId="0" xfId="7" applyFont="1" applyAlignment="1">
      <alignment horizontal="right" vertical="center"/>
    </xf>
    <xf numFmtId="0" fontId="54" fillId="0" borderId="0" xfId="7" applyFont="1" applyAlignment="1">
      <alignment vertical="top"/>
    </xf>
    <xf numFmtId="0" fontId="64" fillId="0" borderId="0" xfId="7" applyFont="1" applyAlignment="1">
      <alignment vertical="top"/>
    </xf>
    <xf numFmtId="0" fontId="53" fillId="0" borderId="0" xfId="7" applyFont="1"/>
    <xf numFmtId="0" fontId="109" fillId="0" borderId="0" xfId="7" applyFont="1" applyAlignment="1"/>
    <xf numFmtId="0" fontId="64" fillId="0" borderId="0" xfId="7" applyFont="1"/>
    <xf numFmtId="0" fontId="44" fillId="0" borderId="42" xfId="7" applyFont="1" applyBorder="1" applyAlignment="1">
      <alignment horizontal="center"/>
    </xf>
    <xf numFmtId="0" fontId="110" fillId="0" borderId="0" xfId="7" applyFont="1" applyAlignment="1">
      <alignment vertical="center"/>
    </xf>
    <xf numFmtId="171" fontId="75" fillId="0" borderId="0" xfId="8" applyNumberFormat="1" applyFont="1" applyAlignment="1">
      <alignment horizontal="right" vertical="center"/>
    </xf>
    <xf numFmtId="0" fontId="44" fillId="0" borderId="1" xfId="7" applyFont="1" applyBorder="1" applyAlignment="1">
      <alignment horizontal="center" vertical="center"/>
    </xf>
    <xf numFmtId="0" fontId="44" fillId="0" borderId="44" xfId="7" applyFont="1" applyBorder="1" applyAlignment="1">
      <alignment horizontal="center" vertical="top" wrapText="1"/>
    </xf>
    <xf numFmtId="0" fontId="44" fillId="0" borderId="1" xfId="7" applyFont="1" applyBorder="1" applyAlignment="1">
      <alignment horizontal="left" vertical="center" indent="1"/>
    </xf>
    <xf numFmtId="0" fontId="44" fillId="0" borderId="1" xfId="7" applyFont="1" applyBorder="1"/>
    <xf numFmtId="0" fontId="44" fillId="0" borderId="1" xfId="7" applyFont="1" applyBorder="1" applyAlignment="1">
      <alignment horizontal="center" vertical="center" wrapText="1"/>
    </xf>
    <xf numFmtId="0" fontId="111" fillId="0" borderId="0" xfId="0" applyFont="1"/>
    <xf numFmtId="0" fontId="75" fillId="0" borderId="0" xfId="7" applyFont="1" applyAlignment="1">
      <alignment horizontal="right" wrapText="1"/>
    </xf>
    <xf numFmtId="0" fontId="85" fillId="0" borderId="0" xfId="7" applyFont="1"/>
    <xf numFmtId="0" fontId="44" fillId="3" borderId="2" xfId="7" applyFont="1" applyFill="1" applyBorder="1" applyAlignment="1" applyProtection="1">
      <alignment horizontal="center"/>
      <protection locked="0"/>
    </xf>
    <xf numFmtId="0" fontId="44" fillId="3" borderId="35" xfId="7" applyFont="1" applyFill="1" applyBorder="1" applyAlignment="1" applyProtection="1">
      <alignment horizontal="left" indent="1"/>
      <protection locked="0"/>
    </xf>
    <xf numFmtId="0" fontId="44" fillId="3" borderId="36" xfId="7" applyFont="1" applyFill="1" applyBorder="1"/>
    <xf numFmtId="0" fontId="44" fillId="3" borderId="2" xfId="7" applyFont="1" applyFill="1" applyBorder="1" applyAlignment="1" applyProtection="1">
      <protection locked="0"/>
    </xf>
    <xf numFmtId="0" fontId="44" fillId="27" borderId="2" xfId="7" applyFont="1" applyFill="1" applyBorder="1" applyAlignment="1" applyProtection="1">
      <alignment horizontal="center"/>
      <protection locked="0"/>
    </xf>
    <xf numFmtId="0" fontId="112" fillId="0" borderId="0" xfId="7" applyFont="1"/>
    <xf numFmtId="0" fontId="113" fillId="0" borderId="0" xfId="0" applyFont="1"/>
    <xf numFmtId="0" fontId="10" fillId="0" borderId="45" xfId="0" applyFont="1" applyBorder="1"/>
    <xf numFmtId="0" fontId="44" fillId="0" borderId="2" xfId="7" applyFont="1" applyBorder="1" applyAlignment="1" applyProtection="1">
      <alignment horizontal="center"/>
      <protection locked="0"/>
    </xf>
    <xf numFmtId="0" fontId="44" fillId="0" borderId="35" xfId="7" applyFont="1" applyBorder="1" applyAlignment="1" applyProtection="1">
      <alignment horizontal="left" indent="1"/>
      <protection locked="0"/>
    </xf>
    <xf numFmtId="0" fontId="44" fillId="0" borderId="36" xfId="7" applyFont="1" applyBorder="1"/>
    <xf numFmtId="0" fontId="44" fillId="0" borderId="2" xfId="7" applyFont="1" applyBorder="1" applyAlignment="1" applyProtection="1">
      <protection locked="0"/>
    </xf>
    <xf numFmtId="0" fontId="44" fillId="0" borderId="35" xfId="7" applyFont="1" applyBorder="1" applyAlignment="1" applyProtection="1">
      <alignment horizontal="center"/>
      <protection locked="0"/>
    </xf>
    <xf numFmtId="0" fontId="44" fillId="0" borderId="31" xfId="7" applyFont="1" applyBorder="1" applyAlignment="1" applyProtection="1">
      <protection locked="0"/>
    </xf>
    <xf numFmtId="0" fontId="44" fillId="0" borderId="31" xfId="7" applyFont="1" applyBorder="1" applyAlignment="1" applyProtection="1">
      <alignment horizontal="center"/>
      <protection locked="0"/>
    </xf>
    <xf numFmtId="0" fontId="44" fillId="0" borderId="36" xfId="7" applyFont="1" applyBorder="1" applyAlignment="1" applyProtection="1">
      <alignment horizontal="center"/>
      <protection locked="0"/>
    </xf>
    <xf numFmtId="0" fontId="58" fillId="28" borderId="0" xfId="7" applyFont="1" applyFill="1"/>
    <xf numFmtId="0" fontId="114" fillId="28" borderId="0" xfId="7" applyFont="1" applyFill="1"/>
    <xf numFmtId="0" fontId="54" fillId="28" borderId="0" xfId="7" applyFont="1" applyFill="1"/>
    <xf numFmtId="0" fontId="44" fillId="28" borderId="0" xfId="7" applyFont="1" applyFill="1"/>
    <xf numFmtId="0" fontId="110" fillId="0" borderId="0" xfId="7" applyFont="1" applyAlignment="1"/>
    <xf numFmtId="0" fontId="115" fillId="0" borderId="0" xfId="7" applyFont="1"/>
    <xf numFmtId="164" fontId="44" fillId="27" borderId="1" xfId="7" applyNumberFormat="1" applyFont="1" applyFill="1" applyBorder="1" applyAlignment="1">
      <alignment horizontal="center" vertical="center"/>
    </xf>
    <xf numFmtId="0" fontId="59" fillId="0" borderId="0" xfId="7" applyFont="1" applyFill="1" applyAlignment="1">
      <alignment horizontal="center" vertical="center"/>
    </xf>
    <xf numFmtId="0" fontId="59" fillId="0" borderId="0" xfId="7" applyFont="1" applyFill="1" applyAlignment="1">
      <alignment horizontal="left" vertical="center"/>
    </xf>
    <xf numFmtId="0" fontId="81" fillId="0" borderId="0" xfId="7" applyFont="1" applyAlignment="1">
      <alignment vertical="center"/>
    </xf>
    <xf numFmtId="0" fontId="44" fillId="0" borderId="0" xfId="7" applyFont="1" applyBorder="1" applyAlignment="1">
      <alignment vertical="center"/>
    </xf>
    <xf numFmtId="0" fontId="44" fillId="0" borderId="0" xfId="7" applyFont="1" applyBorder="1" applyAlignment="1">
      <alignment horizontal="right" vertical="center"/>
    </xf>
    <xf numFmtId="0" fontId="116" fillId="0" borderId="0" xfId="7" applyFont="1" applyBorder="1" applyAlignment="1">
      <alignment vertical="center"/>
    </xf>
    <xf numFmtId="0" fontId="44" fillId="0" borderId="0" xfId="7" applyFont="1" applyBorder="1"/>
    <xf numFmtId="0" fontId="44" fillId="29" borderId="0" xfId="7" applyFont="1" applyFill="1" applyBorder="1" applyAlignment="1"/>
    <xf numFmtId="164" fontId="58" fillId="30" borderId="6" xfId="7" applyNumberFormat="1" applyFont="1" applyFill="1" applyBorder="1" applyAlignment="1">
      <alignment horizontal="center" vertical="center"/>
    </xf>
    <xf numFmtId="0" fontId="44" fillId="31" borderId="0" xfId="7" applyFont="1" applyFill="1"/>
    <xf numFmtId="0" fontId="10" fillId="31" borderId="0" xfId="0" applyFont="1" applyFill="1"/>
    <xf numFmtId="0" fontId="91" fillId="31" borderId="0" xfId="7" applyFont="1" applyFill="1"/>
    <xf numFmtId="0" fontId="117" fillId="32" borderId="0" xfId="7" applyFont="1" applyFill="1" applyAlignment="1" applyProtection="1">
      <alignment vertical="center"/>
      <protection hidden="1"/>
    </xf>
    <xf numFmtId="0" fontId="44" fillId="32" borderId="0" xfId="7" applyFont="1" applyFill="1" applyProtection="1">
      <protection hidden="1"/>
    </xf>
    <xf numFmtId="0" fontId="91" fillId="32" borderId="0" xfId="7" applyFont="1" applyFill="1" applyProtection="1">
      <protection hidden="1"/>
    </xf>
    <xf numFmtId="0" fontId="44" fillId="31" borderId="0" xfId="7" applyFont="1" applyFill="1" applyProtection="1">
      <protection hidden="1"/>
    </xf>
    <xf numFmtId="0" fontId="10" fillId="31" borderId="0" xfId="0" applyFont="1" applyFill="1" applyProtection="1">
      <protection hidden="1"/>
    </xf>
    <xf numFmtId="0" fontId="10" fillId="0" borderId="0" xfId="0" applyFont="1" applyProtection="1">
      <protection hidden="1"/>
    </xf>
    <xf numFmtId="0" fontId="44" fillId="3" borderId="2" xfId="7" applyFont="1" applyFill="1" applyBorder="1" applyAlignment="1" applyProtection="1">
      <alignment horizontal="center"/>
      <protection hidden="1"/>
    </xf>
    <xf numFmtId="0" fontId="44" fillId="3" borderId="35" xfId="7" applyFont="1" applyFill="1" applyBorder="1" applyAlignment="1" applyProtection="1">
      <alignment horizontal="left" indent="1"/>
      <protection hidden="1"/>
    </xf>
    <xf numFmtId="0" fontId="44" fillId="3" borderId="36" xfId="7" applyFont="1" applyFill="1" applyBorder="1" applyProtection="1">
      <protection hidden="1"/>
    </xf>
    <xf numFmtId="0" fontId="44" fillId="3" borderId="2" xfId="7" applyFont="1" applyFill="1" applyBorder="1" applyAlignment="1" applyProtection="1">
      <protection hidden="1"/>
    </xf>
    <xf numFmtId="0" fontId="44" fillId="27" borderId="2" xfId="7" applyFont="1" applyFill="1" applyBorder="1" applyAlignment="1" applyProtection="1">
      <alignment horizontal="center"/>
      <protection hidden="1"/>
    </xf>
    <xf numFmtId="0" fontId="44" fillId="3" borderId="35" xfId="7" applyFont="1" applyFill="1" applyBorder="1" applyAlignment="1" applyProtection="1">
      <alignment horizontal="center"/>
      <protection hidden="1"/>
    </xf>
    <xf numFmtId="0" fontId="10" fillId="31" borderId="0" xfId="0" applyFont="1" applyFill="1" applyBorder="1" applyProtection="1">
      <protection hidden="1"/>
    </xf>
    <xf numFmtId="0" fontId="10" fillId="0" borderId="45" xfId="0" applyFont="1" applyBorder="1" applyProtection="1">
      <protection hidden="1"/>
    </xf>
    <xf numFmtId="0" fontId="44" fillId="0" borderId="0" xfId="7" applyFont="1" applyProtection="1">
      <protection hidden="1"/>
    </xf>
    <xf numFmtId="0" fontId="118" fillId="0" borderId="0" xfId="0" applyFont="1" applyAlignment="1">
      <alignment vertical="top"/>
    </xf>
    <xf numFmtId="164" fontId="19" fillId="0" borderId="2" xfId="0" applyNumberFormat="1" applyFont="1" applyFill="1" applyBorder="1" applyAlignment="1">
      <alignment horizontal="right" vertical="center" indent="1"/>
    </xf>
    <xf numFmtId="0" fontId="44" fillId="0" borderId="0" xfId="7" applyFont="1" applyFill="1" applyAlignment="1">
      <alignment horizontal="left" vertical="center" indent="1"/>
    </xf>
    <xf numFmtId="0" fontId="22" fillId="8" borderId="19" xfId="0" quotePrefix="1" applyFont="1" applyFill="1" applyBorder="1" applyAlignment="1">
      <alignment horizontal="left" indent="2"/>
    </xf>
    <xf numFmtId="0" fontId="20" fillId="8" borderId="37" xfId="0" applyFont="1" applyFill="1" applyBorder="1" applyAlignment="1">
      <alignment horizontal="left"/>
    </xf>
    <xf numFmtId="0" fontId="0" fillId="8" borderId="0" xfId="0" applyFill="1"/>
    <xf numFmtId="0" fontId="22" fillId="8" borderId="0" xfId="0" applyFont="1" applyFill="1" applyAlignment="1">
      <alignment horizontal="right"/>
    </xf>
    <xf numFmtId="0" fontId="0" fillId="0" borderId="0" xfId="0" applyAlignment="1">
      <alignment horizontal="left" indent="1"/>
    </xf>
    <xf numFmtId="0" fontId="0" fillId="0" borderId="0" xfId="0" applyFill="1" applyAlignment="1">
      <alignment horizontal="left" vertical="center"/>
    </xf>
    <xf numFmtId="0" fontId="0" fillId="3" borderId="1" xfId="0" applyNumberFormat="1" applyFill="1" applyBorder="1" applyAlignment="1" applyProtection="1">
      <alignment horizontal="right" vertical="center" indent="1"/>
      <protection locked="0"/>
    </xf>
    <xf numFmtId="0" fontId="99" fillId="0" borderId="0" xfId="0" applyFont="1" applyAlignment="1">
      <alignment vertical="center"/>
    </xf>
    <xf numFmtId="0" fontId="0" fillId="31" borderId="0" xfId="0" applyFill="1"/>
    <xf numFmtId="0" fontId="27" fillId="31" borderId="0" xfId="0" applyFont="1" applyFill="1"/>
    <xf numFmtId="0" fontId="34" fillId="31" borderId="0" xfId="0" applyFont="1" applyFill="1" applyProtection="1">
      <protection locked="0"/>
    </xf>
    <xf numFmtId="0" fontId="0" fillId="0" borderId="0" xfId="0" applyFill="1" applyAlignment="1">
      <alignment horizontal="right" vertical="center"/>
    </xf>
    <xf numFmtId="0" fontId="44" fillId="3" borderId="1" xfId="7" applyFont="1" applyFill="1" applyBorder="1" applyAlignment="1" applyProtection="1">
      <alignment horizontal="center"/>
      <protection locked="0"/>
    </xf>
    <xf numFmtId="0" fontId="22" fillId="0" borderId="0" xfId="0" applyFont="1" applyAlignment="1">
      <alignment horizontal="right"/>
    </xf>
    <xf numFmtId="0" fontId="119" fillId="0" borderId="0" xfId="0" applyFont="1"/>
    <xf numFmtId="0" fontId="119" fillId="0" borderId="45" xfId="0" applyFont="1" applyBorder="1"/>
    <xf numFmtId="0" fontId="64" fillId="0" borderId="0" xfId="2" applyFont="1" applyAlignment="1">
      <alignment horizontal="right"/>
    </xf>
    <xf numFmtId="0" fontId="7" fillId="0" borderId="0" xfId="0" applyFont="1" applyAlignment="1">
      <alignment horizontal="right"/>
    </xf>
    <xf numFmtId="0" fontId="7" fillId="0" borderId="0" xfId="0" applyFont="1"/>
    <xf numFmtId="0" fontId="7" fillId="0" borderId="0" xfId="0" applyFont="1" applyAlignment="1">
      <alignment horizontal="right" vertical="top"/>
    </xf>
    <xf numFmtId="0" fontId="62" fillId="3" borderId="0" xfId="7" applyFont="1" applyFill="1" applyBorder="1" applyAlignment="1" applyProtection="1">
      <protection locked="0"/>
    </xf>
    <xf numFmtId="0" fontId="0" fillId="3" borderId="0" xfId="0" applyFill="1"/>
    <xf numFmtId="0" fontId="0" fillId="33" borderId="0" xfId="0" applyFill="1"/>
    <xf numFmtId="0" fontId="0" fillId="34" borderId="0" xfId="0" applyFill="1"/>
    <xf numFmtId="0" fontId="120" fillId="0" borderId="0" xfId="7" applyFont="1"/>
    <xf numFmtId="0" fontId="121" fillId="0" borderId="0" xfId="7" applyFont="1"/>
    <xf numFmtId="0" fontId="122" fillId="31" borderId="0" xfId="0" applyFont="1" applyFill="1"/>
    <xf numFmtId="0" fontId="0" fillId="0" borderId="0" xfId="0" applyAlignment="1">
      <alignment horizontal="right" vertical="top"/>
    </xf>
    <xf numFmtId="0" fontId="0" fillId="35" borderId="0" xfId="0" applyFill="1"/>
    <xf numFmtId="0" fontId="34" fillId="0" borderId="0" xfId="0" applyFont="1" applyAlignment="1">
      <alignment vertical="top"/>
    </xf>
    <xf numFmtId="0" fontId="37" fillId="0" borderId="0" xfId="0" applyFont="1" applyAlignment="1">
      <alignment horizontal="right"/>
    </xf>
    <xf numFmtId="0" fontId="22" fillId="0" borderId="0" xfId="0" applyFont="1"/>
    <xf numFmtId="164" fontId="7" fillId="0" borderId="0" xfId="0" applyNumberFormat="1" applyFont="1" applyBorder="1" applyAlignment="1">
      <alignment horizontal="center"/>
    </xf>
    <xf numFmtId="0" fontId="0" fillId="0" borderId="0" xfId="0" applyFill="1" applyAlignment="1">
      <alignment horizontal="right" indent="1"/>
    </xf>
    <xf numFmtId="164" fontId="17" fillId="0" borderId="3" xfId="0" applyNumberFormat="1" applyFont="1" applyBorder="1" applyAlignment="1">
      <alignment horizontal="right" vertical="center" indent="1"/>
    </xf>
    <xf numFmtId="0" fontId="123" fillId="0" borderId="0" xfId="0" applyFont="1"/>
    <xf numFmtId="0" fontId="123" fillId="0" borderId="0" xfId="0" applyFont="1" applyAlignment="1">
      <alignment vertical="top"/>
    </xf>
    <xf numFmtId="0" fontId="124" fillId="0" borderId="0" xfId="0" applyFont="1"/>
    <xf numFmtId="0" fontId="125" fillId="0" borderId="0" xfId="0" applyFont="1" applyAlignment="1">
      <alignment vertical="top"/>
    </xf>
    <xf numFmtId="0" fontId="126" fillId="36" borderId="0" xfId="0" applyFont="1" applyFill="1" applyAlignment="1">
      <alignment horizontal="right"/>
    </xf>
    <xf numFmtId="0" fontId="127" fillId="6" borderId="0" xfId="0" applyFont="1" applyFill="1"/>
    <xf numFmtId="0" fontId="13" fillId="35" borderId="0" xfId="0" applyFont="1" applyFill="1" applyAlignment="1">
      <alignment horizontal="right" indent="1"/>
    </xf>
    <xf numFmtId="0" fontId="22" fillId="0" borderId="0" xfId="0" applyFont="1" applyAlignment="1">
      <alignment horizontal="left" indent="2"/>
    </xf>
    <xf numFmtId="0" fontId="22" fillId="0" borderId="0" xfId="0" applyFont="1" applyAlignment="1">
      <alignment horizontal="left" vertical="top" indent="2"/>
    </xf>
    <xf numFmtId="0" fontId="128" fillId="0" borderId="0" xfId="0" applyFont="1" applyAlignment="1">
      <alignment vertical="center"/>
    </xf>
    <xf numFmtId="0" fontId="20" fillId="37" borderId="0" xfId="0" applyFont="1" applyFill="1"/>
    <xf numFmtId="0" fontId="22" fillId="37" borderId="0" xfId="0" quotePrefix="1" applyFont="1" applyFill="1" applyAlignment="1">
      <alignment horizontal="left" indent="2"/>
    </xf>
    <xf numFmtId="0" fontId="22" fillId="37" borderId="0" xfId="0" quotePrefix="1" applyFont="1" applyFill="1"/>
    <xf numFmtId="0" fontId="0" fillId="37" borderId="0" xfId="0" applyFill="1"/>
    <xf numFmtId="0" fontId="129" fillId="37" borderId="0" xfId="0" applyFont="1" applyFill="1"/>
    <xf numFmtId="0" fontId="0" fillId="38" borderId="0" xfId="0" applyFill="1"/>
    <xf numFmtId="0" fontId="129" fillId="0" borderId="0" xfId="0" applyFont="1" applyFill="1"/>
    <xf numFmtId="0" fontId="54" fillId="0" borderId="0" xfId="7" applyFont="1" applyFill="1" applyAlignment="1">
      <alignment vertical="center"/>
    </xf>
    <xf numFmtId="0" fontId="130" fillId="37" borderId="0" xfId="7" applyFont="1" applyFill="1"/>
    <xf numFmtId="0" fontId="107" fillId="37" borderId="0" xfId="7" applyFont="1" applyFill="1"/>
    <xf numFmtId="0" fontId="44" fillId="37" borderId="0" xfId="7" applyFont="1" applyFill="1"/>
    <xf numFmtId="0" fontId="47" fillId="37" borderId="0" xfId="7" applyFont="1" applyFill="1" applyAlignment="1"/>
    <xf numFmtId="0" fontId="6" fillId="37" borderId="0" xfId="0" applyFont="1" applyFill="1" applyBorder="1"/>
    <xf numFmtId="0" fontId="6" fillId="37" borderId="0" xfId="0" applyFont="1" applyFill="1"/>
    <xf numFmtId="0" fontId="54" fillId="37" borderId="0" xfId="7" applyFont="1" applyFill="1" applyAlignment="1">
      <alignment horizontal="right" vertical="center"/>
    </xf>
    <xf numFmtId="0" fontId="107" fillId="0" borderId="0" xfId="7" applyFont="1" applyFill="1"/>
    <xf numFmtId="0" fontId="44" fillId="0" borderId="0" xfId="7" applyFont="1" applyFill="1"/>
    <xf numFmtId="0" fontId="6" fillId="0" borderId="0" xfId="0" applyFont="1" applyFill="1" applyBorder="1"/>
    <xf numFmtId="0" fontId="6" fillId="0" borderId="0" xfId="0" applyFont="1" applyFill="1"/>
    <xf numFmtId="0" fontId="131" fillId="0" borderId="0" xfId="7" applyFont="1" applyAlignment="1">
      <alignment textRotation="90"/>
    </xf>
    <xf numFmtId="0" fontId="6" fillId="0" borderId="0" xfId="0" applyFont="1"/>
    <xf numFmtId="164" fontId="19" fillId="0" borderId="0" xfId="0" applyNumberFormat="1" applyFont="1" applyBorder="1" applyAlignment="1">
      <alignment horizontal="right" vertical="center" indent="1"/>
    </xf>
    <xf numFmtId="0" fontId="132" fillId="0" borderId="0" xfId="0" applyFont="1" applyAlignment="1">
      <alignment horizontal="left" vertical="center"/>
    </xf>
    <xf numFmtId="0" fontId="44" fillId="0" borderId="0" xfId="7" applyFont="1" applyBorder="1" applyAlignment="1">
      <alignment horizontal="left"/>
    </xf>
    <xf numFmtId="0" fontId="44" fillId="0" borderId="0" xfId="7" applyFont="1" applyBorder="1" applyAlignment="1">
      <alignment horizontal="left" indent="4"/>
    </xf>
    <xf numFmtId="0" fontId="58" fillId="29" borderId="0" xfId="7" applyFont="1" applyFill="1" applyBorder="1" applyAlignment="1">
      <alignment horizontal="right"/>
    </xf>
    <xf numFmtId="0" fontId="9" fillId="37" borderId="0" xfId="0" applyFont="1" applyFill="1"/>
    <xf numFmtId="0" fontId="133" fillId="0" borderId="0" xfId="7" applyFont="1" applyAlignment="1">
      <alignment textRotation="90"/>
    </xf>
    <xf numFmtId="164" fontId="58" fillId="3" borderId="1" xfId="7" applyNumberFormat="1" applyFont="1" applyFill="1" applyBorder="1" applyAlignment="1" applyProtection="1">
      <alignment horizontal="center" vertical="center"/>
      <protection locked="0"/>
    </xf>
    <xf numFmtId="0" fontId="45" fillId="0" borderId="0" xfId="2" applyFont="1" applyFill="1" applyProtection="1"/>
    <xf numFmtId="0" fontId="5" fillId="0" borderId="0" xfId="0" applyFont="1"/>
    <xf numFmtId="0" fontId="135" fillId="0" borderId="0" xfId="2" applyFont="1"/>
    <xf numFmtId="169" fontId="46" fillId="0" borderId="0" xfId="2" applyNumberFormat="1" applyFont="1" applyFill="1" applyBorder="1" applyAlignment="1" applyProtection="1">
      <alignment vertical="center"/>
    </xf>
    <xf numFmtId="164" fontId="59" fillId="0" borderId="0" xfId="2" applyNumberFormat="1" applyFont="1" applyBorder="1" applyAlignment="1">
      <alignment horizontal="center"/>
    </xf>
    <xf numFmtId="0" fontId="59" fillId="0" borderId="0" xfId="2" applyFont="1" applyBorder="1" applyAlignment="1">
      <alignment vertical="center"/>
    </xf>
    <xf numFmtId="0" fontId="5" fillId="0" borderId="46" xfId="0" applyFont="1" applyBorder="1"/>
    <xf numFmtId="0" fontId="44" fillId="0" borderId="37" xfId="0" applyFont="1" applyBorder="1" applyAlignment="1">
      <alignment horizontal="left" vertical="top"/>
    </xf>
    <xf numFmtId="0" fontId="5" fillId="0" borderId="0" xfId="0" applyFont="1" applyAlignment="1">
      <alignment horizontal="left" vertical="top"/>
    </xf>
    <xf numFmtId="0" fontId="5" fillId="0" borderId="20" xfId="0" applyFont="1" applyBorder="1" applyAlignment="1">
      <alignment horizontal="centerContinuous"/>
    </xf>
    <xf numFmtId="0" fontId="5" fillId="0" borderId="41" xfId="0" applyFont="1" applyBorder="1" applyAlignment="1">
      <alignment horizontal="centerContinuous"/>
    </xf>
    <xf numFmtId="0" fontId="5" fillId="0" borderId="21" xfId="0" applyFont="1" applyBorder="1" applyAlignment="1">
      <alignment horizontal="centerContinuous"/>
    </xf>
    <xf numFmtId="0" fontId="46" fillId="0" borderId="24" xfId="0" applyFont="1" applyBorder="1" applyAlignment="1">
      <alignment horizontal="center"/>
    </xf>
    <xf numFmtId="0" fontId="46" fillId="0" borderId="0" xfId="0" applyFont="1" applyBorder="1" applyAlignment="1">
      <alignment horizontal="center"/>
    </xf>
    <xf numFmtId="0" fontId="46" fillId="0" borderId="25" xfId="0" applyFont="1" applyBorder="1" applyAlignment="1">
      <alignment horizontal="center"/>
    </xf>
    <xf numFmtId="0" fontId="58" fillId="0" borderId="17" xfId="0" applyFont="1" applyBorder="1" applyAlignment="1">
      <alignment horizontal="center"/>
    </xf>
    <xf numFmtId="0" fontId="58" fillId="0" borderId="28" xfId="0" applyFont="1" applyBorder="1" applyAlignment="1">
      <alignment horizontal="center"/>
    </xf>
    <xf numFmtId="0" fontId="44" fillId="0" borderId="29" xfId="0" applyFont="1" applyBorder="1" applyAlignment="1">
      <alignment horizontal="center"/>
    </xf>
    <xf numFmtId="0" fontId="44" fillId="0" borderId="45" xfId="0" applyFont="1" applyBorder="1" applyAlignment="1">
      <alignment horizontal="center"/>
    </xf>
    <xf numFmtId="0" fontId="138" fillId="40" borderId="0" xfId="0" applyFont="1" applyFill="1"/>
    <xf numFmtId="0" fontId="138" fillId="40" borderId="0" xfId="0" applyFont="1" applyFill="1" applyBorder="1"/>
    <xf numFmtId="0" fontId="138" fillId="4" borderId="0" xfId="0" applyFont="1" applyFill="1"/>
    <xf numFmtId="0" fontId="138" fillId="4" borderId="0" xfId="0" applyFont="1" applyFill="1" applyBorder="1"/>
    <xf numFmtId="20" fontId="86" fillId="26" borderId="19" xfId="2" applyNumberFormat="1" applyFont="1" applyFill="1" applyBorder="1" applyAlignment="1" applyProtection="1">
      <alignment horizontal="center"/>
      <protection locked="0" hidden="1"/>
    </xf>
    <xf numFmtId="0" fontId="89" fillId="3" borderId="52" xfId="4" applyFont="1" applyFill="1" applyBorder="1" applyAlignment="1" applyProtection="1">
      <alignment horizontal="center"/>
      <protection locked="0" hidden="1"/>
    </xf>
    <xf numFmtId="0" fontId="89" fillId="3" borderId="53" xfId="4" applyFont="1" applyFill="1" applyBorder="1" applyAlignment="1" applyProtection="1">
      <alignment horizontal="center"/>
      <protection locked="0" hidden="1"/>
    </xf>
    <xf numFmtId="0" fontId="89" fillId="39" borderId="54" xfId="4" applyNumberFormat="1" applyFont="1" applyFill="1" applyBorder="1" applyAlignment="1" applyProtection="1">
      <alignment horizontal="center"/>
      <protection hidden="1"/>
    </xf>
    <xf numFmtId="0" fontId="5" fillId="40" borderId="0" xfId="0" applyFont="1" applyFill="1"/>
    <xf numFmtId="0" fontId="5" fillId="4" borderId="0" xfId="0" applyFont="1" applyFill="1"/>
    <xf numFmtId="0" fontId="88" fillId="14" borderId="33" xfId="2" applyFont="1" applyFill="1" applyBorder="1" applyAlignment="1" applyProtection="1">
      <alignment horizontal="right" indent="1"/>
      <protection locked="0"/>
    </xf>
    <xf numFmtId="0" fontId="88" fillId="14" borderId="34" xfId="2" applyFont="1" applyFill="1" applyBorder="1" applyAlignment="1" applyProtection="1">
      <alignment horizontal="right" indent="1"/>
      <protection locked="0"/>
    </xf>
    <xf numFmtId="0" fontId="89" fillId="3" borderId="55" xfId="4" applyFont="1" applyFill="1" applyBorder="1" applyAlignment="1" applyProtection="1">
      <alignment horizontal="center"/>
      <protection locked="0" hidden="1"/>
    </xf>
    <xf numFmtId="0" fontId="89" fillId="3" borderId="56" xfId="4" applyFont="1" applyFill="1" applyBorder="1" applyAlignment="1" applyProtection="1">
      <alignment horizontal="center"/>
      <protection locked="0" hidden="1"/>
    </xf>
    <xf numFmtId="0" fontId="89" fillId="39" borderId="57" xfId="4" applyNumberFormat="1" applyFont="1" applyFill="1" applyBorder="1" applyAlignment="1" applyProtection="1">
      <alignment horizontal="center"/>
      <protection hidden="1"/>
    </xf>
    <xf numFmtId="0" fontId="67" fillId="0" borderId="0" xfId="2" applyFont="1" applyBorder="1" applyAlignment="1">
      <alignment horizontal="right" indent="1"/>
    </xf>
    <xf numFmtId="0" fontId="67" fillId="0" borderId="0" xfId="2" applyFont="1" applyBorder="1" applyAlignment="1">
      <alignment horizontal="center"/>
    </xf>
    <xf numFmtId="0" fontId="68" fillId="0" borderId="0" xfId="2" applyFont="1" applyBorder="1" applyAlignment="1">
      <alignment horizontal="right" indent="1"/>
    </xf>
    <xf numFmtId="0" fontId="67" fillId="0" borderId="0" xfId="2" applyFont="1" applyBorder="1"/>
    <xf numFmtId="0" fontId="5" fillId="32" borderId="0" xfId="0" applyFont="1" applyFill="1"/>
    <xf numFmtId="0" fontId="5" fillId="0" borderId="0" xfId="0" applyFont="1" applyFill="1"/>
    <xf numFmtId="0" fontId="134" fillId="0" borderId="0" xfId="2" applyFont="1"/>
    <xf numFmtId="0" fontId="134" fillId="0" borderId="0" xfId="0" applyFont="1"/>
    <xf numFmtId="0" fontId="74" fillId="0" borderId="0" xfId="0" applyFont="1"/>
    <xf numFmtId="0" fontId="74" fillId="0" borderId="0" xfId="0" applyFont="1" applyAlignment="1">
      <alignment horizontal="right"/>
    </xf>
    <xf numFmtId="0" fontId="139" fillId="0" borderId="0" xfId="0" applyFont="1" applyAlignment="1">
      <alignment horizontal="right" indent="1"/>
    </xf>
    <xf numFmtId="0" fontId="140" fillId="0" borderId="0" xfId="0" applyFont="1" applyAlignment="1">
      <alignment horizontal="right" vertical="top"/>
    </xf>
    <xf numFmtId="0" fontId="141" fillId="0" borderId="0" xfId="0" applyFont="1"/>
    <xf numFmtId="0" fontId="74" fillId="0" borderId="0" xfId="0" applyFont="1" applyAlignment="1"/>
    <xf numFmtId="0" fontId="74" fillId="0" borderId="0" xfId="0" applyFont="1" applyAlignment="1">
      <alignment vertical="center"/>
    </xf>
    <xf numFmtId="0" fontId="44" fillId="0" borderId="0" xfId="0" applyFont="1" applyAlignment="1"/>
    <xf numFmtId="0" fontId="44" fillId="0" borderId="0" xfId="0" applyFont="1" applyAlignment="1">
      <alignment horizontal="left"/>
    </xf>
    <xf numFmtId="0" fontId="44" fillId="0" borderId="0" xfId="2" applyFont="1" applyFill="1"/>
    <xf numFmtId="0" fontId="5" fillId="0" borderId="37" xfId="0" applyFont="1" applyBorder="1" applyAlignment="1"/>
    <xf numFmtId="0" fontId="5" fillId="0" borderId="0" xfId="0" applyFont="1" applyBorder="1" applyAlignment="1"/>
    <xf numFmtId="0" fontId="76" fillId="0" borderId="0" xfId="0" applyFont="1" applyBorder="1" applyAlignment="1">
      <alignment vertical="center"/>
    </xf>
    <xf numFmtId="0" fontId="5" fillId="16" borderId="0" xfId="0" applyFont="1" applyFill="1"/>
    <xf numFmtId="0" fontId="5" fillId="17" borderId="0" xfId="0" applyFont="1" applyFill="1"/>
    <xf numFmtId="0" fontId="44" fillId="0" borderId="0" xfId="2" applyFont="1" applyBorder="1"/>
    <xf numFmtId="0" fontId="5" fillId="0" borderId="37" xfId="0" applyFont="1" applyBorder="1"/>
    <xf numFmtId="0" fontId="5" fillId="0" borderId="0" xfId="0" applyFont="1" applyBorder="1"/>
    <xf numFmtId="0" fontId="80" fillId="0" borderId="0" xfId="0" quotePrefix="1" applyFont="1" applyAlignment="1">
      <alignment vertical="center"/>
    </xf>
    <xf numFmtId="0" fontId="142" fillId="0" borderId="0" xfId="2" applyFont="1"/>
    <xf numFmtId="0" fontId="138" fillId="9" borderId="0" xfId="0" applyFont="1" applyFill="1" applyBorder="1"/>
    <xf numFmtId="0" fontId="4" fillId="0" borderId="0" xfId="0" applyFont="1"/>
    <xf numFmtId="0" fontId="4" fillId="0" borderId="4" xfId="0" applyFont="1" applyBorder="1"/>
    <xf numFmtId="0" fontId="145" fillId="41" borderId="38" xfId="0" applyFont="1" applyFill="1" applyBorder="1" applyAlignment="1">
      <alignment vertical="center"/>
    </xf>
    <xf numFmtId="0" fontId="145" fillId="41" borderId="3" xfId="0" applyFont="1" applyFill="1" applyBorder="1" applyAlignment="1">
      <alignment vertical="center"/>
    </xf>
    <xf numFmtId="0" fontId="145" fillId="41" borderId="3" xfId="0" applyFont="1" applyFill="1" applyBorder="1" applyAlignment="1">
      <alignment horizontal="right" vertical="center"/>
    </xf>
    <xf numFmtId="0" fontId="145" fillId="41" borderId="39" xfId="0" applyFont="1" applyFill="1" applyBorder="1" applyAlignment="1">
      <alignment horizontal="right" vertical="center"/>
    </xf>
    <xf numFmtId="0" fontId="4" fillId="0" borderId="0" xfId="0" applyFont="1" applyAlignment="1">
      <alignment vertical="center"/>
    </xf>
    <xf numFmtId="0" fontId="4" fillId="0" borderId="59" xfId="0" applyFont="1" applyBorder="1"/>
    <xf numFmtId="0" fontId="4" fillId="0" borderId="8" xfId="0" applyFont="1" applyBorder="1"/>
    <xf numFmtId="0" fontId="147" fillId="0" borderId="0" xfId="3" applyFont="1" applyAlignment="1" applyProtection="1"/>
    <xf numFmtId="0" fontId="147" fillId="0" borderId="4" xfId="3" applyFont="1" applyBorder="1" applyAlignment="1" applyProtection="1"/>
    <xf numFmtId="0" fontId="4" fillId="0" borderId="0" xfId="0" applyFont="1" applyFill="1" applyBorder="1" applyAlignment="1" applyProtection="1">
      <alignment horizontal="center"/>
      <protection locked="0"/>
    </xf>
    <xf numFmtId="0" fontId="144" fillId="0" borderId="60" xfId="0" applyFont="1" applyBorder="1"/>
    <xf numFmtId="0" fontId="4" fillId="0" borderId="43" xfId="0" applyFont="1" applyBorder="1"/>
    <xf numFmtId="0" fontId="4" fillId="0" borderId="0" xfId="0" applyFont="1" applyBorder="1"/>
    <xf numFmtId="0" fontId="144" fillId="0" borderId="0" xfId="0" applyFont="1"/>
    <xf numFmtId="0" fontId="4" fillId="0" borderId="58" xfId="0" applyFont="1" applyBorder="1"/>
    <xf numFmtId="0" fontId="4" fillId="0" borderId="62" xfId="0" applyFont="1" applyBorder="1"/>
    <xf numFmtId="0" fontId="4" fillId="0" borderId="0" xfId="11"/>
    <xf numFmtId="0" fontId="151" fillId="43" borderId="0" xfId="11" applyFont="1" applyFill="1" applyAlignment="1">
      <alignment horizontal="center" vertical="top"/>
    </xf>
    <xf numFmtId="0" fontId="152" fillId="44" borderId="0" xfId="11" applyFont="1" applyFill="1" applyAlignment="1">
      <alignment horizontal="center"/>
    </xf>
    <xf numFmtId="164" fontId="153" fillId="43" borderId="0" xfId="11" applyNumberFormat="1" applyFont="1" applyFill="1" applyAlignment="1">
      <alignment horizontal="center" vertical="center"/>
    </xf>
    <xf numFmtId="0" fontId="4" fillId="0" borderId="0" xfId="11" applyAlignment="1">
      <alignment horizontal="right"/>
    </xf>
    <xf numFmtId="164" fontId="153" fillId="18" borderId="0" xfId="11" applyNumberFormat="1" applyFont="1" applyFill="1" applyAlignment="1">
      <alignment horizontal="center"/>
    </xf>
    <xf numFmtId="0" fontId="134" fillId="0" borderId="0" xfId="11" applyFont="1"/>
    <xf numFmtId="0" fontId="154" fillId="4" borderId="0" xfId="11" applyFont="1" applyFill="1" applyAlignment="1">
      <alignment vertical="top"/>
    </xf>
    <xf numFmtId="0" fontId="154" fillId="4" borderId="0" xfId="11" applyFont="1" applyFill="1" applyAlignment="1">
      <alignment vertical="top" wrapText="1"/>
    </xf>
    <xf numFmtId="164" fontId="154" fillId="4" borderId="0" xfId="11" applyNumberFormat="1" applyFont="1" applyFill="1" applyAlignment="1">
      <alignment horizontal="center" vertical="top"/>
    </xf>
    <xf numFmtId="0" fontId="4" fillId="0" borderId="0" xfId="11" applyAlignment="1">
      <alignment vertical="top"/>
    </xf>
    <xf numFmtId="0" fontId="4" fillId="0" borderId="0" xfId="11" applyAlignment="1">
      <alignment horizontal="right" vertical="top"/>
    </xf>
    <xf numFmtId="0" fontId="4" fillId="0" borderId="0" xfId="11" applyFill="1"/>
    <xf numFmtId="0" fontId="39" fillId="0" borderId="0" xfId="10"/>
    <xf numFmtId="0" fontId="39" fillId="0" borderId="1" xfId="10" applyBorder="1"/>
    <xf numFmtId="0" fontId="85" fillId="11" borderId="0" xfId="11" applyFont="1" applyFill="1" applyAlignment="1">
      <alignment horizontal="center"/>
    </xf>
    <xf numFmtId="0" fontId="85" fillId="11" borderId="0" xfId="11" applyFont="1" applyFill="1" applyAlignment="1">
      <alignment horizontal="left"/>
    </xf>
    <xf numFmtId="0" fontId="44" fillId="0" borderId="0" xfId="12" applyFont="1" applyAlignment="1" applyProtection="1">
      <alignment vertical="center"/>
    </xf>
    <xf numFmtId="0" fontId="44" fillId="0" borderId="0" xfId="12" applyFont="1" applyAlignment="1" applyProtection="1">
      <alignment horizontal="left" vertical="center"/>
    </xf>
    <xf numFmtId="0" fontId="44" fillId="0" borderId="0" xfId="12" applyFont="1" applyAlignment="1" applyProtection="1">
      <alignment horizontal="center" vertical="center"/>
    </xf>
    <xf numFmtId="0" fontId="155" fillId="0" borderId="0" xfId="12" applyFont="1" applyAlignment="1" applyProtection="1">
      <alignment horizontal="left" vertical="top"/>
    </xf>
    <xf numFmtId="0" fontId="156" fillId="0" borderId="0" xfId="12" applyFont="1" applyBorder="1" applyAlignment="1" applyProtection="1">
      <alignment vertical="center"/>
    </xf>
    <xf numFmtId="0" fontId="91" fillId="0" borderId="0" xfId="12" applyFont="1" applyAlignment="1" applyProtection="1">
      <alignment vertical="center"/>
    </xf>
    <xf numFmtId="0" fontId="157" fillId="0" borderId="0" xfId="12" applyFont="1" applyAlignment="1" applyProtection="1">
      <alignment horizontal="right"/>
    </xf>
    <xf numFmtId="0" fontId="46" fillId="0" borderId="0" xfId="12" applyFont="1" applyAlignment="1" applyProtection="1">
      <alignment horizontal="right" vertical="top"/>
    </xf>
    <xf numFmtId="0" fontId="64" fillId="0" borderId="0" xfId="12" applyFont="1" applyAlignment="1" applyProtection="1">
      <alignment horizontal="centerContinuous" vertical="top"/>
    </xf>
    <xf numFmtId="0" fontId="46" fillId="0" borderId="0" xfId="12" applyFont="1" applyAlignment="1" applyProtection="1">
      <alignment horizontal="center" vertical="top"/>
    </xf>
    <xf numFmtId="0" fontId="44" fillId="0" borderId="0" xfId="12" applyFont="1" applyAlignment="1" applyProtection="1">
      <alignment horizontal="centerContinuous" vertical="top"/>
    </xf>
    <xf numFmtId="0" fontId="46" fillId="0" borderId="0" xfId="12" applyFont="1" applyAlignment="1" applyProtection="1">
      <alignment horizontal="center"/>
    </xf>
    <xf numFmtId="0" fontId="44" fillId="0" borderId="0" xfId="12" applyFont="1" applyAlignment="1" applyProtection="1">
      <alignment vertical="top"/>
    </xf>
    <xf numFmtId="0" fontId="158" fillId="0" borderId="0" xfId="12" applyFont="1" applyFill="1" applyBorder="1" applyAlignment="1" applyProtection="1">
      <alignment horizontal="center" vertical="center" wrapText="1"/>
    </xf>
    <xf numFmtId="0" fontId="58" fillId="0" borderId="64" xfId="12" applyFont="1" applyBorder="1" applyAlignment="1" applyProtection="1">
      <alignment horizontal="center" textRotation="90" wrapText="1"/>
    </xf>
    <xf numFmtId="0" fontId="58" fillId="0" borderId="65" xfId="12" applyFont="1" applyBorder="1" applyAlignment="1" applyProtection="1">
      <alignment horizontal="center" textRotation="90" wrapText="1"/>
    </xf>
    <xf numFmtId="0" fontId="44" fillId="0" borderId="8" xfId="12" applyFont="1" applyBorder="1" applyAlignment="1" applyProtection="1">
      <alignment horizontal="center"/>
    </xf>
    <xf numFmtId="0" fontId="58" fillId="0" borderId="66" xfId="12" applyFont="1" applyFill="1" applyBorder="1" applyAlignment="1" applyProtection="1">
      <alignment horizontal="center" textRotation="90" wrapText="1"/>
    </xf>
    <xf numFmtId="0" fontId="58" fillId="0" borderId="66" xfId="13" applyFont="1" applyBorder="1" applyAlignment="1" applyProtection="1">
      <alignment horizontal="center" textRotation="90" wrapText="1"/>
    </xf>
    <xf numFmtId="0" fontId="58" fillId="0" borderId="66" xfId="12" applyFont="1" applyBorder="1" applyAlignment="1" applyProtection="1">
      <alignment horizontal="center" textRotation="90" wrapText="1"/>
    </xf>
    <xf numFmtId="0" fontId="150" fillId="45" borderId="66" xfId="12" applyFont="1" applyFill="1" applyBorder="1" applyAlignment="1" applyProtection="1">
      <alignment horizontal="center" textRotation="90" wrapText="1"/>
    </xf>
    <xf numFmtId="0" fontId="44" fillId="0" borderId="65" xfId="12" applyFont="1" applyBorder="1" applyAlignment="1" applyProtection="1">
      <alignment horizontal="center" textRotation="90" wrapText="1"/>
    </xf>
    <xf numFmtId="0" fontId="44" fillId="0" borderId="1" xfId="12" applyFont="1" applyBorder="1" applyAlignment="1" applyProtection="1">
      <alignment horizontal="center" textRotation="90" wrapText="1"/>
    </xf>
    <xf numFmtId="0" fontId="58" fillId="46" borderId="1" xfId="12" applyFont="1" applyFill="1" applyBorder="1" applyAlignment="1" applyProtection="1">
      <alignment horizontal="center" textRotation="90" wrapText="1"/>
    </xf>
    <xf numFmtId="0" fontId="57" fillId="47" borderId="67" xfId="12" applyFont="1" applyFill="1" applyBorder="1" applyAlignment="1" applyProtection="1">
      <alignment vertical="center"/>
      <protection locked="0"/>
    </xf>
    <xf numFmtId="0" fontId="57" fillId="47" borderId="26" xfId="12" applyFont="1" applyFill="1" applyBorder="1" applyAlignment="1" applyProtection="1">
      <alignment vertical="center"/>
      <protection locked="0"/>
    </xf>
    <xf numFmtId="0" fontId="44" fillId="47" borderId="68" xfId="13" applyFont="1" applyFill="1" applyBorder="1" applyAlignment="1" applyProtection="1">
      <alignment horizontal="center" vertical="center"/>
      <protection locked="0"/>
    </xf>
    <xf numFmtId="0" fontId="58" fillId="47" borderId="68" xfId="13" applyFont="1" applyFill="1" applyBorder="1" applyAlignment="1" applyProtection="1">
      <alignment horizontal="center" vertical="center"/>
      <protection locked="0"/>
    </xf>
    <xf numFmtId="0" fontId="44" fillId="47" borderId="69" xfId="13" applyFont="1" applyFill="1" applyBorder="1" applyAlignment="1" applyProtection="1">
      <alignment horizontal="center" vertical="center"/>
      <protection locked="0"/>
    </xf>
    <xf numFmtId="0" fontId="164" fillId="0" borderId="8" xfId="12" applyFont="1" applyBorder="1" applyAlignment="1">
      <alignment horizontal="center" vertical="center" textRotation="90"/>
    </xf>
    <xf numFmtId="0" fontId="44" fillId="47" borderId="60" xfId="12" applyFont="1" applyFill="1" applyBorder="1" applyAlignment="1" applyProtection="1">
      <alignment horizontal="center" vertical="center"/>
      <protection locked="0"/>
    </xf>
    <xf numFmtId="0" fontId="44" fillId="47" borderId="63" xfId="12" applyFont="1" applyFill="1" applyBorder="1" applyAlignment="1" applyProtection="1">
      <alignment horizontal="center" vertical="center"/>
      <protection locked="0"/>
    </xf>
    <xf numFmtId="0" fontId="44" fillId="47" borderId="61" xfId="12" applyFont="1" applyFill="1" applyBorder="1" applyAlignment="1" applyProtection="1">
      <alignment horizontal="center" vertical="center"/>
      <protection locked="0"/>
    </xf>
    <xf numFmtId="0" fontId="44" fillId="0" borderId="8" xfId="12" applyFont="1" applyBorder="1" applyAlignment="1" applyProtection="1">
      <alignment horizontal="center" vertical="center"/>
    </xf>
    <xf numFmtId="0" fontId="59" fillId="47" borderId="70" xfId="12" applyFont="1" applyFill="1" applyBorder="1" applyAlignment="1" applyProtection="1">
      <alignment horizontal="center" vertical="center"/>
      <protection locked="0"/>
    </xf>
    <xf numFmtId="0" fontId="165" fillId="0" borderId="0" xfId="12" applyFont="1" applyAlignment="1">
      <alignment horizontal="center" vertical="center" textRotation="90"/>
    </xf>
    <xf numFmtId="0" fontId="54" fillId="0" borderId="30" xfId="12" applyFont="1" applyBorder="1" applyAlignment="1" applyProtection="1">
      <alignment horizontal="left" vertical="center"/>
      <protection locked="0"/>
    </xf>
    <xf numFmtId="0" fontId="54" fillId="0" borderId="2" xfId="12" applyFont="1" applyBorder="1" applyAlignment="1" applyProtection="1">
      <alignment horizontal="left" vertical="center"/>
      <protection locked="0"/>
    </xf>
    <xf numFmtId="0" fontId="44" fillId="0" borderId="2" xfId="13" applyFont="1" applyBorder="1" applyAlignment="1" applyProtection="1">
      <alignment horizontal="center" vertical="center"/>
      <protection locked="0"/>
    </xf>
    <xf numFmtId="0" fontId="58" fillId="0" borderId="2" xfId="13" applyFont="1" applyBorder="1" applyAlignment="1" applyProtection="1">
      <alignment horizontal="center" vertical="center"/>
      <protection locked="0"/>
    </xf>
    <xf numFmtId="0" fontId="44" fillId="0" borderId="53" xfId="13" applyFont="1" applyBorder="1" applyAlignment="1" applyProtection="1">
      <alignment horizontal="center" vertical="center"/>
      <protection locked="0"/>
    </xf>
    <xf numFmtId="0" fontId="44" fillId="0" borderId="30" xfId="13" applyFont="1" applyBorder="1" applyAlignment="1" applyProtection="1">
      <alignment horizontal="center" vertical="center"/>
      <protection locked="0"/>
    </xf>
    <xf numFmtId="0" fontId="44" fillId="0" borderId="2" xfId="12" applyFont="1" applyFill="1" applyBorder="1" applyAlignment="1" applyProtection="1">
      <alignment horizontal="center" vertical="center"/>
      <protection locked="0"/>
    </xf>
    <xf numFmtId="0" fontId="44" fillId="45" borderId="2" xfId="7" applyFont="1" applyFill="1" applyBorder="1" applyAlignment="1" applyProtection="1">
      <alignment horizontal="center" vertical="center"/>
      <protection locked="0"/>
    </xf>
    <xf numFmtId="0" fontId="59" fillId="0" borderId="53" xfId="12" applyFont="1" applyBorder="1" applyAlignment="1" applyProtection="1">
      <alignment horizontal="center" vertical="center"/>
      <protection locked="0"/>
    </xf>
    <xf numFmtId="0" fontId="166" fillId="0" borderId="8" xfId="12" applyFont="1" applyBorder="1" applyAlignment="1" applyProtection="1">
      <alignment horizontal="center" vertical="center"/>
    </xf>
    <xf numFmtId="0" fontId="59" fillId="0" borderId="54" xfId="12" applyFont="1" applyBorder="1" applyAlignment="1" applyProtection="1">
      <alignment horizontal="center" vertical="center"/>
      <protection locked="0"/>
    </xf>
    <xf numFmtId="0" fontId="58" fillId="0" borderId="53" xfId="13" applyFont="1" applyBorder="1" applyAlignment="1" applyProtection="1">
      <alignment horizontal="center" vertical="center"/>
      <protection locked="0"/>
    </xf>
    <xf numFmtId="0" fontId="54" fillId="0" borderId="71" xfId="12" applyFont="1" applyBorder="1" applyAlignment="1" applyProtection="1">
      <alignment horizontal="left" vertical="center"/>
      <protection locked="0"/>
    </xf>
    <xf numFmtId="0" fontId="54" fillId="0" borderId="72" xfId="12" applyFont="1" applyBorder="1" applyAlignment="1" applyProtection="1">
      <alignment horizontal="left" vertical="center"/>
      <protection locked="0"/>
    </xf>
    <xf numFmtId="0" fontId="44" fillId="0" borderId="72" xfId="13" applyFont="1" applyBorder="1" applyAlignment="1" applyProtection="1">
      <alignment horizontal="center" vertical="center"/>
      <protection locked="0"/>
    </xf>
    <xf numFmtId="0" fontId="58" fillId="0" borderId="72" xfId="13" applyFont="1" applyBorder="1" applyAlignment="1" applyProtection="1">
      <alignment horizontal="center" vertical="center"/>
      <protection locked="0"/>
    </xf>
    <xf numFmtId="0" fontId="44" fillId="0" borderId="73" xfId="13" applyFont="1" applyBorder="1" applyAlignment="1" applyProtection="1">
      <alignment horizontal="center" vertical="center"/>
      <protection locked="0"/>
    </xf>
    <xf numFmtId="0" fontId="44" fillId="0" borderId="71" xfId="13" applyFont="1" applyBorder="1" applyAlignment="1" applyProtection="1">
      <alignment horizontal="center" vertical="center"/>
      <protection locked="0"/>
    </xf>
    <xf numFmtId="0" fontId="44" fillId="0" borderId="72" xfId="12" applyFont="1" applyFill="1" applyBorder="1" applyAlignment="1" applyProtection="1">
      <alignment horizontal="center" vertical="center"/>
      <protection locked="0"/>
    </xf>
    <xf numFmtId="0" fontId="44" fillId="45" borderId="72" xfId="7" applyFont="1" applyFill="1" applyBorder="1" applyAlignment="1" applyProtection="1">
      <alignment horizontal="center" vertical="center"/>
      <protection locked="0"/>
    </xf>
    <xf numFmtId="0" fontId="59" fillId="0" borderId="73" xfId="12" applyFont="1" applyBorder="1" applyAlignment="1" applyProtection="1">
      <alignment horizontal="center" vertical="center"/>
      <protection locked="0"/>
    </xf>
    <xf numFmtId="0" fontId="59" fillId="0" borderId="74" xfId="12" applyFont="1" applyBorder="1" applyAlignment="1" applyProtection="1">
      <alignment horizontal="center" vertical="center"/>
      <protection locked="0"/>
    </xf>
    <xf numFmtId="0" fontId="58" fillId="0" borderId="0" xfId="12" applyFont="1" applyAlignment="1">
      <alignment vertical="center"/>
    </xf>
    <xf numFmtId="0" fontId="58" fillId="0" borderId="0" xfId="12" applyFont="1" applyAlignment="1">
      <alignment horizontal="right" vertical="center"/>
    </xf>
    <xf numFmtId="0" fontId="58" fillId="0" borderId="75" xfId="12" applyFont="1" applyBorder="1" applyAlignment="1">
      <alignment horizontal="center" vertical="center"/>
    </xf>
    <xf numFmtId="0" fontId="58" fillId="0" borderId="76" xfId="12" applyFont="1" applyBorder="1" applyAlignment="1">
      <alignment horizontal="center" vertical="center"/>
    </xf>
    <xf numFmtId="0" fontId="58" fillId="0" borderId="0" xfId="12" applyFont="1" applyAlignment="1">
      <alignment horizontal="left" vertical="center"/>
    </xf>
    <xf numFmtId="0" fontId="58" fillId="48" borderId="77" xfId="12" applyFont="1" applyFill="1" applyBorder="1" applyAlignment="1">
      <alignment horizontal="center" vertical="center"/>
    </xf>
    <xf numFmtId="0" fontId="58" fillId="0" borderId="77" xfId="12" applyFont="1" applyBorder="1" applyAlignment="1">
      <alignment horizontal="center" vertical="center"/>
    </xf>
    <xf numFmtId="0" fontId="58" fillId="45" borderId="77" xfId="12" applyFont="1" applyFill="1" applyBorder="1" applyAlignment="1">
      <alignment horizontal="center" vertical="center"/>
    </xf>
    <xf numFmtId="0" fontId="58" fillId="0" borderId="78" xfId="12" applyFont="1" applyBorder="1" applyAlignment="1" applyProtection="1">
      <alignment horizontal="center" vertical="center"/>
    </xf>
    <xf numFmtId="0" fontId="58" fillId="0" borderId="0" xfId="12" applyFont="1" applyAlignment="1" applyProtection="1">
      <alignment horizontal="center" vertical="center"/>
    </xf>
    <xf numFmtId="0" fontId="58" fillId="0" borderId="79" xfId="12" applyFont="1" applyBorder="1" applyAlignment="1" applyProtection="1">
      <alignment horizontal="center" vertical="center"/>
    </xf>
    <xf numFmtId="0" fontId="167" fillId="0" borderId="0" xfId="12" applyFont="1" applyAlignment="1">
      <alignment horizontal="center" vertical="center"/>
    </xf>
    <xf numFmtId="0" fontId="58" fillId="46" borderId="80" xfId="12" applyFont="1" applyFill="1" applyBorder="1" applyAlignment="1">
      <alignment horizontal="center" vertical="center"/>
    </xf>
    <xf numFmtId="0" fontId="44" fillId="0" borderId="0" xfId="12" applyFont="1" applyAlignment="1">
      <alignment vertical="center"/>
    </xf>
    <xf numFmtId="0" fontId="44" fillId="0" borderId="0" xfId="12" applyFont="1" applyAlignment="1">
      <alignment horizontal="left" vertical="center"/>
    </xf>
    <xf numFmtId="0" fontId="44" fillId="0" borderId="0" xfId="13" applyFont="1" applyBorder="1" applyAlignment="1">
      <alignment horizontal="center" vertical="center"/>
    </xf>
    <xf numFmtId="0" fontId="44" fillId="48" borderId="81" xfId="13" applyFont="1" applyFill="1" applyBorder="1" applyAlignment="1">
      <alignment horizontal="center" vertical="center"/>
    </xf>
    <xf numFmtId="3" fontId="44" fillId="0" borderId="82" xfId="13" applyNumberFormat="1" applyFont="1" applyBorder="1" applyAlignment="1">
      <alignment horizontal="center" vertical="center"/>
    </xf>
    <xf numFmtId="0" fontId="44" fillId="0" borderId="59" xfId="13" applyFont="1" applyBorder="1" applyAlignment="1">
      <alignment horizontal="center" vertical="center"/>
    </xf>
    <xf numFmtId="0" fontId="44" fillId="0" borderId="81" xfId="13" applyFont="1" applyBorder="1" applyAlignment="1">
      <alignment horizontal="center" vertical="center"/>
    </xf>
    <xf numFmtId="0" fontId="44" fillId="0" borderId="82" xfId="13" applyFont="1" applyBorder="1" applyAlignment="1">
      <alignment horizontal="center" vertical="center"/>
    </xf>
    <xf numFmtId="0" fontId="44" fillId="0" borderId="0" xfId="12" applyFont="1" applyAlignment="1">
      <alignment horizontal="center" vertical="center"/>
    </xf>
    <xf numFmtId="0" fontId="44" fillId="0" borderId="0" xfId="12" applyFont="1" applyBorder="1" applyAlignment="1" applyProtection="1">
      <alignment horizontal="center" vertical="center"/>
    </xf>
    <xf numFmtId="0" fontId="53" fillId="0" borderId="0" xfId="12" applyFont="1" applyAlignment="1" applyProtection="1">
      <alignment vertical="center"/>
    </xf>
    <xf numFmtId="0" fontId="59" fillId="0" borderId="0" xfId="12" applyFont="1" applyAlignment="1" applyProtection="1">
      <alignment vertical="center"/>
    </xf>
    <xf numFmtId="0" fontId="168" fillId="0" borderId="0" xfId="0" applyFont="1" applyFill="1"/>
    <xf numFmtId="0" fontId="59" fillId="0" borderId="0" xfId="12" applyFont="1" applyAlignment="1">
      <alignment horizontal="left" vertical="center"/>
    </xf>
    <xf numFmtId="0" fontId="169" fillId="0" borderId="0" xfId="14" applyFont="1" applyAlignment="1">
      <alignment horizontal="left"/>
    </xf>
    <xf numFmtId="0" fontId="170" fillId="0" borderId="0" xfId="12" applyFont="1" applyAlignment="1" applyProtection="1">
      <alignment horizontal="left" vertical="center"/>
      <protection locked="0"/>
    </xf>
    <xf numFmtId="0" fontId="91" fillId="0" borderId="0" xfId="12" applyFont="1" applyAlignment="1">
      <alignment vertical="center"/>
    </xf>
    <xf numFmtId="0" fontId="157" fillId="0" borderId="0" xfId="12" applyFont="1" applyAlignment="1" applyProtection="1">
      <alignment horizontal="right" vertical="center"/>
    </xf>
    <xf numFmtId="0" fontId="171" fillId="0" borderId="0" xfId="14" applyFont="1" applyAlignment="1">
      <alignment horizontal="left" vertical="center"/>
    </xf>
    <xf numFmtId="0" fontId="58" fillId="0" borderId="83" xfId="12" applyFont="1" applyBorder="1" applyAlignment="1">
      <alignment horizontal="center" textRotation="90" wrapText="1"/>
    </xf>
    <xf numFmtId="0" fontId="58" fillId="0" borderId="84" xfId="12" applyFont="1" applyBorder="1" applyAlignment="1">
      <alignment horizontal="center" textRotation="90" wrapText="1"/>
    </xf>
    <xf numFmtId="0" fontId="44" fillId="0" borderId="0" xfId="12" applyFont="1" applyBorder="1" applyAlignment="1">
      <alignment horizontal="left"/>
    </xf>
    <xf numFmtId="0" fontId="58" fillId="46" borderId="83" xfId="12" applyFont="1" applyFill="1" applyBorder="1" applyAlignment="1" applyProtection="1">
      <alignment horizontal="center" textRotation="90" wrapText="1"/>
    </xf>
    <xf numFmtId="0" fontId="58" fillId="49" borderId="85" xfId="12" applyFont="1" applyFill="1" applyBorder="1" applyAlignment="1">
      <alignment horizontal="center" textRotation="90" wrapText="1"/>
    </xf>
    <xf numFmtId="0" fontId="58" fillId="0" borderId="85" xfId="12" applyFont="1" applyFill="1" applyBorder="1" applyAlignment="1">
      <alignment horizontal="center" textRotation="90" wrapText="1"/>
    </xf>
    <xf numFmtId="0" fontId="58" fillId="0" borderId="85" xfId="13" applyFont="1" applyBorder="1" applyAlignment="1" applyProtection="1">
      <alignment horizontal="center" textRotation="90" wrapText="1"/>
    </xf>
    <xf numFmtId="0" fontId="58" fillId="0" borderId="85" xfId="12" applyFont="1" applyBorder="1" applyAlignment="1">
      <alignment horizontal="center" textRotation="90" wrapText="1"/>
    </xf>
    <xf numFmtId="0" fontId="150" fillId="45" borderId="85" xfId="12" applyFont="1" applyFill="1" applyBorder="1" applyAlignment="1" applyProtection="1">
      <alignment horizontal="center" textRotation="90" wrapText="1"/>
    </xf>
    <xf numFmtId="0" fontId="44" fillId="0" borderId="85" xfId="12" applyFont="1" applyBorder="1" applyAlignment="1" applyProtection="1">
      <alignment horizontal="center" textRotation="90" wrapText="1"/>
    </xf>
    <xf numFmtId="0" fontId="46" fillId="41" borderId="38" xfId="12" applyFont="1" applyFill="1" applyBorder="1" applyAlignment="1">
      <alignment horizontal="left" vertical="center" wrapText="1"/>
    </xf>
    <xf numFmtId="0" fontId="46" fillId="41" borderId="3" xfId="12" applyFont="1" applyFill="1" applyBorder="1" applyAlignment="1">
      <alignment horizontal="left" vertical="center" wrapText="1"/>
    </xf>
    <xf numFmtId="0" fontId="46" fillId="41" borderId="86" xfId="12" applyFont="1" applyFill="1" applyBorder="1" applyAlignment="1">
      <alignment horizontal="center" vertical="center" wrapText="1"/>
    </xf>
    <xf numFmtId="0" fontId="46" fillId="41" borderId="82" xfId="12" applyFont="1" applyFill="1" applyBorder="1" applyAlignment="1">
      <alignment horizontal="center" vertical="center" wrapText="1"/>
    </xf>
    <xf numFmtId="0" fontId="46" fillId="0" borderId="8" xfId="12" applyFont="1" applyBorder="1" applyAlignment="1">
      <alignment horizontal="left"/>
    </xf>
    <xf numFmtId="0" fontId="46" fillId="41" borderId="81" xfId="12" applyFont="1" applyFill="1" applyBorder="1" applyAlignment="1" applyProtection="1">
      <alignment horizontal="center" vertical="center" wrapText="1"/>
    </xf>
    <xf numFmtId="0" fontId="46" fillId="41" borderId="86" xfId="13" applyFont="1" applyFill="1" applyBorder="1" applyAlignment="1">
      <alignment horizontal="center" vertical="center" wrapText="1"/>
    </xf>
    <xf numFmtId="0" fontId="149" fillId="41" borderId="86" xfId="12" applyFont="1" applyFill="1" applyBorder="1" applyAlignment="1" applyProtection="1">
      <alignment horizontal="center" vertical="center" wrapText="1"/>
    </xf>
    <xf numFmtId="0" fontId="46" fillId="41" borderId="86" xfId="12" applyFont="1" applyFill="1" applyBorder="1" applyAlignment="1" applyProtection="1">
      <alignment horizontal="center" vertical="center" wrapText="1"/>
    </xf>
    <xf numFmtId="0" fontId="46" fillId="41" borderId="82" xfId="12" applyFont="1" applyFill="1" applyBorder="1" applyAlignment="1" applyProtection="1">
      <alignment horizontal="center" vertical="center" wrapText="1"/>
    </xf>
    <xf numFmtId="0" fontId="59" fillId="0" borderId="0" xfId="12" applyFont="1" applyAlignment="1">
      <alignment vertical="center"/>
    </xf>
    <xf numFmtId="0" fontId="44" fillId="0" borderId="87" xfId="12" applyFont="1" applyBorder="1" applyAlignment="1" applyProtection="1">
      <alignment vertical="center"/>
    </xf>
    <xf numFmtId="0" fontId="58" fillId="46" borderId="60" xfId="12" applyFont="1" applyFill="1" applyBorder="1" applyAlignment="1" applyProtection="1">
      <alignment horizontal="center" vertical="center"/>
    </xf>
    <xf numFmtId="0" fontId="44" fillId="49" borderId="63" xfId="12" applyFont="1" applyFill="1" applyBorder="1" applyAlignment="1" applyProtection="1">
      <alignment horizontal="center" vertical="center"/>
    </xf>
    <xf numFmtId="0" fontId="44" fillId="45" borderId="63" xfId="7" applyFont="1" applyFill="1" applyBorder="1" applyAlignment="1" applyProtection="1">
      <alignment horizontal="center" vertical="center"/>
    </xf>
    <xf numFmtId="0" fontId="54" fillId="0" borderId="30" xfId="12" applyFont="1" applyBorder="1" applyAlignment="1" applyProtection="1">
      <alignment horizontal="left" vertical="center"/>
    </xf>
    <xf numFmtId="0" fontId="54" fillId="0" borderId="2" xfId="12" applyFont="1" applyBorder="1" applyAlignment="1" applyProtection="1">
      <alignment horizontal="left" vertical="center"/>
    </xf>
    <xf numFmtId="0" fontId="44" fillId="0" borderId="2" xfId="13" applyFont="1" applyBorder="1" applyAlignment="1" applyProtection="1">
      <alignment horizontal="center" vertical="center"/>
    </xf>
    <xf numFmtId="0" fontId="58" fillId="0" borderId="53" xfId="13" applyFont="1" applyBorder="1" applyAlignment="1" applyProtection="1">
      <alignment horizontal="center" vertical="center"/>
    </xf>
    <xf numFmtId="0" fontId="164" fillId="0" borderId="8" xfId="12" applyFont="1" applyBorder="1" applyAlignment="1" applyProtection="1">
      <alignment horizontal="center" vertical="center" textRotation="90"/>
    </xf>
    <xf numFmtId="0" fontId="58" fillId="46" borderId="30" xfId="12" applyFont="1" applyFill="1" applyBorder="1" applyAlignment="1" applyProtection="1">
      <alignment horizontal="center" vertical="center"/>
    </xf>
    <xf numFmtId="0" fontId="44" fillId="49" borderId="2" xfId="12" applyFont="1" applyFill="1" applyBorder="1" applyAlignment="1" applyProtection="1">
      <alignment horizontal="center" vertical="center"/>
    </xf>
    <xf numFmtId="0" fontId="44" fillId="0" borderId="2" xfId="12" applyFont="1" applyBorder="1" applyAlignment="1" applyProtection="1">
      <alignment horizontal="center" vertical="center"/>
    </xf>
    <xf numFmtId="0" fontId="44" fillId="45" borderId="2" xfId="7" applyFont="1" applyFill="1" applyBorder="1" applyAlignment="1" applyProtection="1">
      <alignment horizontal="center" vertical="center"/>
    </xf>
    <xf numFmtId="0" fontId="44" fillId="0" borderId="53" xfId="12" applyFont="1" applyBorder="1" applyAlignment="1" applyProtection="1">
      <alignment horizontal="center" vertical="center"/>
    </xf>
    <xf numFmtId="0" fontId="54" fillId="0" borderId="71" xfId="12" applyFont="1" applyBorder="1" applyAlignment="1" applyProtection="1">
      <alignment horizontal="left" vertical="center"/>
    </xf>
    <xf numFmtId="0" fontId="54" fillId="0" borderId="72" xfId="12" applyFont="1" applyBorder="1" applyAlignment="1" applyProtection="1">
      <alignment horizontal="left" vertical="center"/>
    </xf>
    <xf numFmtId="0" fontId="44" fillId="0" borderId="72" xfId="13" applyFont="1" applyBorder="1" applyAlignment="1" applyProtection="1">
      <alignment horizontal="center" vertical="center"/>
    </xf>
    <xf numFmtId="0" fontId="58" fillId="0" borderId="73" xfId="13" applyFont="1" applyBorder="1" applyAlignment="1" applyProtection="1">
      <alignment horizontal="center" vertical="center"/>
    </xf>
    <xf numFmtId="0" fontId="58" fillId="46" borderId="71" xfId="12" applyFont="1" applyFill="1" applyBorder="1" applyAlignment="1" applyProtection="1">
      <alignment horizontal="center" vertical="center"/>
    </xf>
    <xf numFmtId="0" fontId="44" fillId="49" borderId="72" xfId="12" applyFont="1" applyFill="1" applyBorder="1" applyAlignment="1" applyProtection="1">
      <alignment horizontal="center" vertical="center"/>
    </xf>
    <xf numFmtId="0" fontId="44" fillId="0" borderId="72" xfId="12" applyFont="1" applyBorder="1" applyAlignment="1" applyProtection="1">
      <alignment horizontal="center" vertical="center"/>
    </xf>
    <xf numFmtId="0" fontId="44" fillId="45" borderId="72" xfId="7" applyFont="1" applyFill="1" applyBorder="1" applyAlignment="1" applyProtection="1">
      <alignment horizontal="center" vertical="center"/>
    </xf>
    <xf numFmtId="0" fontId="44" fillId="0" borderId="73" xfId="12" applyFont="1" applyBorder="1" applyAlignment="1" applyProtection="1">
      <alignment horizontal="center" vertical="center"/>
    </xf>
    <xf numFmtId="0" fontId="58" fillId="46" borderId="88" xfId="12" applyFont="1" applyFill="1" applyBorder="1" applyAlignment="1" applyProtection="1">
      <alignment horizontal="center" vertical="center"/>
    </xf>
    <xf numFmtId="0" fontId="44" fillId="49" borderId="89" xfId="12" applyFont="1" applyFill="1" applyBorder="1" applyAlignment="1" applyProtection="1">
      <alignment horizontal="center" vertical="center"/>
      <protection locked="0"/>
    </xf>
    <xf numFmtId="0" fontId="44" fillId="0" borderId="89" xfId="12" applyFont="1" applyBorder="1" applyAlignment="1" applyProtection="1">
      <alignment horizontal="center" vertical="center"/>
      <protection locked="0"/>
    </xf>
    <xf numFmtId="0" fontId="58" fillId="48" borderId="89" xfId="12" applyFont="1" applyFill="1" applyBorder="1" applyAlignment="1">
      <alignment horizontal="center" vertical="center"/>
    </xf>
    <xf numFmtId="0" fontId="58" fillId="45" borderId="89" xfId="12" applyFont="1" applyFill="1" applyBorder="1" applyAlignment="1">
      <alignment horizontal="center" vertical="center"/>
    </xf>
    <xf numFmtId="0" fontId="58" fillId="48" borderId="90" xfId="12" applyFont="1" applyFill="1" applyBorder="1" applyAlignment="1">
      <alignment horizontal="center" vertical="center"/>
    </xf>
    <xf numFmtId="3" fontId="44" fillId="0" borderId="1" xfId="13" applyNumberFormat="1" applyFont="1" applyBorder="1" applyAlignment="1">
      <alignment horizontal="center" vertical="center"/>
    </xf>
    <xf numFmtId="0" fontId="44" fillId="0" borderId="83" xfId="13" applyFont="1" applyBorder="1" applyAlignment="1">
      <alignment horizontal="center" vertical="center"/>
    </xf>
    <xf numFmtId="0" fontId="44" fillId="0" borderId="84" xfId="13" applyFont="1" applyBorder="1" applyAlignment="1">
      <alignment horizontal="center" vertical="center"/>
    </xf>
    <xf numFmtId="0" fontId="44" fillId="48" borderId="1" xfId="13" applyFont="1" applyFill="1" applyBorder="1" applyAlignment="1">
      <alignment horizontal="center" vertical="center"/>
    </xf>
    <xf numFmtId="0" fontId="60" fillId="0" borderId="0" xfId="12" applyFont="1" applyAlignment="1">
      <alignment vertical="center"/>
    </xf>
    <xf numFmtId="0" fontId="57" fillId="47" borderId="60" xfId="12" applyFont="1" applyFill="1" applyBorder="1" applyAlignment="1" applyProtection="1">
      <alignment horizontal="left" vertical="center"/>
    </xf>
    <xf numFmtId="0" fontId="57" fillId="47" borderId="63" xfId="12" applyFont="1" applyFill="1" applyBorder="1" applyAlignment="1" applyProtection="1">
      <alignment horizontal="left" vertical="center"/>
    </xf>
    <xf numFmtId="0" fontId="58" fillId="47" borderId="63" xfId="13" applyFont="1" applyFill="1" applyBorder="1" applyAlignment="1" applyProtection="1">
      <alignment horizontal="center" vertical="center"/>
    </xf>
    <xf numFmtId="0" fontId="54" fillId="47" borderId="61" xfId="12" applyFont="1" applyFill="1" applyBorder="1" applyAlignment="1" applyProtection="1">
      <alignment horizontal="center" vertical="center"/>
    </xf>
    <xf numFmtId="0" fontId="44" fillId="47" borderId="63" xfId="12" applyFont="1" applyFill="1" applyBorder="1" applyAlignment="1" applyProtection="1">
      <alignment horizontal="center" vertical="center"/>
    </xf>
    <xf numFmtId="0" fontId="44" fillId="47" borderId="61" xfId="12" applyFont="1" applyFill="1" applyBorder="1" applyAlignment="1" applyProtection="1">
      <alignment horizontal="center" vertical="center"/>
    </xf>
    <xf numFmtId="0" fontId="91" fillId="0" borderId="0" xfId="12" applyFont="1" applyBorder="1" applyAlignment="1" applyProtection="1">
      <alignment horizontal="left" vertical="center"/>
    </xf>
    <xf numFmtId="0" fontId="57" fillId="0" borderId="0" xfId="12" applyFont="1" applyBorder="1" applyAlignment="1">
      <alignment horizontal="left" vertical="center"/>
    </xf>
    <xf numFmtId="0" fontId="43" fillId="0" borderId="0" xfId="12" applyFont="1" applyBorder="1" applyAlignment="1">
      <alignment vertical="center"/>
    </xf>
    <xf numFmtId="0" fontId="44" fillId="0" borderId="0" xfId="12" applyFont="1" applyBorder="1" applyAlignment="1">
      <alignment vertical="center"/>
    </xf>
    <xf numFmtId="0" fontId="172" fillId="0" borderId="0" xfId="12" applyFont="1" applyBorder="1" applyAlignment="1">
      <alignment horizontal="center"/>
    </xf>
    <xf numFmtId="0" fontId="157" fillId="0" borderId="0" xfId="12" applyFont="1" applyAlignment="1">
      <alignment horizontal="right" vertical="center"/>
    </xf>
    <xf numFmtId="0" fontId="173" fillId="0" borderId="0" xfId="12" applyFont="1" applyAlignment="1">
      <alignment horizontal="center" vertical="center" textRotation="90"/>
    </xf>
    <xf numFmtId="0" fontId="91" fillId="0" borderId="0" xfId="12" applyFont="1"/>
    <xf numFmtId="0" fontId="44" fillId="0" borderId="0" xfId="13" applyFont="1" applyFill="1" applyBorder="1" applyAlignment="1">
      <alignment vertical="center"/>
    </xf>
    <xf numFmtId="0" fontId="177" fillId="0" borderId="0" xfId="13" applyFont="1" applyFill="1" applyBorder="1" applyAlignment="1">
      <alignment horizontal="right" vertical="center"/>
    </xf>
    <xf numFmtId="0" fontId="178" fillId="0" borderId="0" xfId="13" applyFont="1" applyAlignment="1">
      <alignment vertical="center" textRotation="90"/>
    </xf>
    <xf numFmtId="0" fontId="44" fillId="0" borderId="0" xfId="13" applyFont="1" applyAlignment="1">
      <alignment vertical="center"/>
    </xf>
    <xf numFmtId="0" fontId="121" fillId="0" borderId="91" xfId="12" applyFont="1" applyBorder="1" applyAlignment="1">
      <alignment horizontal="right" vertical="center" wrapText="1" indent="3"/>
    </xf>
    <xf numFmtId="0" fontId="121" fillId="0" borderId="37" xfId="12" applyFont="1" applyBorder="1" applyAlignment="1">
      <alignment horizontal="center" wrapText="1"/>
    </xf>
    <xf numFmtId="0" fontId="44" fillId="0" borderId="92" xfId="12" applyFont="1" applyBorder="1" applyAlignment="1">
      <alignment horizontal="left"/>
    </xf>
    <xf numFmtId="0" fontId="58" fillId="0" borderId="42" xfId="12" applyFont="1" applyBorder="1" applyAlignment="1">
      <alignment horizontal="center" textRotation="90" wrapText="1"/>
    </xf>
    <xf numFmtId="0" fontId="58" fillId="0" borderId="42" xfId="13" applyFont="1" applyBorder="1" applyAlignment="1">
      <alignment horizontal="center" textRotation="90" wrapText="1"/>
    </xf>
    <xf numFmtId="0" fontId="44" fillId="0" borderId="93" xfId="12" applyFont="1" applyBorder="1" applyAlignment="1">
      <alignment horizontal="center" vertical="center" wrapText="1"/>
    </xf>
    <xf numFmtId="0" fontId="58" fillId="0" borderId="42" xfId="12" applyFont="1" applyBorder="1" applyAlignment="1">
      <alignment horizontal="center" vertical="center" wrapText="1"/>
    </xf>
    <xf numFmtId="0" fontId="56" fillId="0" borderId="94" xfId="12" applyFont="1" applyBorder="1" applyAlignment="1">
      <alignment vertical="center"/>
    </xf>
    <xf numFmtId="0" fontId="56" fillId="0" borderId="95" xfId="12" applyFont="1" applyBorder="1" applyAlignment="1">
      <alignment vertical="center"/>
    </xf>
    <xf numFmtId="0" fontId="56" fillId="0" borderId="96" xfId="12" applyFont="1" applyBorder="1" applyAlignment="1">
      <alignment vertical="center"/>
    </xf>
    <xf numFmtId="0" fontId="56" fillId="0" borderId="79" xfId="12" applyFont="1" applyBorder="1" applyAlignment="1">
      <alignment vertical="center"/>
    </xf>
    <xf numFmtId="0" fontId="56" fillId="0" borderId="97" xfId="12" applyFont="1" applyBorder="1" applyAlignment="1">
      <alignment vertical="center"/>
    </xf>
    <xf numFmtId="0" fontId="60" fillId="0" borderId="0" xfId="12" applyFont="1" applyAlignment="1">
      <alignment horizontal="center" vertical="center" textRotation="90"/>
    </xf>
    <xf numFmtId="0" fontId="56" fillId="0" borderId="0" xfId="12" applyFont="1" applyAlignment="1">
      <alignment vertical="center"/>
    </xf>
    <xf numFmtId="0" fontId="58" fillId="0" borderId="101" xfId="12" applyFont="1" applyBorder="1" applyAlignment="1" applyProtection="1">
      <alignment horizontal="center" vertical="center"/>
      <protection locked="0"/>
    </xf>
    <xf numFmtId="0" fontId="44" fillId="0" borderId="101" xfId="12" applyFont="1" applyBorder="1" applyAlignment="1" applyProtection="1">
      <alignment horizontal="center" vertical="center"/>
      <protection locked="0"/>
    </xf>
    <xf numFmtId="0" fontId="44" fillId="0" borderId="102" xfId="12" applyFont="1" applyBorder="1" applyAlignment="1" applyProtection="1">
      <alignment horizontal="center" vertical="center"/>
      <protection locked="0"/>
    </xf>
    <xf numFmtId="0" fontId="59" fillId="0" borderId="100" xfId="12" applyFont="1" applyBorder="1" applyAlignment="1" applyProtection="1">
      <alignment horizontal="left" vertical="center" indent="1"/>
      <protection locked="0"/>
    </xf>
    <xf numFmtId="0" fontId="182" fillId="0" borderId="0" xfId="12" applyFont="1" applyAlignment="1">
      <alignment horizontal="center" vertical="center" textRotation="90"/>
    </xf>
    <xf numFmtId="0" fontId="58" fillId="0" borderId="106" xfId="12" applyFont="1" applyBorder="1" applyAlignment="1" applyProtection="1">
      <alignment horizontal="center" vertical="center"/>
      <protection locked="0"/>
    </xf>
    <xf numFmtId="0" fontId="44" fillId="0" borderId="106" xfId="12" applyFont="1" applyBorder="1" applyAlignment="1" applyProtection="1">
      <alignment horizontal="center" vertical="center"/>
      <protection locked="0"/>
    </xf>
    <xf numFmtId="0" fontId="44" fillId="0" borderId="107" xfId="12" applyFont="1" applyBorder="1" applyAlignment="1" applyProtection="1">
      <alignment horizontal="center" vertical="center"/>
      <protection locked="0"/>
    </xf>
    <xf numFmtId="0" fontId="59" fillId="0" borderId="105" xfId="12" applyFont="1" applyBorder="1" applyAlignment="1" applyProtection="1">
      <alignment horizontal="left" vertical="center" indent="1"/>
      <protection locked="0"/>
    </xf>
    <xf numFmtId="0" fontId="44" fillId="0" borderId="0" xfId="12" applyFont="1" applyAlignment="1">
      <alignment horizontal="left" vertical="center" indent="1"/>
    </xf>
    <xf numFmtId="0" fontId="44" fillId="0" borderId="0" xfId="12" applyFont="1" applyAlignment="1">
      <alignment horizontal="left"/>
    </xf>
    <xf numFmtId="0" fontId="44" fillId="0" borderId="0" xfId="12" applyFont="1" applyAlignment="1">
      <alignment horizontal="centerContinuous" vertical="center"/>
    </xf>
    <xf numFmtId="0" fontId="183" fillId="50" borderId="0" xfId="13" applyFont="1" applyFill="1" applyAlignment="1">
      <alignment horizontal="left" vertical="center"/>
    </xf>
    <xf numFmtId="0" fontId="184" fillId="50" borderId="0" xfId="13" applyFont="1" applyFill="1" applyAlignment="1"/>
    <xf numFmtId="0" fontId="43" fillId="50" borderId="0" xfId="13" applyFont="1" applyFill="1" applyAlignment="1">
      <alignment horizontal="center" vertical="center"/>
    </xf>
    <xf numFmtId="0" fontId="43" fillId="0" borderId="0" xfId="13" applyFont="1" applyAlignment="1">
      <alignment horizontal="center" vertical="center"/>
    </xf>
    <xf numFmtId="0" fontId="185" fillId="51" borderId="0" xfId="13" applyFont="1" applyFill="1" applyAlignment="1">
      <alignment vertical="center"/>
    </xf>
    <xf numFmtId="0" fontId="44" fillId="0" borderId="0" xfId="13" applyFont="1" applyAlignment="1">
      <alignment vertical="center" textRotation="90"/>
    </xf>
    <xf numFmtId="0" fontId="186" fillId="0" borderId="0" xfId="13" applyFont="1" applyFill="1" applyAlignment="1">
      <alignment horizontal="left" vertical="center"/>
    </xf>
    <xf numFmtId="0" fontId="184" fillId="0" borderId="0" xfId="13" applyFont="1" applyFill="1" applyAlignment="1"/>
    <xf numFmtId="0" fontId="43" fillId="0" borderId="0" xfId="13" applyFont="1" applyFill="1" applyAlignment="1">
      <alignment horizontal="center" vertical="center"/>
    </xf>
    <xf numFmtId="0" fontId="186" fillId="0" borderId="108" xfId="13" applyFont="1" applyBorder="1" applyAlignment="1" applyProtection="1">
      <alignment horizontal="center" vertical="center"/>
      <protection locked="0"/>
    </xf>
    <xf numFmtId="0" fontId="77" fillId="0" borderId="0" xfId="13" applyFont="1"/>
    <xf numFmtId="0" fontId="64" fillId="0" borderId="0" xfId="13" applyFont="1"/>
    <xf numFmtId="0" fontId="53" fillId="0" borderId="0" xfId="13" applyFont="1"/>
    <xf numFmtId="0" fontId="44" fillId="0" borderId="0" xfId="13" applyFont="1"/>
    <xf numFmtId="0" fontId="121" fillId="0" borderId="0" xfId="13" applyFont="1"/>
    <xf numFmtId="0" fontId="54" fillId="0" borderId="0" xfId="13" applyFont="1" applyAlignment="1" applyProtection="1">
      <alignment horizontal="left"/>
      <protection locked="0"/>
    </xf>
    <xf numFmtId="0" fontId="54" fillId="0" borderId="0" xfId="13" applyFont="1" applyAlignment="1">
      <alignment horizontal="left"/>
    </xf>
    <xf numFmtId="0" fontId="44" fillId="0" borderId="0" xfId="13" applyFont="1" applyAlignment="1">
      <alignment horizontal="left" vertical="top"/>
    </xf>
    <xf numFmtId="0" fontId="81" fillId="0" borderId="0" xfId="13" applyFont="1" applyAlignment="1">
      <alignment horizontal="left" vertical="top"/>
    </xf>
    <xf numFmtId="0" fontId="81" fillId="0" borderId="0" xfId="13" applyFont="1" applyBorder="1" applyAlignment="1">
      <alignment horizontal="left" vertical="top"/>
    </xf>
    <xf numFmtId="0" fontId="44" fillId="0" borderId="0" xfId="13" applyFont="1" applyBorder="1" applyAlignment="1">
      <alignment horizontal="left" vertical="top"/>
    </xf>
    <xf numFmtId="0" fontId="188" fillId="0" borderId="0" xfId="13" applyFont="1" applyAlignment="1">
      <alignment vertical="top" textRotation="90"/>
    </xf>
    <xf numFmtId="0" fontId="44" fillId="0" borderId="0" xfId="13" applyFont="1" applyAlignment="1">
      <alignment vertical="top"/>
    </xf>
    <xf numFmtId="0" fontId="44" fillId="50" borderId="110" xfId="13" applyFont="1" applyFill="1" applyBorder="1" applyAlignment="1">
      <alignment vertical="center"/>
    </xf>
    <xf numFmtId="0" fontId="53" fillId="50" borderId="111" xfId="13" applyFont="1" applyFill="1" applyBorder="1" applyAlignment="1">
      <alignment horizontal="centerContinuous" vertical="center"/>
    </xf>
    <xf numFmtId="0" fontId="44" fillId="46" borderId="118" xfId="13" applyFont="1" applyFill="1" applyBorder="1" applyAlignment="1" applyProtection="1">
      <alignment horizontal="center" vertical="center"/>
      <protection locked="0"/>
    </xf>
    <xf numFmtId="0" fontId="44" fillId="46" borderId="119" xfId="13" applyFont="1" applyFill="1" applyBorder="1" applyAlignment="1" applyProtection="1">
      <alignment horizontal="center" vertical="center"/>
      <protection locked="0"/>
    </xf>
    <xf numFmtId="0" fontId="44" fillId="52" borderId="118" xfId="13" applyFont="1" applyFill="1" applyBorder="1" applyAlignment="1" applyProtection="1">
      <alignment horizontal="center" vertical="center"/>
      <protection locked="0"/>
    </xf>
    <xf numFmtId="0" fontId="44" fillId="52" borderId="119" xfId="13" applyFont="1" applyFill="1" applyBorder="1" applyAlignment="1" applyProtection="1">
      <alignment horizontal="center" vertical="center"/>
      <protection locked="0"/>
    </xf>
    <xf numFmtId="0" fontId="54" fillId="0" borderId="0" xfId="13" applyFont="1" applyAlignment="1">
      <alignment vertical="center"/>
    </xf>
    <xf numFmtId="0" fontId="44" fillId="46" borderId="121" xfId="13" applyFont="1" applyFill="1" applyBorder="1" applyAlignment="1" applyProtection="1">
      <alignment horizontal="center" vertical="center"/>
      <protection locked="0"/>
    </xf>
    <xf numFmtId="0" fontId="44" fillId="46" borderId="122" xfId="13" applyFont="1" applyFill="1" applyBorder="1" applyAlignment="1" applyProtection="1">
      <alignment horizontal="center" vertical="center"/>
      <protection locked="0"/>
    </xf>
    <xf numFmtId="0" fontId="44" fillId="52" borderId="121" xfId="13" applyFont="1" applyFill="1" applyBorder="1" applyAlignment="1" applyProtection="1">
      <alignment horizontal="center" vertical="center"/>
      <protection locked="0"/>
    </xf>
    <xf numFmtId="0" fontId="44" fillId="52" borderId="122" xfId="13" applyFont="1" applyFill="1" applyBorder="1" applyAlignment="1" applyProtection="1">
      <alignment horizontal="center" vertical="center"/>
      <protection locked="0"/>
    </xf>
    <xf numFmtId="0" fontId="44" fillId="46" borderId="125" xfId="13" applyFont="1" applyFill="1" applyBorder="1" applyAlignment="1" applyProtection="1">
      <alignment horizontal="center" vertical="center"/>
      <protection locked="0"/>
    </xf>
    <xf numFmtId="0" fontId="44" fillId="46" borderId="126" xfId="13" applyFont="1" applyFill="1" applyBorder="1" applyAlignment="1" applyProtection="1">
      <alignment horizontal="center" vertical="center"/>
      <protection locked="0"/>
    </xf>
    <xf numFmtId="0" fontId="44" fillId="52" borderId="125" xfId="13" applyFont="1" applyFill="1" applyBorder="1" applyAlignment="1" applyProtection="1">
      <alignment horizontal="center" vertical="center"/>
      <protection locked="0"/>
    </xf>
    <xf numFmtId="0" fontId="44" fillId="52" borderId="126" xfId="13" applyFont="1" applyFill="1" applyBorder="1" applyAlignment="1" applyProtection="1">
      <alignment horizontal="center" vertical="center"/>
      <protection locked="0"/>
    </xf>
    <xf numFmtId="0" fontId="44" fillId="0" borderId="0" xfId="13" applyFont="1" applyAlignment="1" applyProtection="1">
      <alignment horizontal="left" vertical="center" wrapText="1" indent="1"/>
      <protection locked="0"/>
    </xf>
    <xf numFmtId="0" fontId="188" fillId="0" borderId="0" xfId="13" applyFont="1" applyAlignment="1">
      <alignment vertical="center" textRotation="90"/>
    </xf>
    <xf numFmtId="0" fontId="44" fillId="0" borderId="0" xfId="13" applyFont="1" applyBorder="1" applyAlignment="1">
      <alignment vertical="center"/>
    </xf>
    <xf numFmtId="0" fontId="178" fillId="0" borderId="0" xfId="13" applyFont="1" applyBorder="1" applyAlignment="1">
      <alignment vertical="center" textRotation="90"/>
    </xf>
    <xf numFmtId="0" fontId="44" fillId="0" borderId="0" xfId="10" applyFont="1"/>
    <xf numFmtId="164" fontId="189" fillId="0" borderId="0" xfId="10" applyNumberFormat="1" applyFont="1"/>
    <xf numFmtId="0" fontId="3" fillId="0" borderId="0" xfId="11" applyFont="1"/>
    <xf numFmtId="0" fontId="3" fillId="0" borderId="0" xfId="11" applyFont="1" applyAlignment="1">
      <alignment horizontal="center"/>
    </xf>
    <xf numFmtId="0" fontId="3" fillId="0" borderId="0" xfId="10" applyFont="1"/>
    <xf numFmtId="0" fontId="58" fillId="46" borderId="70" xfId="12" applyFont="1" applyFill="1" applyBorder="1" applyAlignment="1" applyProtection="1">
      <alignment horizontal="center" vertical="center"/>
    </xf>
    <xf numFmtId="0" fontId="58" fillId="46" borderId="54" xfId="12" applyFont="1" applyFill="1" applyBorder="1" applyAlignment="1" applyProtection="1">
      <alignment horizontal="center" vertical="center"/>
    </xf>
    <xf numFmtId="0" fontId="2" fillId="0" borderId="60" xfId="0" applyFont="1" applyBorder="1"/>
    <xf numFmtId="0" fontId="2" fillId="3" borderId="61"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xf numFmtId="0" fontId="2" fillId="0" borderId="61" xfId="0" applyFont="1" applyFill="1" applyBorder="1" applyAlignment="1" applyProtection="1">
      <alignment horizontal="center"/>
      <protection locked="0"/>
    </xf>
    <xf numFmtId="0" fontId="2" fillId="0" borderId="30" xfId="0" applyFont="1" applyBorder="1"/>
    <xf numFmtId="0" fontId="2" fillId="3" borderId="53" xfId="0" applyFont="1" applyFill="1" applyBorder="1" applyAlignment="1" applyProtection="1">
      <alignment horizontal="center"/>
      <protection locked="0"/>
    </xf>
    <xf numFmtId="0" fontId="2" fillId="0" borderId="30" xfId="0" applyFont="1" applyBorder="1" applyProtection="1">
      <protection locked="0"/>
    </xf>
    <xf numFmtId="0" fontId="2" fillId="0" borderId="33" xfId="0" applyFont="1" applyBorder="1"/>
    <xf numFmtId="0" fontId="2" fillId="3" borderId="56" xfId="0" applyFont="1" applyFill="1" applyBorder="1" applyAlignment="1" applyProtection="1">
      <alignment horizontal="center"/>
      <protection locked="0"/>
    </xf>
    <xf numFmtId="0" fontId="2" fillId="0" borderId="33" xfId="0" applyFont="1" applyBorder="1" applyProtection="1">
      <protection locked="0"/>
    </xf>
    <xf numFmtId="0" fontId="58" fillId="52" borderId="119" xfId="13" applyFont="1" applyFill="1" applyBorder="1" applyAlignment="1" applyProtection="1">
      <alignment horizontal="center" vertical="center"/>
    </xf>
    <xf numFmtId="0" fontId="58" fillId="52" borderId="122" xfId="13" applyFont="1" applyFill="1" applyBorder="1" applyAlignment="1" applyProtection="1">
      <alignment horizontal="center" vertical="center"/>
    </xf>
    <xf numFmtId="0" fontId="58" fillId="52" borderId="126" xfId="13" applyFont="1" applyFill="1" applyBorder="1" applyAlignment="1" applyProtection="1">
      <alignment horizontal="center" vertical="center"/>
    </xf>
    <xf numFmtId="0" fontId="190" fillId="0" borderId="127" xfId="12" applyFont="1" applyBorder="1" applyAlignment="1">
      <alignment vertical="center"/>
    </xf>
    <xf numFmtId="0" fontId="190" fillId="0" borderId="128" xfId="12" applyFont="1" applyBorder="1" applyAlignment="1">
      <alignment vertical="center"/>
    </xf>
    <xf numFmtId="0" fontId="44" fillId="0" borderId="128" xfId="12" applyFont="1" applyBorder="1" applyAlignment="1">
      <alignment vertical="center"/>
    </xf>
    <xf numFmtId="0" fontId="58" fillId="0" borderId="129" xfId="12" applyFont="1" applyBorder="1" applyAlignment="1">
      <alignment horizontal="center" vertical="center"/>
    </xf>
    <xf numFmtId="0" fontId="58" fillId="46" borderId="74" xfId="12" applyFont="1" applyFill="1" applyBorder="1" applyAlignment="1" applyProtection="1">
      <alignment horizontal="center" vertical="center"/>
    </xf>
    <xf numFmtId="0" fontId="1" fillId="0" borderId="0" xfId="0" applyFont="1"/>
    <xf numFmtId="0" fontId="58" fillId="0" borderId="83" xfId="12" applyFont="1" applyBorder="1" applyAlignment="1" applyProtection="1">
      <alignment horizontal="center" textRotation="90" wrapText="1"/>
    </xf>
    <xf numFmtId="0" fontId="44" fillId="0" borderId="7" xfId="12" applyFont="1" applyBorder="1" applyAlignment="1">
      <alignment vertical="center"/>
    </xf>
    <xf numFmtId="0" fontId="44" fillId="0" borderId="7" xfId="12" applyFont="1" applyBorder="1" applyAlignment="1">
      <alignment horizontal="center" vertical="center"/>
    </xf>
    <xf numFmtId="0" fontId="44" fillId="0" borderId="7" xfId="12" applyFont="1" applyBorder="1" applyAlignment="1">
      <alignment horizontal="left" vertical="center"/>
    </xf>
    <xf numFmtId="0" fontId="44" fillId="0" borderId="7" xfId="12" applyFont="1" applyBorder="1" applyAlignment="1" applyProtection="1">
      <alignment vertical="center"/>
    </xf>
    <xf numFmtId="0" fontId="44" fillId="0" borderId="7" xfId="12" applyFont="1" applyBorder="1" applyAlignment="1" applyProtection="1">
      <alignment horizontal="center" vertical="center"/>
    </xf>
    <xf numFmtId="0" fontId="58" fillId="0" borderId="0" xfId="12" applyFont="1" applyBorder="1" applyAlignment="1">
      <alignment horizontal="right" vertical="center"/>
    </xf>
    <xf numFmtId="0" fontId="44" fillId="0" borderId="0" xfId="12" applyFont="1" applyAlignment="1">
      <alignment horizontal="right" vertical="center"/>
    </xf>
    <xf numFmtId="0" fontId="58" fillId="48" borderId="1" xfId="13" applyFont="1" applyFill="1" applyBorder="1" applyAlignment="1">
      <alignment horizontal="center" vertical="center"/>
    </xf>
    <xf numFmtId="0" fontId="44" fillId="0" borderId="4" xfId="12" applyFont="1" applyBorder="1" applyAlignment="1">
      <alignment vertical="center"/>
    </xf>
    <xf numFmtId="0" fontId="44" fillId="0" borderId="4" xfId="12" applyFont="1" applyBorder="1" applyAlignment="1">
      <alignment horizontal="center" vertical="center"/>
    </xf>
    <xf numFmtId="0" fontId="44" fillId="0" borderId="4" xfId="12" applyFont="1" applyBorder="1" applyAlignment="1">
      <alignment horizontal="left" vertical="center"/>
    </xf>
    <xf numFmtId="0" fontId="44" fillId="0" borderId="4" xfId="12" applyFont="1" applyBorder="1" applyAlignment="1" applyProtection="1">
      <alignment vertical="center"/>
    </xf>
    <xf numFmtId="0" fontId="44" fillId="0" borderId="4" xfId="12" applyFont="1" applyBorder="1" applyAlignment="1" applyProtection="1">
      <alignment horizontal="center" vertical="center"/>
    </xf>
    <xf numFmtId="0" fontId="1" fillId="0" borderId="0" xfId="11" applyFont="1"/>
    <xf numFmtId="0" fontId="27" fillId="22" borderId="0" xfId="0" applyFont="1" applyFill="1" applyAlignment="1" applyProtection="1">
      <alignment horizontal="left" vertical="top" wrapText="1"/>
      <protection locked="0"/>
    </xf>
    <xf numFmtId="0" fontId="103" fillId="0" borderId="0" xfId="0" applyFont="1" applyAlignment="1">
      <alignment horizontal="center" vertical="top" wrapText="1"/>
    </xf>
    <xf numFmtId="0" fontId="11" fillId="0" borderId="0" xfId="0" applyFont="1" applyAlignment="1">
      <alignment horizontal="left" indent="2"/>
    </xf>
    <xf numFmtId="0" fontId="8" fillId="22" borderId="0" xfId="0" applyFont="1" applyFill="1" applyAlignment="1" applyProtection="1">
      <alignment horizontal="left" vertical="top" wrapText="1"/>
      <protection locked="0"/>
    </xf>
    <xf numFmtId="0" fontId="29" fillId="0" borderId="0" xfId="0" applyFont="1" applyBorder="1" applyAlignment="1">
      <alignment horizontal="center" vertical="center"/>
    </xf>
    <xf numFmtId="0" fontId="7" fillId="3" borderId="38" xfId="0" applyFont="1" applyFill="1" applyBorder="1" applyAlignment="1" applyProtection="1">
      <alignment horizontal="left" vertical="center" indent="1"/>
      <protection locked="0"/>
    </xf>
    <xf numFmtId="0" fontId="7" fillId="3" borderId="3" xfId="0" applyFont="1" applyFill="1" applyBorder="1" applyAlignment="1" applyProtection="1">
      <alignment horizontal="left" vertical="center" indent="1"/>
      <protection locked="0"/>
    </xf>
    <xf numFmtId="0" fontId="7" fillId="3" borderId="39" xfId="0" applyFont="1" applyFill="1" applyBorder="1" applyAlignment="1" applyProtection="1">
      <alignment horizontal="left" vertical="center" indent="1"/>
      <protection locked="0"/>
    </xf>
    <xf numFmtId="0" fontId="29" fillId="0" borderId="0" xfId="0" applyFont="1" applyAlignment="1">
      <alignment horizontal="right" vertical="center"/>
    </xf>
    <xf numFmtId="0" fontId="18" fillId="0" borderId="0" xfId="0" applyFont="1" applyAlignment="1" applyProtection="1">
      <alignment horizontal="left" vertical="top" wrapText="1" indent="1"/>
      <protection hidden="1"/>
    </xf>
    <xf numFmtId="0" fontId="36" fillId="7" borderId="0" xfId="0" applyFont="1" applyFill="1" applyAlignment="1">
      <alignment horizontal="left" vertical="center"/>
    </xf>
    <xf numFmtId="0" fontId="15" fillId="0" borderId="0" xfId="0" applyFont="1" applyAlignment="1">
      <alignment horizontal="center" vertical="center" wrapText="1"/>
    </xf>
    <xf numFmtId="0" fontId="15" fillId="0" borderId="4" xfId="0" applyFont="1" applyBorder="1" applyAlignment="1">
      <alignment horizontal="center" vertical="center" wrapText="1"/>
    </xf>
    <xf numFmtId="0" fontId="31" fillId="0" borderId="0" xfId="0" applyFont="1" applyBorder="1" applyAlignment="1">
      <alignment horizontal="right" vertical="top" wrapText="1" indent="2"/>
    </xf>
    <xf numFmtId="0" fontId="31" fillId="0" borderId="7" xfId="0" applyFont="1" applyBorder="1" applyAlignment="1">
      <alignment horizontal="right" vertical="top" wrapText="1" indent="2"/>
    </xf>
    <xf numFmtId="0" fontId="32" fillId="0" borderId="0" xfId="0" applyFont="1" applyAlignment="1">
      <alignment horizontal="left" vertical="top" wrapText="1" indent="2"/>
    </xf>
    <xf numFmtId="0" fontId="77" fillId="0" borderId="0" xfId="0" applyFont="1" applyFill="1" applyBorder="1" applyAlignment="1">
      <alignment horizontal="center"/>
    </xf>
    <xf numFmtId="170" fontId="77" fillId="0" borderId="0" xfId="0" applyNumberFormat="1" applyFont="1" applyBorder="1" applyAlignment="1">
      <alignment horizontal="center" vertical="center"/>
    </xf>
    <xf numFmtId="0" fontId="57" fillId="3" borderId="0" xfId="0" applyFont="1" applyFill="1" applyAlignment="1" applyProtection="1">
      <alignment vertical="center" wrapText="1"/>
      <protection locked="0"/>
    </xf>
    <xf numFmtId="0" fontId="137" fillId="39" borderId="48" xfId="4" applyFont="1" applyFill="1" applyBorder="1" applyAlignment="1" applyProtection="1">
      <alignment horizontal="center" wrapText="1"/>
      <protection hidden="1"/>
    </xf>
    <xf numFmtId="0" fontId="137" fillId="39" borderId="49" xfId="4" applyFont="1" applyFill="1" applyBorder="1" applyAlignment="1" applyProtection="1">
      <alignment horizontal="center" wrapText="1"/>
      <protection hidden="1"/>
    </xf>
    <xf numFmtId="0" fontId="137" fillId="39" borderId="50" xfId="4" applyFont="1" applyFill="1" applyBorder="1" applyAlignment="1" applyProtection="1">
      <alignment horizontal="center" wrapText="1"/>
      <protection hidden="1"/>
    </xf>
    <xf numFmtId="0" fontId="137" fillId="39" borderId="51" xfId="4" applyFont="1" applyFill="1" applyBorder="1" applyAlignment="1" applyProtection="1">
      <alignment horizontal="center" wrapText="1"/>
      <protection hidden="1"/>
    </xf>
    <xf numFmtId="0" fontId="5" fillId="0" borderId="0" xfId="0" applyFont="1" applyAlignment="1">
      <alignment horizontal="center"/>
    </xf>
    <xf numFmtId="0" fontId="5" fillId="4" borderId="0" xfId="0" applyFont="1" applyFill="1" applyAlignment="1">
      <alignment horizontal="center"/>
    </xf>
    <xf numFmtId="0" fontId="46" fillId="32" borderId="35" xfId="0" applyFont="1" applyFill="1" applyBorder="1" applyAlignment="1">
      <alignment horizontal="center" vertical="center" wrapText="1"/>
    </xf>
    <xf numFmtId="0" fontId="46" fillId="32" borderId="31" xfId="0" applyFont="1" applyFill="1" applyBorder="1" applyAlignment="1">
      <alignment horizontal="center" vertical="center" wrapText="1"/>
    </xf>
    <xf numFmtId="0" fontId="46" fillId="32" borderId="36" xfId="0" applyFont="1" applyFill="1" applyBorder="1" applyAlignment="1">
      <alignment horizontal="center" vertical="center" wrapText="1"/>
    </xf>
    <xf numFmtId="0" fontId="77" fillId="0" borderId="0" xfId="0" applyFont="1" applyAlignment="1">
      <alignment horizontal="center"/>
    </xf>
    <xf numFmtId="0" fontId="77" fillId="0" borderId="0" xfId="4" applyFont="1" applyFill="1" applyBorder="1" applyAlignment="1" applyProtection="1">
      <alignment horizontal="center"/>
      <protection hidden="1"/>
    </xf>
    <xf numFmtId="0" fontId="136" fillId="39" borderId="47" xfId="0" applyFont="1" applyFill="1" applyBorder="1" applyAlignment="1">
      <alignment horizontal="center" vertical="center" textRotation="90" wrapText="1"/>
    </xf>
    <xf numFmtId="0" fontId="136" fillId="39" borderId="23" xfId="0" applyFont="1" applyFill="1" applyBorder="1" applyAlignment="1">
      <alignment horizontal="center" vertical="center" textRotation="90"/>
    </xf>
    <xf numFmtId="0" fontId="136" fillId="39" borderId="29" xfId="0" applyFont="1" applyFill="1" applyBorder="1" applyAlignment="1">
      <alignment horizontal="center" vertical="center" textRotation="90"/>
    </xf>
    <xf numFmtId="0" fontId="58" fillId="0" borderId="37" xfId="0" applyFont="1" applyBorder="1" applyAlignment="1">
      <alignment horizontal="center" vertical="top"/>
    </xf>
    <xf numFmtId="0" fontId="65" fillId="0" borderId="19" xfId="2" applyFont="1" applyBorder="1" applyAlignment="1">
      <alignment horizontal="left" vertical="center" indent="1"/>
    </xf>
    <xf numFmtId="0" fontId="65" fillId="0" borderId="18" xfId="2" applyFont="1" applyBorder="1" applyAlignment="1">
      <alignment horizontal="left" vertical="center" indent="1"/>
    </xf>
    <xf numFmtId="0" fontId="65" fillId="0" borderId="22" xfId="2" applyFont="1" applyBorder="1" applyAlignment="1">
      <alignment horizontal="left" vertical="center" indent="1"/>
    </xf>
    <xf numFmtId="0" fontId="65" fillId="0" borderId="23" xfId="2" applyFont="1" applyBorder="1" applyAlignment="1">
      <alignment horizontal="left" vertical="center" indent="1"/>
    </xf>
    <xf numFmtId="0" fontId="143" fillId="0" borderId="0" xfId="0" applyFont="1" applyAlignment="1">
      <alignment horizontal="center" vertical="center" wrapText="1"/>
    </xf>
    <xf numFmtId="0" fontId="143" fillId="0" borderId="23" xfId="0" applyFont="1" applyBorder="1" applyAlignment="1">
      <alignment horizontal="center" vertical="center" wrapText="1"/>
    </xf>
    <xf numFmtId="0" fontId="57" fillId="26" borderId="9" xfId="2" applyFont="1" applyFill="1" applyBorder="1" applyAlignment="1" applyProtection="1">
      <alignment horizontal="center" vertical="center"/>
      <protection locked="0"/>
    </xf>
    <xf numFmtId="0" fontId="57" fillId="26" borderId="10" xfId="2" applyFont="1" applyFill="1" applyBorder="1" applyAlignment="1" applyProtection="1">
      <alignment horizontal="center" vertical="center"/>
      <protection locked="0"/>
    </xf>
    <xf numFmtId="0" fontId="44" fillId="3" borderId="0" xfId="7" applyFont="1" applyFill="1" applyAlignment="1" applyProtection="1">
      <alignment horizontal="left" vertical="top" wrapText="1"/>
      <protection locked="0"/>
    </xf>
    <xf numFmtId="0" fontId="44" fillId="27" borderId="42" xfId="7" applyFont="1" applyFill="1" applyBorder="1" applyAlignment="1">
      <alignment horizontal="center" textRotation="90" wrapText="1"/>
    </xf>
    <xf numFmtId="0" fontId="44" fillId="27" borderId="43" xfId="7" applyFont="1" applyFill="1" applyBorder="1" applyAlignment="1">
      <alignment horizontal="center" textRotation="90"/>
    </xf>
    <xf numFmtId="0" fontId="44" fillId="27" borderId="44" xfId="7" applyFont="1" applyFill="1" applyBorder="1" applyAlignment="1">
      <alignment horizontal="center" textRotation="90"/>
    </xf>
    <xf numFmtId="0" fontId="59" fillId="0" borderId="42" xfId="7" applyFont="1" applyBorder="1" applyAlignment="1">
      <alignment horizontal="right" textRotation="90" wrapText="1"/>
    </xf>
    <xf numFmtId="0" fontId="59" fillId="0" borderId="43" xfId="7" applyFont="1" applyBorder="1" applyAlignment="1">
      <alignment horizontal="right" textRotation="90"/>
    </xf>
    <xf numFmtId="0" fontId="59" fillId="0" borderId="44" xfId="7" applyFont="1" applyBorder="1" applyAlignment="1">
      <alignment horizontal="right" textRotation="90"/>
    </xf>
    <xf numFmtId="0" fontId="44" fillId="0" borderId="0" xfId="7" applyFont="1" applyBorder="1" applyAlignment="1">
      <alignment horizontal="center" vertical="center"/>
    </xf>
    <xf numFmtId="0" fontId="44" fillId="0" borderId="4" xfId="7" applyFont="1" applyBorder="1" applyAlignment="1">
      <alignment horizontal="center" vertical="center"/>
    </xf>
    <xf numFmtId="0" fontId="146" fillId="42" borderId="58" xfId="0" applyFont="1" applyFill="1" applyBorder="1" applyAlignment="1">
      <alignment horizontal="center" vertical="center"/>
    </xf>
    <xf numFmtId="0" fontId="146" fillId="42" borderId="4" xfId="0" applyFont="1" applyFill="1" applyBorder="1" applyAlignment="1">
      <alignment horizontal="center" vertical="center"/>
    </xf>
    <xf numFmtId="0" fontId="148" fillId="42" borderId="0" xfId="3" applyFont="1" applyFill="1" applyAlignment="1" applyProtection="1">
      <alignment horizontal="center" vertical="center"/>
    </xf>
    <xf numFmtId="0" fontId="158" fillId="0" borderId="59" xfId="12" applyFont="1" applyFill="1" applyBorder="1" applyAlignment="1">
      <alignment horizontal="center" vertical="center" wrapText="1"/>
    </xf>
    <xf numFmtId="0" fontId="158" fillId="0" borderId="0" xfId="12" applyFont="1" applyFill="1" applyBorder="1" applyAlignment="1">
      <alignment horizontal="center" vertical="center" wrapText="1"/>
    </xf>
    <xf numFmtId="0" fontId="54" fillId="0" borderId="103" xfId="12" applyFont="1" applyBorder="1" applyAlignment="1" applyProtection="1">
      <alignment horizontal="left" vertical="center" indent="2"/>
      <protection locked="0"/>
    </xf>
    <xf numFmtId="0" fontId="54" fillId="0" borderId="104" xfId="12" applyFont="1" applyBorder="1" applyAlignment="1" applyProtection="1">
      <alignment horizontal="left" vertical="center" indent="2"/>
      <protection locked="0"/>
    </xf>
    <xf numFmtId="0" fontId="54" fillId="0" borderId="105" xfId="12" applyFont="1" applyBorder="1" applyAlignment="1" applyProtection="1">
      <alignment horizontal="left" vertical="center" indent="2"/>
      <protection locked="0"/>
    </xf>
    <xf numFmtId="0" fontId="54" fillId="0" borderId="103" xfId="12" applyFont="1" applyBorder="1" applyAlignment="1" applyProtection="1">
      <alignment horizontal="left" vertical="center" indent="1"/>
      <protection locked="0"/>
    </xf>
    <xf numFmtId="0" fontId="54" fillId="0" borderId="104" xfId="12" applyFont="1" applyBorder="1" applyAlignment="1" applyProtection="1">
      <alignment horizontal="left" vertical="center" indent="1"/>
      <protection locked="0"/>
    </xf>
    <xf numFmtId="0" fontId="54" fillId="0" borderId="105" xfId="12" applyFont="1" applyBorder="1" applyAlignment="1" applyProtection="1">
      <alignment horizontal="left" vertical="center" indent="1"/>
      <protection locked="0"/>
    </xf>
    <xf numFmtId="0" fontId="58" fillId="46" borderId="112" xfId="13" applyFont="1" applyFill="1" applyBorder="1" applyAlignment="1">
      <alignment horizontal="center" vertical="center" textRotation="90" wrapText="1"/>
    </xf>
    <xf numFmtId="0" fontId="58" fillId="46" borderId="115" xfId="13" applyFont="1" applyFill="1" applyBorder="1" applyAlignment="1">
      <alignment horizontal="center" vertical="center" textRotation="90" wrapText="1"/>
    </xf>
    <xf numFmtId="0" fontId="58" fillId="46" borderId="113" xfId="13" applyFont="1" applyFill="1" applyBorder="1" applyAlignment="1">
      <alignment horizontal="center" vertical="center" textRotation="90" wrapText="1"/>
    </xf>
    <xf numFmtId="0" fontId="58" fillId="46" borderId="116" xfId="13" applyFont="1" applyFill="1" applyBorder="1" applyAlignment="1">
      <alignment horizontal="center" vertical="center" textRotation="90" wrapText="1"/>
    </xf>
    <xf numFmtId="0" fontId="58" fillId="52" borderId="112" xfId="13" applyFont="1" applyFill="1" applyBorder="1" applyAlignment="1">
      <alignment horizontal="center" vertical="center" textRotation="90" wrapText="1"/>
    </xf>
    <xf numFmtId="0" fontId="58" fillId="52" borderId="115" xfId="13" applyFont="1" applyFill="1" applyBorder="1" applyAlignment="1">
      <alignment horizontal="center" vertical="center" textRotation="90" wrapText="1"/>
    </xf>
    <xf numFmtId="0" fontId="58" fillId="52" borderId="113" xfId="13" applyFont="1" applyFill="1" applyBorder="1" applyAlignment="1">
      <alignment horizontal="center" vertical="center" textRotation="90" wrapText="1"/>
    </xf>
    <xf numFmtId="0" fontId="58" fillId="52" borderId="116" xfId="13" applyFont="1" applyFill="1" applyBorder="1" applyAlignment="1">
      <alignment horizontal="center" vertical="center" textRotation="90" wrapText="1"/>
    </xf>
    <xf numFmtId="0" fontId="183" fillId="50" borderId="114" xfId="13" applyFont="1" applyFill="1" applyBorder="1" applyAlignment="1">
      <alignment horizontal="center" vertical="top" wrapText="1"/>
    </xf>
    <xf numFmtId="0" fontId="183" fillId="50" borderId="0" xfId="13" applyFont="1" applyFill="1" applyBorder="1" applyAlignment="1">
      <alignment horizontal="center" vertical="top"/>
    </xf>
    <xf numFmtId="0" fontId="174" fillId="50" borderId="0" xfId="13" applyFont="1" applyFill="1" applyBorder="1" applyAlignment="1">
      <alignment horizontal="left" vertical="center" wrapText="1"/>
    </xf>
    <xf numFmtId="0" fontId="174" fillId="50" borderId="0" xfId="13" applyFont="1" applyFill="1" applyBorder="1" applyAlignment="1">
      <alignment horizontal="left" vertical="center"/>
    </xf>
    <xf numFmtId="0" fontId="179" fillId="50" borderId="0" xfId="13" applyFont="1" applyFill="1" applyBorder="1" applyAlignment="1">
      <alignment horizontal="left" vertical="center" wrapText="1"/>
    </xf>
    <xf numFmtId="0" fontId="54" fillId="0" borderId="98" xfId="12" applyFont="1" applyBorder="1" applyAlignment="1" applyProtection="1">
      <alignment horizontal="left" vertical="center" indent="1"/>
      <protection locked="0"/>
    </xf>
    <xf numFmtId="0" fontId="54" fillId="0" borderId="99" xfId="12" applyFont="1" applyBorder="1" applyAlignment="1" applyProtection="1">
      <alignment horizontal="left" vertical="center" indent="1"/>
      <protection locked="0"/>
    </xf>
    <xf numFmtId="0" fontId="54" fillId="0" borderId="100" xfId="12" applyFont="1" applyBorder="1" applyAlignment="1" applyProtection="1">
      <alignment horizontal="left" vertical="center" indent="1"/>
      <protection locked="0"/>
    </xf>
    <xf numFmtId="0" fontId="53" fillId="3" borderId="93" xfId="13" applyFont="1" applyFill="1" applyBorder="1" applyAlignment="1" applyProtection="1">
      <alignment horizontal="center" vertical="top" wrapText="1"/>
      <protection locked="0"/>
    </xf>
    <xf numFmtId="0" fontId="53" fillId="3" borderId="7" xfId="13" applyFont="1" applyFill="1" applyBorder="1" applyAlignment="1" applyProtection="1">
      <alignment horizontal="center" vertical="top" wrapText="1"/>
      <protection locked="0"/>
    </xf>
    <xf numFmtId="0" fontId="53" fillId="3" borderId="109" xfId="13" applyFont="1" applyFill="1" applyBorder="1" applyAlignment="1" applyProtection="1">
      <alignment horizontal="center" vertical="top" wrapText="1"/>
      <protection locked="0"/>
    </xf>
    <xf numFmtId="0" fontId="53" fillId="3" borderId="59" xfId="13" applyFont="1" applyFill="1" applyBorder="1" applyAlignment="1" applyProtection="1">
      <alignment horizontal="center" vertical="top" wrapText="1"/>
      <protection locked="0"/>
    </xf>
    <xf numFmtId="0" fontId="53" fillId="3" borderId="0" xfId="13" applyFont="1" applyFill="1" applyBorder="1" applyAlignment="1" applyProtection="1">
      <alignment horizontal="center" vertical="top" wrapText="1"/>
      <protection locked="0"/>
    </xf>
    <xf numFmtId="0" fontId="53" fillId="3" borderId="8" xfId="13" applyFont="1" applyFill="1" applyBorder="1" applyAlignment="1" applyProtection="1">
      <alignment horizontal="center" vertical="top" wrapText="1"/>
      <protection locked="0"/>
    </xf>
    <xf numFmtId="0" fontId="53" fillId="3" borderId="58" xfId="13" applyFont="1" applyFill="1" applyBorder="1" applyAlignment="1" applyProtection="1">
      <alignment horizontal="center" vertical="top" wrapText="1"/>
      <protection locked="0"/>
    </xf>
    <xf numFmtId="0" fontId="53" fillId="3" borderId="4" xfId="13" applyFont="1" applyFill="1" applyBorder="1" applyAlignment="1" applyProtection="1">
      <alignment horizontal="center" vertical="top" wrapText="1"/>
      <protection locked="0"/>
    </xf>
    <xf numFmtId="0" fontId="53" fillId="3" borderId="62" xfId="13" applyFont="1" applyFill="1" applyBorder="1" applyAlignment="1" applyProtection="1">
      <alignment horizontal="center" vertical="top" wrapText="1"/>
      <protection locked="0"/>
    </xf>
    <xf numFmtId="0" fontId="54" fillId="0" borderId="117" xfId="13" applyFont="1" applyBorder="1" applyAlignment="1" applyProtection="1">
      <alignment horizontal="left" vertical="center" indent="1"/>
      <protection locked="0"/>
    </xf>
    <xf numFmtId="0" fontId="54" fillId="0" borderId="99" xfId="13" applyFont="1" applyBorder="1" applyAlignment="1" applyProtection="1">
      <alignment horizontal="left" vertical="center" indent="1"/>
      <protection locked="0"/>
    </xf>
    <xf numFmtId="0" fontId="54" fillId="0" borderId="120" xfId="13" applyFont="1" applyBorder="1" applyAlignment="1" applyProtection="1">
      <alignment horizontal="left" vertical="center" indent="1"/>
      <protection locked="0"/>
    </xf>
    <xf numFmtId="0" fontId="54" fillId="0" borderId="104" xfId="13" applyFont="1" applyBorder="1" applyAlignment="1" applyProtection="1">
      <alignment horizontal="left" vertical="center" indent="1"/>
      <protection locked="0"/>
    </xf>
    <xf numFmtId="0" fontId="54" fillId="0" borderId="123" xfId="13" applyFont="1" applyBorder="1" applyAlignment="1" applyProtection="1">
      <alignment horizontal="left" vertical="center" indent="1"/>
      <protection locked="0"/>
    </xf>
    <xf numFmtId="0" fontId="54" fillId="0" borderId="124" xfId="13" applyFont="1" applyBorder="1" applyAlignment="1" applyProtection="1">
      <alignment horizontal="left" vertical="center" indent="1"/>
      <protection locked="0"/>
    </xf>
    <xf numFmtId="0" fontId="44" fillId="3" borderId="93" xfId="13" applyFont="1" applyFill="1" applyBorder="1" applyAlignment="1" applyProtection="1">
      <alignment horizontal="left" vertical="top"/>
      <protection locked="0"/>
    </xf>
    <xf numFmtId="0" fontId="44" fillId="3" borderId="7" xfId="13" applyFont="1" applyFill="1" applyBorder="1" applyAlignment="1" applyProtection="1">
      <alignment horizontal="left" vertical="top"/>
      <protection locked="0"/>
    </xf>
    <xf numFmtId="0" fontId="44" fillId="3" borderId="109" xfId="13" applyFont="1" applyFill="1" applyBorder="1" applyAlignment="1" applyProtection="1">
      <alignment horizontal="left" vertical="top"/>
      <protection locked="0"/>
    </xf>
    <xf numFmtId="0" fontId="44" fillId="3" borderId="59" xfId="13" applyFont="1" applyFill="1" applyBorder="1" applyAlignment="1" applyProtection="1">
      <alignment horizontal="left" vertical="top"/>
      <protection locked="0"/>
    </xf>
    <xf numFmtId="0" fontId="44" fillId="3" borderId="0" xfId="13" applyFont="1" applyFill="1" applyBorder="1" applyAlignment="1" applyProtection="1">
      <alignment horizontal="left" vertical="top"/>
      <protection locked="0"/>
    </xf>
    <xf numFmtId="0" fontId="44" fillId="3" borderId="8" xfId="13" applyFont="1" applyFill="1" applyBorder="1" applyAlignment="1" applyProtection="1">
      <alignment horizontal="left" vertical="top"/>
      <protection locked="0"/>
    </xf>
    <xf numFmtId="0" fontId="44" fillId="3" borderId="58" xfId="13" applyFont="1" applyFill="1" applyBorder="1" applyAlignment="1" applyProtection="1">
      <alignment horizontal="left" vertical="top"/>
      <protection locked="0"/>
    </xf>
    <xf numFmtId="0" fontId="44" fillId="3" borderId="4" xfId="13" applyFont="1" applyFill="1" applyBorder="1" applyAlignment="1" applyProtection="1">
      <alignment horizontal="left" vertical="top"/>
      <protection locked="0"/>
    </xf>
    <xf numFmtId="0" fontId="44" fillId="3" borderId="62" xfId="13" applyFont="1" applyFill="1" applyBorder="1" applyAlignment="1" applyProtection="1">
      <alignment horizontal="left" vertical="top"/>
      <protection locked="0"/>
    </xf>
  </cellXfs>
  <cellStyles count="15">
    <cellStyle name="Link" xfId="3" builtinId="8"/>
    <cellStyle name="Prozent" xfId="8" builtinId="5"/>
    <cellStyle name="Standard" xfId="0" builtinId="0"/>
    <cellStyle name="Standard 2" xfId="1"/>
    <cellStyle name="Standard 2 2" xfId="10"/>
    <cellStyle name="Standard 2 2 2" xfId="9"/>
    <cellStyle name="Standard 2 3" xfId="11"/>
    <cellStyle name="Standard 3" xfId="7"/>
    <cellStyle name="Standard 6" xfId="14"/>
    <cellStyle name="Standard__2006_H" xfId="2"/>
    <cellStyle name="Standard_2007_Vk" xfId="4"/>
    <cellStyle name="Standard_Bed_V" xfId="13"/>
    <cellStyle name="Standard_h1E_ohne'BN" xfId="6"/>
    <cellStyle name="Standard_neu" xfId="5"/>
    <cellStyle name="Standard_Seit 2+" xfId="12"/>
  </cellStyles>
  <dxfs count="125">
    <dxf>
      <font>
        <color rgb="FF9C0006"/>
      </font>
      <fill>
        <patternFill>
          <bgColor rgb="FFFFC7CE"/>
        </patternFill>
      </fill>
    </dxf>
    <dxf>
      <font>
        <color rgb="FF9C0006"/>
      </font>
      <fill>
        <patternFill>
          <bgColor rgb="FFFFC7CE"/>
        </patternFill>
      </fill>
    </dxf>
    <dxf>
      <fill>
        <gradientFill>
          <stop position="0">
            <color rgb="FF9E0B0E"/>
          </stop>
          <stop position="1">
            <color rgb="FFFF0000"/>
          </stop>
        </gradientFill>
      </fill>
      <border>
        <left style="hair">
          <color auto="1"/>
        </left>
        <right style="hair">
          <color auto="1"/>
        </right>
        <bottom style="hair">
          <color auto="1"/>
        </bottom>
      </border>
    </dxf>
    <dxf>
      <fill>
        <patternFill>
          <bgColor theme="0"/>
        </patternFill>
      </fill>
    </dxf>
    <dxf>
      <fill>
        <patternFill>
          <bgColor theme="0"/>
        </patternFill>
      </fill>
      <border>
        <left/>
        <right/>
        <bottom/>
        <vertical/>
        <horizontal/>
      </border>
    </dxf>
    <dxf>
      <fill>
        <patternFill>
          <bgColor theme="9" tint="0.59996337778862885"/>
        </patternFill>
      </fill>
    </dxf>
    <dxf>
      <fill>
        <patternFill>
          <bgColor rgb="FFFF99FF"/>
        </patternFill>
      </fill>
    </dxf>
    <dxf>
      <border>
        <left style="hair">
          <color indexed="64"/>
        </left>
        <right style="hair">
          <color indexed="64"/>
        </right>
      </border>
    </dxf>
    <dxf>
      <border>
        <left style="hair">
          <color indexed="64"/>
        </left>
        <right style="hair">
          <color indexed="64"/>
        </right>
      </border>
    </dxf>
    <dxf>
      <fill>
        <patternFill>
          <bgColor rgb="FFFF8181"/>
        </patternFill>
      </fill>
    </dxf>
    <dxf>
      <font>
        <color theme="1"/>
      </font>
      <fill>
        <patternFill patternType="solid">
          <fgColor rgb="FFFFFFFF"/>
          <bgColor rgb="FFFF8181"/>
        </patternFill>
      </fill>
    </dxf>
    <dxf>
      <fill>
        <patternFill patternType="mediumGray">
          <fgColor indexed="10"/>
          <bgColor indexed="65"/>
        </patternFill>
      </fill>
    </dxf>
    <dxf>
      <fill>
        <patternFill patternType="darkUp">
          <fgColor rgb="FFFFC000"/>
        </patternFill>
      </fill>
    </dxf>
    <dxf>
      <fill>
        <patternFill patternType="mediumGray">
          <fgColor indexed="10"/>
          <bgColor indexed="65"/>
        </patternFill>
      </fill>
    </dxf>
    <dxf>
      <fill>
        <patternFill patternType="darkUp">
          <fgColor rgb="FFFFC000"/>
        </patternFill>
      </fill>
    </dxf>
    <dxf>
      <fill>
        <patternFill patternType="mediumGray">
          <fgColor indexed="10"/>
          <bgColor indexed="65"/>
        </patternFill>
      </fill>
    </dxf>
    <dxf>
      <fill>
        <patternFill patternType="darkUp">
          <fgColor rgb="FFFFC000"/>
        </patternFill>
      </fill>
    </dxf>
    <dxf>
      <fill>
        <patternFill patternType="mediumGray">
          <fgColor indexed="10"/>
          <bgColor indexed="65"/>
        </patternFill>
      </fill>
    </dxf>
    <dxf>
      <fill>
        <patternFill patternType="darkUp">
          <fgColor rgb="FFFFC000"/>
        </patternFill>
      </fill>
    </dxf>
    <dxf>
      <fill>
        <patternFill>
          <bgColor rgb="FFFF0000"/>
        </patternFill>
      </fill>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ont>
        <name val="Cambria"/>
        <scheme val="none"/>
      </font>
      <fill>
        <patternFill patternType="gray0625"/>
      </fill>
      <border>
        <left style="thin">
          <color indexed="64"/>
        </left>
        <right style="thin">
          <color indexed="64"/>
        </right>
        <top style="thin">
          <color indexed="64"/>
        </top>
        <bottom style="thin">
          <color indexed="64"/>
        </bottom>
      </border>
    </dxf>
    <dxf>
      <fill>
        <patternFill patternType="lightGray">
          <fgColor theme="0"/>
          <bgColor rgb="FFFFC000"/>
        </patternFill>
      </fill>
      <border>
        <left style="thin">
          <color auto="1"/>
        </left>
        <right style="thin">
          <color auto="1"/>
        </right>
        <top style="thin">
          <color auto="1"/>
        </top>
        <bottom style="thin">
          <color auto="1"/>
        </bottom>
      </border>
    </dxf>
    <dxf>
      <font>
        <name val="Cambria"/>
        <scheme val="none"/>
      </font>
      <fill>
        <patternFill patternType="gray0625"/>
      </fill>
      <border>
        <left style="thin">
          <color indexed="64"/>
        </left>
        <right style="thin">
          <color indexed="64"/>
        </right>
        <top style="thin">
          <color indexed="64"/>
        </top>
        <bottom style="thin">
          <color indexed="64"/>
        </bottom>
      </border>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ont>
        <name val="Cambria"/>
        <scheme val="none"/>
      </font>
      <fill>
        <patternFill patternType="gray0625"/>
      </fill>
      <border>
        <left style="thin">
          <color indexed="64"/>
        </left>
        <right style="thin">
          <color indexed="64"/>
        </right>
        <top style="thin">
          <color indexed="64"/>
        </top>
        <bottom style="thin">
          <color indexed="64"/>
        </bottom>
      </border>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ont>
        <name val="Cambria"/>
        <scheme val="none"/>
      </font>
      <fill>
        <patternFill patternType="gray0625"/>
      </fill>
      <border>
        <left style="thin">
          <color indexed="64"/>
        </left>
        <right style="thin">
          <color indexed="64"/>
        </right>
        <top style="thin">
          <color indexed="64"/>
        </top>
        <bottom style="thin">
          <color indexed="64"/>
        </bottom>
      </border>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ont>
        <name val="Cambria"/>
        <scheme val="none"/>
      </font>
      <fill>
        <patternFill patternType="gray0625"/>
      </fill>
      <border>
        <left style="thin">
          <color indexed="64"/>
        </left>
        <right style="thin">
          <color indexed="64"/>
        </right>
        <top style="thin">
          <color indexed="64"/>
        </top>
        <bottom style="thin">
          <color indexed="64"/>
        </bottom>
      </border>
    </dxf>
    <dxf>
      <fill>
        <patternFill patternType="mediumGray">
          <fgColor indexed="10"/>
          <bgColor indexed="65"/>
        </patternFill>
      </fill>
    </dxf>
    <dxf>
      <fill>
        <patternFill patternType="darkUp">
          <fgColor rgb="FFFFC000"/>
        </patternFill>
      </fill>
    </dxf>
    <dxf>
      <fill>
        <patternFill patternType="mediumGray">
          <fgColor indexed="10"/>
          <bgColor indexed="65"/>
        </patternFill>
      </fill>
    </dxf>
    <dxf>
      <fill>
        <patternFill patternType="darkUp">
          <fgColor rgb="FFFFC000"/>
        </patternFill>
      </fill>
    </dxf>
    <dxf>
      <fill>
        <patternFill patternType="mediumGray">
          <fgColor indexed="10"/>
          <bgColor indexed="65"/>
        </patternFill>
      </fill>
    </dxf>
    <dxf>
      <fill>
        <patternFill patternType="darkUp">
          <fgColor rgb="FFFFC000"/>
        </patternFill>
      </fill>
    </dxf>
    <dxf>
      <fill>
        <patternFill patternType="mediumGray">
          <fgColor indexed="10"/>
          <bgColor indexed="65"/>
        </patternFill>
      </fill>
    </dxf>
    <dxf>
      <fill>
        <patternFill patternType="darkUp">
          <fgColor rgb="FFFFC000"/>
        </patternFill>
      </fill>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ont>
        <name val="Cambria"/>
        <scheme val="none"/>
      </font>
      <fill>
        <patternFill patternType="gray0625"/>
      </fill>
      <border>
        <left style="thin">
          <color indexed="64"/>
        </left>
        <right style="thin">
          <color indexed="64"/>
        </right>
        <top style="thin">
          <color indexed="64"/>
        </top>
        <bottom style="thin">
          <color indexed="64"/>
        </bottom>
      </border>
    </dxf>
    <dxf>
      <fill>
        <patternFill patternType="mediumGray">
          <fgColor indexed="10"/>
          <bgColor indexed="65"/>
        </patternFill>
      </fill>
    </dxf>
    <dxf>
      <fill>
        <patternFill patternType="darkUp">
          <fgColor rgb="FFFFC000"/>
        </patternFill>
      </fill>
    </dxf>
    <dxf>
      <fill>
        <patternFill patternType="solid">
          <fgColor indexed="64"/>
          <bgColor indexed="26"/>
        </patternFill>
      </fill>
    </dxf>
    <dxf>
      <fill>
        <patternFill>
          <bgColor indexed="26"/>
        </patternFill>
      </fill>
    </dxf>
    <dxf>
      <border>
        <left style="hair">
          <color indexed="64"/>
        </left>
        <right style="hair">
          <color indexed="64"/>
        </right>
        <top style="hair">
          <color indexed="64"/>
        </top>
        <bottom style="hair">
          <color indexed="64"/>
        </bottom>
      </border>
    </dxf>
    <dxf>
      <fill>
        <patternFill>
          <bgColor indexed="10"/>
        </patternFill>
      </fill>
    </dxf>
    <dxf>
      <border>
        <right style="hair">
          <color indexed="64"/>
        </right>
      </border>
    </dxf>
    <dxf>
      <fill>
        <patternFill>
          <bgColor rgb="FFCCFFFF"/>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1AFFFF"/>
        </patternFill>
      </fill>
    </dxf>
    <dxf>
      <border>
        <left style="hair">
          <color auto="1"/>
        </left>
        <right style="hair">
          <color auto="1"/>
        </right>
        <top style="hair">
          <color auto="1"/>
        </top>
        <bottom style="hair">
          <color auto="1"/>
        </bottom>
        <vertical/>
        <horizontal/>
      </border>
    </dxf>
    <dxf>
      <fill>
        <patternFill>
          <bgColor rgb="FFFF7C80"/>
        </patternFill>
      </fill>
      <border>
        <left style="hair">
          <color auto="1"/>
        </left>
        <right style="hair">
          <color auto="1"/>
        </right>
        <top style="hair">
          <color auto="1"/>
        </top>
        <bottom style="hair">
          <color auto="1"/>
        </bottom>
      </border>
    </dxf>
    <dxf>
      <border>
        <left style="hair">
          <color auto="1"/>
        </left>
        <right style="hair">
          <color auto="1"/>
        </right>
        <top style="hair">
          <color auto="1"/>
        </top>
        <bottom style="hair">
          <color auto="1"/>
        </bottom>
        <vertical/>
        <horizontal/>
      </border>
    </dxf>
    <dxf>
      <fill>
        <patternFill>
          <bgColor rgb="FFFF7C80"/>
        </patternFill>
      </fill>
    </dxf>
    <dxf>
      <fill>
        <patternFill>
          <bgColor rgb="FFFFFF00"/>
        </patternFill>
      </fill>
    </dxf>
    <dxf>
      <border>
        <left style="dashed">
          <color auto="1"/>
        </left>
        <right style="dashed">
          <color auto="1"/>
        </right>
        <top style="dashed">
          <color auto="1"/>
        </top>
        <bottom style="dashed">
          <color auto="1"/>
        </bottom>
        <vertical/>
        <horizontal/>
      </border>
    </dxf>
    <dxf>
      <font>
        <b val="0"/>
        <i val="0"/>
        <color theme="0" tint="-0.24994659260841701"/>
      </font>
    </dxf>
    <dxf>
      <font>
        <color theme="5" tint="0.39994506668294322"/>
      </font>
    </dxf>
    <dxf>
      <fill>
        <patternFill>
          <bgColor rgb="FFFFFF00"/>
        </patternFill>
      </fill>
    </dxf>
    <dxf>
      <fill>
        <patternFill>
          <bgColor rgb="FFFFFF00"/>
        </patternFill>
      </fill>
    </dxf>
    <dxf>
      <border>
        <left style="hair">
          <color auto="1"/>
        </left>
        <right style="hair">
          <color auto="1"/>
        </right>
        <top/>
        <bottom style="hair">
          <color auto="1"/>
        </bottom>
        <vertical/>
        <horizontal/>
      </border>
    </dxf>
    <dxf>
      <border>
        <left style="hair">
          <color auto="1"/>
        </left>
        <right style="hair">
          <color auto="1"/>
        </right>
        <top style="hair">
          <color auto="1"/>
        </top>
        <bottom/>
        <vertical/>
        <horizontal/>
      </border>
    </dxf>
    <dxf>
      <fill>
        <patternFill>
          <bgColor rgb="FF66FFCC"/>
        </patternFill>
      </fill>
    </dxf>
    <dxf>
      <fill>
        <patternFill>
          <bgColor theme="5" tint="0.59996337778862885"/>
        </patternFill>
      </fill>
      <border>
        <left style="hair">
          <color indexed="64"/>
        </left>
        <right style="hair">
          <color indexed="64"/>
        </right>
        <top style="hair">
          <color indexed="64"/>
        </top>
        <bottom style="hair">
          <color indexed="64"/>
        </bottom>
      </border>
    </dxf>
    <dxf>
      <fill>
        <patternFill>
          <bgColor rgb="FF66FFCC"/>
        </patternFill>
      </fill>
      <border>
        <left style="hair">
          <color auto="1"/>
        </left>
        <right style="hair">
          <color auto="1"/>
        </right>
        <top style="hair">
          <color auto="1"/>
        </top>
        <bottom style="hair">
          <color auto="1"/>
        </bottom>
        <vertical/>
        <horizontal/>
      </border>
    </dxf>
    <dxf>
      <fill>
        <patternFill>
          <bgColor theme="5" tint="0.59996337778862885"/>
        </patternFill>
      </fill>
      <border>
        <left style="hair">
          <color indexed="64"/>
        </left>
        <right style="hair">
          <color indexed="64"/>
        </right>
        <top style="hair">
          <color indexed="64"/>
        </top>
        <bottom style="hair">
          <color indexed="64"/>
        </bottom>
      </border>
    </dxf>
    <dxf>
      <fill>
        <patternFill>
          <bgColor rgb="FF66FFCC"/>
        </patternFill>
      </fill>
      <border>
        <left style="hair">
          <color auto="1"/>
        </left>
        <right style="hair">
          <color auto="1"/>
        </right>
        <top style="hair">
          <color auto="1"/>
        </top>
        <bottom style="hair">
          <color auto="1"/>
        </bottom>
      </border>
    </dxf>
    <dxf>
      <border>
        <left style="thin">
          <color auto="1"/>
        </left>
        <right style="thin">
          <color auto="1"/>
        </right>
        <top style="thin">
          <color auto="1"/>
        </top>
        <bottom style="thin">
          <color auto="1"/>
        </bottom>
        <vertical/>
        <horizontal/>
      </border>
    </dxf>
    <dxf>
      <border>
        <left style="hair">
          <color auto="1"/>
        </left>
        <right style="hair">
          <color auto="1"/>
        </right>
        <top style="hair">
          <color auto="1"/>
        </top>
        <bottom style="hair">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patternType="none">
          <bgColor indexed="65"/>
        </patternFill>
      </fill>
    </dxf>
    <dxf>
      <border>
        <left style="dotted">
          <color auto="1"/>
        </left>
        <vertical/>
        <horizontal/>
      </border>
    </dxf>
    <dxf>
      <border>
        <right/>
        <bottom/>
        <vertical/>
        <horizontal/>
      </border>
    </dxf>
    <dxf>
      <fill>
        <patternFill>
          <bgColor rgb="FFFFFF00"/>
        </patternFill>
      </fill>
    </dxf>
    <dxf>
      <border>
        <left style="thin">
          <color auto="1"/>
        </left>
        <right style="thin">
          <color auto="1"/>
        </right>
        <top style="thin">
          <color auto="1"/>
        </top>
        <bottom style="thin">
          <color auto="1"/>
        </bottom>
        <vertical/>
        <horizontal/>
      </border>
    </dxf>
    <dxf>
      <fill>
        <patternFill>
          <bgColor rgb="FFFFFF00"/>
        </patternFill>
      </fill>
    </dxf>
    <dxf>
      <fill>
        <patternFill>
          <bgColor rgb="FF65D7FF"/>
        </patternFill>
      </fill>
      <border>
        <left style="thin">
          <color auto="1"/>
        </left>
        <right style="thin">
          <color auto="1"/>
        </right>
        <top/>
        <bottom style="thin">
          <color auto="1"/>
        </bottom>
      </border>
    </dxf>
  </dxfs>
  <tableStyles count="0" defaultTableStyle="TableStyleMedium2" defaultPivotStyle="PivotStyleLight16"/>
  <colors>
    <mruColors>
      <color rgb="FFDDFFF4"/>
      <color rgb="FFDB91B6"/>
      <color rgb="FFFF99FF"/>
      <color rgb="FFFFFFCC"/>
      <color rgb="FF65D7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xdr:row>
      <xdr:rowOff>19050</xdr:rowOff>
    </xdr:from>
    <xdr:to>
      <xdr:col>14</xdr:col>
      <xdr:colOff>122851</xdr:colOff>
      <xdr:row>67</xdr:row>
      <xdr:rowOff>8693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6115050"/>
          <a:ext cx="7790476" cy="6657143"/>
        </a:xfrm>
        <a:prstGeom prst="rect">
          <a:avLst/>
        </a:prstGeom>
        <a:effectLst>
          <a:outerShdw blurRad="63500" sx="102000" sy="102000" algn="ctr" rotWithShape="0">
            <a:prstClr val="black">
              <a:alpha val="40000"/>
            </a:prstClr>
          </a:outerShdw>
        </a:effectLst>
      </xdr:spPr>
    </xdr:pic>
    <xdr:clientData fLocksWithSheet="0"/>
  </xdr:twoCellAnchor>
  <xdr:twoCellAnchor>
    <xdr:from>
      <xdr:col>0</xdr:col>
      <xdr:colOff>0</xdr:colOff>
      <xdr:row>0</xdr:row>
      <xdr:rowOff>0</xdr:rowOff>
    </xdr:from>
    <xdr:to>
      <xdr:col>18</xdr:col>
      <xdr:colOff>57150</xdr:colOff>
      <xdr:row>86</xdr:row>
      <xdr:rowOff>153058</xdr:rowOff>
    </xdr:to>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0" y="0"/>
          <a:ext cx="10315575" cy="16536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AT" sz="2000" b="1">
            <a:solidFill>
              <a:schemeClr val="dk1"/>
            </a:solidFill>
            <a:effectLst/>
            <a:latin typeface="+mn-lt"/>
            <a:ea typeface="+mn-ea"/>
            <a:cs typeface="+mn-cs"/>
          </a:endParaRPr>
        </a:p>
        <a:p>
          <a:r>
            <a:rPr lang="de-AT" sz="2000" b="1">
              <a:solidFill>
                <a:schemeClr val="dk1"/>
              </a:solidFill>
              <a:effectLst/>
              <a:latin typeface="+mn-lt"/>
              <a:ea typeface="+mn-ea"/>
              <a:cs typeface="+mn-cs"/>
            </a:rPr>
            <a:t>Informationen und Begriffsbestimmungen</a:t>
          </a: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Hier in diesem Tabellenblatt sind die maßgeblichen Kriterien und Faktoren zusammengefasst.</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Das nächstfolgende Tabellenblatt dieser Mappe ist für die konkreten Berechnungen vorgesehen, </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wobei gegebenenfalls ergänzende Einträge in den weiteren Blättern &lt;Assistenz&gt; und &lt;GTS&gt; vorzunehmen sind. </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Kopfquote:</a:t>
          </a:r>
        </a:p>
        <a:p>
          <a:r>
            <a:rPr lang="de-AT" sz="1400">
              <a:solidFill>
                <a:schemeClr val="dk1"/>
              </a:solidFill>
              <a:effectLst/>
              <a:latin typeface="+mn-lt"/>
              <a:ea typeface="+mn-ea"/>
              <a:cs typeface="+mn-cs"/>
            </a:rPr>
            <a:t>Für die Berechnung der Stundenkontingente wurde eine Pro-Kopfquote eingeführt. </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Klassenzahl: </a:t>
          </a:r>
        </a:p>
        <a:p>
          <a:r>
            <a:rPr lang="de-AT" sz="1400">
              <a:solidFill>
                <a:schemeClr val="dk1"/>
              </a:solidFill>
              <a:effectLst/>
              <a:latin typeface="+mn-lt"/>
              <a:ea typeface="+mn-ea"/>
              <a:cs typeface="+mn-cs"/>
            </a:rPr>
            <a:t>Die Anzahl der Klassen ist nicht mehr unmittelbarer Auslöser für die Zuweisung von Kontingenten an die Schule und spielt (nach Einführung der Stundenressourcen über eine Kopfquote) nur mehr in Spezialfällen eine Rolle. </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Klassenvorstandschaft: </a:t>
          </a:r>
        </a:p>
        <a:p>
          <a:r>
            <a:rPr lang="de-AT" sz="1400">
              <a:solidFill>
                <a:schemeClr val="dk1"/>
              </a:solidFill>
              <a:effectLst/>
              <a:latin typeface="+mn-lt"/>
              <a:ea typeface="+mn-ea"/>
              <a:cs typeface="+mn-cs"/>
            </a:rPr>
            <a:t>Für jede gesondert eingerichtete Klasse besteht Anspruch auf Vergütung der Klassenvorstandschaft, also auch wenn am Standort autonom zusätzliche Klassen gebildet werden. An Schulen, an denen der Unterricht durch Fachlehrer erteilt wird, hat der Schulleiter für jede Klasse </a:t>
          </a:r>
          <a:r>
            <a:rPr lang="de-AT" sz="1400" b="1" u="sng">
              <a:solidFill>
                <a:schemeClr val="dk1"/>
              </a:solidFill>
              <a:effectLst/>
              <a:latin typeface="+mn-lt"/>
              <a:ea typeface="+mn-ea"/>
              <a:cs typeface="+mn-cs"/>
            </a:rPr>
            <a:t>eine</a:t>
          </a:r>
          <a:r>
            <a:rPr lang="de-AT" sz="1400">
              <a:solidFill>
                <a:schemeClr val="dk1"/>
              </a:solidFill>
              <a:effectLst/>
              <a:latin typeface="+mn-lt"/>
              <a:ea typeface="+mn-ea"/>
              <a:cs typeface="+mn-cs"/>
            </a:rPr>
            <a:t> Lehrperson (ausgenommen Lehrbeauftragte) dieser Klasse als Klassenvorstand zu bestellen.</a:t>
          </a:r>
        </a:p>
        <a:p>
          <a:r>
            <a:rPr lang="de-AT" sz="1400">
              <a:solidFill>
                <a:schemeClr val="dk1"/>
              </a:solidFill>
              <a:effectLst/>
              <a:latin typeface="+mn-lt"/>
              <a:ea typeface="+mn-ea"/>
              <a:cs typeface="+mn-cs"/>
            </a:rPr>
            <a:t>An Schulen mit Klassenlehrersystem kommen die Aufgaben des Klassenvorstandes dem Klassenlehrer zu.</a:t>
          </a:r>
        </a:p>
        <a:p>
          <a:endParaRPr lang="de-AT" sz="1400">
            <a:solidFill>
              <a:schemeClr val="dk1"/>
            </a:solidFill>
            <a:effectLst/>
            <a:latin typeface="+mn-lt"/>
            <a:ea typeface="+mn-ea"/>
            <a:cs typeface="+mn-cs"/>
          </a:endParaRPr>
        </a:p>
        <a:p>
          <a:r>
            <a:rPr lang="de-AT" sz="1400">
              <a:solidFill>
                <a:schemeClr val="dk1"/>
              </a:solidFill>
              <a:effectLst/>
              <a:latin typeface="+mn-lt"/>
              <a:ea typeface="+mn-ea"/>
              <a:cs typeface="+mn-cs"/>
            </a:rPr>
            <a:t>Eine „Deutschförderklasse“ ist zwar als Klasse bezeichnet, jedoch nicht organisatorisch eigenständig geführt. Somit kann für dieses Förderprogramm keine KV-Vergütung bezahlt werden.</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Was ist organisatorisch als „Klasse“ zu verstehen? </a:t>
          </a:r>
        </a:p>
        <a:p>
          <a:r>
            <a:rPr lang="de-AT" sz="1400">
              <a:solidFill>
                <a:schemeClr val="dk1"/>
              </a:solidFill>
              <a:effectLst/>
              <a:latin typeface="+mn-lt"/>
              <a:ea typeface="+mn-ea"/>
              <a:cs typeface="+mn-cs"/>
            </a:rPr>
            <a:t>Alle Pflichtgegenstände werden grundsätzlich im Klassenverband unterrichtet, eine Zusammenlegung bzw ein gemeinsames Führen mit SuS aus verschiedenen Klassen ist nur in Ausnahmefällen unter Vorlage eines pädagogischen Konzeptes an das zuständige Schulpartnerschaftsgremium und dessen Beschluss acht Wochen vor Ende des vorangehenden Unterrichtsjahres (§ 8a SchOG) vorgesehen. Ausgenommen davon sind die alternativen Pflichtgegenstände, die gesondert zusammengesetzten Unterrichtsgruppen zur gezielten Leistungsförderung zB in Hauptfächern an der MS, sowie der Religionsunterricht (wegen der Möglichkeit/Notwendigkeit zur Bildung von klassenübergreifenden Unterrichtsgruppen).</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Im Rahmen des Gesamtkonzeptes möglich sind ..</a:t>
          </a:r>
        </a:p>
        <a:p>
          <a:r>
            <a:rPr lang="de-AT" sz="1400">
              <a:solidFill>
                <a:schemeClr val="dk1"/>
              </a:solidFill>
              <a:effectLst/>
              <a:latin typeface="+mn-lt"/>
              <a:ea typeface="+mn-ea"/>
              <a:cs typeface="+mn-cs"/>
            </a:rPr>
            <a:t>die Teilung einer Klasse für einzelne Gegenstände in mehrere Unterrichtsgruppen, </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die Einrichtung von Freigegenständen und Unverbindlichen Übungen sowie Förderunterricht, </a:t>
          </a:r>
        </a:p>
        <a:p>
          <a:r>
            <a:rPr lang="de-AT" sz="1400">
              <a:solidFill>
                <a:schemeClr val="dk1"/>
              </a:solidFill>
              <a:effectLst/>
              <a:latin typeface="+mn-lt"/>
              <a:ea typeface="+mn-ea"/>
              <a:cs typeface="+mn-cs"/>
            </a:rPr>
            <a:t>die Förderung im Klassenverband durch eine Zusatzlehrperson im Team-Teaching. </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Autonome Bildung von Klassen: </a:t>
          </a:r>
        </a:p>
        <a:p>
          <a:r>
            <a:rPr lang="de-AT" sz="1400">
              <a:solidFill>
                <a:schemeClr val="dk1"/>
              </a:solidFill>
              <a:effectLst/>
              <a:latin typeface="+mn-lt"/>
              <a:ea typeface="+mn-ea"/>
              <a:cs typeface="+mn-cs"/>
            </a:rPr>
            <a:t>Im Rahmen der schulautonomen Gestaltungsmöglichkeiten können am Standort Klassen in einer Zahl eingerichtet werden, die von der durch die Behörde nach Schülerzahlen und Zusammensetzung fiktiv berechneten Anzahl der Klassen abweicht. Daraus ergibt sich die Leitereinrechnung bzw Leiter-Freistellung nach Dienstrecht-Alt.</a:t>
          </a:r>
        </a:p>
        <a:p>
          <a:r>
            <a:rPr lang="de-AT" sz="1400">
              <a:solidFill>
                <a:schemeClr val="dk1"/>
              </a:solidFill>
              <a:effectLst/>
              <a:latin typeface="+mn-lt"/>
              <a:ea typeface="+mn-ea"/>
              <a:cs typeface="+mn-cs"/>
            </a:rPr>
            <a:t> </a:t>
          </a:r>
        </a:p>
        <a:p>
          <a:r>
            <a:rPr lang="de-AT" sz="1400" b="1">
              <a:solidFill>
                <a:schemeClr val="dk1"/>
              </a:solidFill>
              <a:effectLst/>
              <a:latin typeface="+mn-lt"/>
              <a:ea typeface="+mn-ea"/>
              <a:cs typeface="+mn-cs"/>
            </a:rPr>
            <a:t>Stichtag für die Ressourcen und die Schulorganisation:</a:t>
          </a:r>
        </a:p>
        <a:p>
          <a:pPr marL="0" marR="0" lvl="0" indent="0" defTabSz="914400" eaLnBrk="1" fontAlgn="auto" latinLnBrk="0" hangingPunct="1">
            <a:lnSpc>
              <a:spcPct val="100000"/>
            </a:lnSpc>
            <a:spcBef>
              <a:spcPts val="0"/>
            </a:spcBef>
            <a:spcAft>
              <a:spcPts val="0"/>
            </a:spcAft>
            <a:buClrTx/>
            <a:buSzTx/>
            <a:buFontTx/>
            <a:buNone/>
            <a:tabLst/>
            <a:defRPr/>
          </a:pPr>
          <a:r>
            <a:rPr lang="de-AT" sz="1400">
              <a:solidFill>
                <a:schemeClr val="dk1"/>
              </a:solidFill>
              <a:effectLst/>
              <a:latin typeface="+mn-lt"/>
              <a:ea typeface="+mn-ea"/>
              <a:cs typeface="+mn-cs"/>
            </a:rPr>
            <a:t>Als Stichtag für die verbindliche Berechnung der Stundenressourcen ist der 2. Montag im Unterrichtsjahr maßgeblich. Sprengelfremde SchülerInnen werden dabei ohne Einschränkungen in die Berechnung einbezogen. </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
          </a:r>
          <a:br>
            <a:rPr lang="de-AT" sz="1400">
              <a:solidFill>
                <a:schemeClr val="dk1"/>
              </a:solidFill>
              <a:effectLst/>
              <a:latin typeface="+mn-lt"/>
              <a:ea typeface="+mn-ea"/>
              <a:cs typeface="+mn-cs"/>
            </a:rPr>
          </a:br>
          <a:r>
            <a:rPr lang="de-AT" sz="1400" b="1">
              <a:solidFill>
                <a:schemeClr val="dk1"/>
              </a:solidFill>
              <a:effectLst/>
              <a:latin typeface="+mn-lt"/>
              <a:ea typeface="+mn-ea"/>
              <a:cs typeface="+mn-cs"/>
            </a:rPr>
            <a:t>IT - Mobile Device Management für PDler</a:t>
          </a:r>
          <a:r>
            <a:rPr lang="de-AT" sz="1400">
              <a:solidFill>
                <a:schemeClr val="dk1"/>
              </a:solidFill>
              <a:effectLst/>
              <a:latin typeface="+mn-lt"/>
              <a:ea typeface="+mn-ea"/>
              <a:cs typeface="+mn-cs"/>
            </a:rPr>
            <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An der Stammschule ist eine Einrechnung von insgesamt max. 3 Stunden für IT-Betreuung, MDM pädagogisch oder Bibliothek möglich. Wenn ausschließlich IT-Betreuung (inklusive MDM pädagogisch) übernommen wird, kann an bis zu 3 Standorten max. 3 Stunden – somit maximal gesamt 9 Stunden – eingerechnet werden.</a:t>
          </a:r>
        </a:p>
        <a:p>
          <a:endParaRPr lang="de-AT" sz="1400">
            <a:solidFill>
              <a:schemeClr val="dk1"/>
            </a:solidFill>
            <a:effectLst/>
            <a:latin typeface="+mn-lt"/>
            <a:ea typeface="+mn-ea"/>
            <a:cs typeface="+mn-cs"/>
          </a:endParaRPr>
        </a:p>
        <a:p>
          <a:endParaRPr lang="de-AT" sz="1400">
            <a:solidFill>
              <a:schemeClr val="dk1"/>
            </a:solidFill>
            <a:effectLst/>
            <a:latin typeface="+mn-lt"/>
            <a:ea typeface="+mn-ea"/>
            <a:cs typeface="+mn-cs"/>
          </a:endParaRPr>
        </a:p>
        <a:p>
          <a:r>
            <a:rPr lang="de-AT" sz="1400" b="1">
              <a:solidFill>
                <a:schemeClr val="dk1"/>
              </a:solidFill>
              <a:effectLst/>
              <a:latin typeface="+mn-lt"/>
              <a:ea typeface="+mn-ea"/>
              <a:cs typeface="+mn-cs"/>
            </a:rPr>
            <a:t>Änderungen während des Schuljahres: </a:t>
          </a:r>
        </a:p>
        <a:p>
          <a:r>
            <a:rPr lang="de-AT" sz="1400">
              <a:solidFill>
                <a:schemeClr val="dk1"/>
              </a:solidFill>
              <a:effectLst/>
              <a:latin typeface="+mn-lt"/>
              <a:ea typeface="+mn-ea"/>
              <a:cs typeface="+mn-cs"/>
            </a:rPr>
            <a:t>Der Schulwechsel eines Schülers bewirkt grundsätzlich keine Verschiebung der Stundenressourcen bzw löst keine Mitnahme von Stunden aus, mit Ausnahme bei SuS mit SPF, wo die Stunden für den Unterricht (= mindestens 2,0) und auch für die Assistenz grundsätzlich mit dem Schüler mitgehen. </a:t>
          </a:r>
        </a:p>
        <a:p>
          <a:r>
            <a:rPr lang="de-AT" sz="1400">
              <a:solidFill>
                <a:schemeClr val="dk1"/>
              </a:solidFill>
              <a:effectLst/>
              <a:latin typeface="+mn-lt"/>
              <a:ea typeface="+mn-ea"/>
              <a:cs typeface="+mn-cs"/>
            </a:rPr>
            <a:t>Bei unterrichtlicher Notwendigkeit oder bei Status ao-u kann die aufnehmende Schule beim SQM eine Prüfung der Situation beantragen. Sinkt eine DFöKL unter acht SuS, kann diese bis zum Ende des Semesters weitergeführt werden.</a:t>
          </a: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Was im schülerkopf-bezogenen Stundenkontingent NICHT enthalten ist: </a:t>
          </a: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Einrechnungen für Schulleitung, Bibliothek, IT usw. </a:t>
          </a:r>
        </a:p>
        <a:p>
          <a:r>
            <a:rPr lang="de-AT" sz="1400">
              <a:solidFill>
                <a:schemeClr val="dk1"/>
              </a:solidFill>
              <a:effectLst/>
              <a:latin typeface="+mn-lt"/>
              <a:ea typeface="+mn-ea"/>
              <a:cs typeface="+mn-cs"/>
            </a:rPr>
            <a:t>Diese Einrechnungen werden in den auf die Stundenkontingente für die Unterrichtserteilung folgenden Zeilen gesondert ermittelt bzw von der Schule für die anstehende Bedarfsplanung beantragt. </a:t>
          </a: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Aus spezifischen Stundentöpfen und jedenfalls außerhalb des berechneten Schulkontingents werden gesondert Stunden zugewiesen </a:t>
          </a:r>
        </a:p>
        <a:p>
          <a:r>
            <a:rPr lang="de-AT" sz="1400">
              <a:solidFill>
                <a:schemeClr val="dk1"/>
              </a:solidFill>
              <a:effectLst/>
              <a:latin typeface="+mn-lt"/>
              <a:ea typeface="+mn-ea"/>
              <a:cs typeface="+mn-cs"/>
            </a:rPr>
            <a:t>für den Religionsunterricht (alle Bekenntnisse), für den Muttersprach-lichen Unterricht, sowie für andere Mobile Lehrpersonen.</a:t>
          </a:r>
        </a:p>
        <a:p>
          <a:r>
            <a:rPr lang="de-AT" sz="1400">
              <a:solidFill>
                <a:schemeClr val="dk1"/>
              </a:solidFill>
              <a:effectLst/>
              <a:latin typeface="+mn-lt"/>
              <a:ea typeface="+mn-ea"/>
              <a:cs typeface="+mn-cs"/>
            </a:rPr>
            <a:t/>
          </a:r>
          <a:br>
            <a:rPr lang="de-AT" sz="1400">
              <a:solidFill>
                <a:schemeClr val="dk1"/>
              </a:solidFill>
              <a:effectLst/>
              <a:latin typeface="+mn-lt"/>
              <a:ea typeface="+mn-ea"/>
              <a:cs typeface="+mn-cs"/>
            </a:rPr>
          </a:br>
          <a:r>
            <a:rPr lang="de-AT" sz="1400">
              <a:solidFill>
                <a:schemeClr val="dk1"/>
              </a:solidFill>
              <a:effectLst/>
              <a:latin typeface="+mn-lt"/>
              <a:ea typeface="+mn-ea"/>
              <a:cs typeface="+mn-cs"/>
            </a:rPr>
            <a:t>Für röm</a:t>
          </a:r>
          <a:r>
            <a:rPr lang="de-AT" sz="1400" i="1">
              <a:solidFill>
                <a:schemeClr val="dk1"/>
              </a:solidFill>
              <a:effectLst/>
              <a:latin typeface="+mn-lt"/>
              <a:ea typeface="+mn-ea"/>
              <a:cs typeface="+mn-cs"/>
            </a:rPr>
            <a:t>.-kath. Religion ist jedoch ein eigenes Tabellenblatt zur Meldung bzw Beantragung der Unterrichtsressourcen aufgenommen. </a:t>
          </a:r>
          <a:endParaRPr lang="de-AT" sz="1400">
            <a:solidFill>
              <a:schemeClr val="dk1"/>
            </a:solidFill>
            <a:effectLst/>
            <a:latin typeface="+mn-lt"/>
            <a:ea typeface="+mn-ea"/>
            <a:cs typeface="+mn-cs"/>
          </a:endParaRPr>
        </a:p>
        <a:p>
          <a:r>
            <a:rPr lang="de-AT" sz="1400">
              <a:solidFill>
                <a:schemeClr val="dk1"/>
              </a:solidFill>
              <a:effectLst/>
              <a:latin typeface="+mn-lt"/>
              <a:ea typeface="+mn-ea"/>
              <a:cs typeface="+mn-cs"/>
            </a:rPr>
            <a:t> </a:t>
          </a:r>
        </a:p>
        <a:p>
          <a:r>
            <a:rPr lang="de-AT" sz="1400">
              <a:solidFill>
                <a:schemeClr val="dk1"/>
              </a:solidFill>
              <a:effectLst/>
              <a:latin typeface="+mn-lt"/>
              <a:ea typeface="+mn-ea"/>
              <a:cs typeface="+mn-cs"/>
            </a:rPr>
            <a:t>Schulische Assistenz:  Die zur individuellen Unterstützung erforderlichen genehmigten Stunden sind über das Tabellenblatt &lt;Assistenz&gt; bekannt zu geben, und zwar im gesamten Ausmaß und in weiterer Folge, welches Personal dafür eingesetzt wird (SAF oder Bildi). Lehrpersonen, welche Assistenzstunden abgedecken, müssen zwingend einen Dienstvertrag haben welcher auf „Stütz- und BegleitlehrerIn“ lautet. Für diese Lehrpersonen sind die entsprechenden Stunden im Blatt &lt;Lehrpersonen&gt; zuzuteilen. </a:t>
          </a:r>
        </a:p>
        <a:p>
          <a:endParaRPr lang="de-AT" sz="14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2</xdr:col>
      <xdr:colOff>370284</xdr:colOff>
      <xdr:row>12</xdr:row>
      <xdr:rowOff>65942</xdr:rowOff>
    </xdr:from>
    <xdr:to>
      <xdr:col>2</xdr:col>
      <xdr:colOff>370284</xdr:colOff>
      <xdr:row>14</xdr:row>
      <xdr:rowOff>56417</xdr:rowOff>
    </xdr:to>
    <xdr:cxnSp macro="">
      <xdr:nvCxnSpPr>
        <xdr:cNvPr id="5" name="Gerade Verbindung mit Pfeil 4">
          <a:extLst>
            <a:ext uri="{FF2B5EF4-FFF2-40B4-BE49-F238E27FC236}">
              <a16:creationId xmlns:a16="http://schemas.microsoft.com/office/drawing/2014/main" id="{00000000-0008-0000-0100-000005000000}"/>
            </a:ext>
          </a:extLst>
        </xdr:cNvPr>
        <xdr:cNvCxnSpPr/>
      </xdr:nvCxnSpPr>
      <xdr:spPr>
        <a:xfrm>
          <a:off x="1220207" y="3531577"/>
          <a:ext cx="0" cy="371475"/>
        </a:xfrm>
        <a:prstGeom prst="straightConnector1">
          <a:avLst/>
        </a:prstGeom>
        <a:ln w="3175">
          <a:solidFill>
            <a:srgbClr val="00B050"/>
          </a:solidFill>
          <a:prstDash val="sysDot"/>
          <a:headEnd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566488</xdr:colOff>
      <xdr:row>13</xdr:row>
      <xdr:rowOff>61663</xdr:rowOff>
    </xdr:from>
    <xdr:to>
      <xdr:col>6</xdr:col>
      <xdr:colOff>82827</xdr:colOff>
      <xdr:row>13</xdr:row>
      <xdr:rowOff>61663</xdr:rowOff>
    </xdr:to>
    <xdr:cxnSp macro="">
      <xdr:nvCxnSpPr>
        <xdr:cNvPr id="37" name="Gerader Verbinder 36">
          <a:extLst>
            <a:ext uri="{FF2B5EF4-FFF2-40B4-BE49-F238E27FC236}">
              <a16:creationId xmlns:a16="http://schemas.microsoft.com/office/drawing/2014/main" id="{00000000-0008-0000-0100-000025000000}"/>
            </a:ext>
          </a:extLst>
        </xdr:cNvPr>
        <xdr:cNvCxnSpPr/>
      </xdr:nvCxnSpPr>
      <xdr:spPr>
        <a:xfrm flipH="1">
          <a:off x="1411314" y="3175924"/>
          <a:ext cx="2133643" cy="0"/>
        </a:xfrm>
        <a:prstGeom prst="line">
          <a:avLst/>
        </a:prstGeom>
        <a:ln w="3175">
          <a:solidFill>
            <a:srgbClr val="00B050"/>
          </a:solidFill>
          <a:prstDash val="sysDot"/>
          <a:headEnd w="med" len="sm"/>
          <a:tailEnd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571500</xdr:colOff>
      <xdr:row>13</xdr:row>
      <xdr:rowOff>65484</xdr:rowOff>
    </xdr:from>
    <xdr:to>
      <xdr:col>2</xdr:col>
      <xdr:colOff>571500</xdr:colOff>
      <xdr:row>14</xdr:row>
      <xdr:rowOff>66675</xdr:rowOff>
    </xdr:to>
    <xdr:cxnSp macro="">
      <xdr:nvCxnSpPr>
        <xdr:cNvPr id="40" name="Gerade Verbindung mit Pfeil 39">
          <a:extLst>
            <a:ext uri="{FF2B5EF4-FFF2-40B4-BE49-F238E27FC236}">
              <a16:creationId xmlns:a16="http://schemas.microsoft.com/office/drawing/2014/main" id="{00000000-0008-0000-0100-000028000000}"/>
            </a:ext>
          </a:extLst>
        </xdr:cNvPr>
        <xdr:cNvCxnSpPr/>
      </xdr:nvCxnSpPr>
      <xdr:spPr>
        <a:xfrm>
          <a:off x="1416844" y="3911203"/>
          <a:ext cx="0" cy="191691"/>
        </a:xfrm>
        <a:prstGeom prst="straightConnector1">
          <a:avLst/>
        </a:prstGeom>
        <a:ln w="3175">
          <a:solidFill>
            <a:srgbClr val="00B050"/>
          </a:solidFill>
          <a:prstDash val="sysDot"/>
          <a:headEnd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309843</xdr:colOff>
      <xdr:row>12</xdr:row>
      <xdr:rowOff>57150</xdr:rowOff>
    </xdr:from>
    <xdr:to>
      <xdr:col>6</xdr:col>
      <xdr:colOff>309843</xdr:colOff>
      <xdr:row>14</xdr:row>
      <xdr:rowOff>47625</xdr:rowOff>
    </xdr:to>
    <xdr:cxnSp macro="">
      <xdr:nvCxnSpPr>
        <xdr:cNvPr id="61" name="Gerade Verbindung mit Pfeil 60">
          <a:extLst>
            <a:ext uri="{FF2B5EF4-FFF2-40B4-BE49-F238E27FC236}">
              <a16:creationId xmlns:a16="http://schemas.microsoft.com/office/drawing/2014/main" id="{00000000-0008-0000-0100-00003D000000}"/>
            </a:ext>
          </a:extLst>
        </xdr:cNvPr>
        <xdr:cNvCxnSpPr/>
      </xdr:nvCxnSpPr>
      <xdr:spPr>
        <a:xfrm>
          <a:off x="3268196" y="3530974"/>
          <a:ext cx="0" cy="561975"/>
        </a:xfrm>
        <a:prstGeom prst="straightConnector1">
          <a:avLst/>
        </a:prstGeom>
        <a:ln w="3175">
          <a:solidFill>
            <a:srgbClr val="00B050"/>
          </a:solidFill>
          <a:prstDash val="sysDot"/>
          <a:headEnd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71185</xdr:colOff>
      <xdr:row>12</xdr:row>
      <xdr:rowOff>50131</xdr:rowOff>
    </xdr:from>
    <xdr:to>
      <xdr:col>6</xdr:col>
      <xdr:colOff>179820</xdr:colOff>
      <xdr:row>13</xdr:row>
      <xdr:rowOff>65484</xdr:rowOff>
    </xdr:to>
    <xdr:cxnSp macro="">
      <xdr:nvCxnSpPr>
        <xdr:cNvPr id="13" name="Gerader Verbinder 12">
          <a:extLst>
            <a:ext uri="{FF2B5EF4-FFF2-40B4-BE49-F238E27FC236}">
              <a16:creationId xmlns:a16="http://schemas.microsoft.com/office/drawing/2014/main" id="{00000000-0008-0000-0100-00000D000000}"/>
            </a:ext>
          </a:extLst>
        </xdr:cNvPr>
        <xdr:cNvCxnSpPr/>
      </xdr:nvCxnSpPr>
      <xdr:spPr>
        <a:xfrm flipH="1">
          <a:off x="3533315" y="2973892"/>
          <a:ext cx="108635" cy="205853"/>
        </a:xfrm>
        <a:prstGeom prst="line">
          <a:avLst/>
        </a:prstGeom>
        <a:ln w="3175">
          <a:solidFill>
            <a:srgbClr val="00B050"/>
          </a:solidFill>
          <a:prstDash val="sysDot"/>
          <a:headEnd w="med" len="sm"/>
          <a:tailEnd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334496</xdr:colOff>
      <xdr:row>12</xdr:row>
      <xdr:rowOff>54349</xdr:rowOff>
    </xdr:from>
    <xdr:to>
      <xdr:col>7</xdr:col>
      <xdr:colOff>334496</xdr:colOff>
      <xdr:row>14</xdr:row>
      <xdr:rowOff>44824</xdr:rowOff>
    </xdr:to>
    <xdr:cxnSp macro="">
      <xdr:nvCxnSpPr>
        <xdr:cNvPr id="10" name="Gerade Verbindung mit Pfeil 9">
          <a:extLst>
            <a:ext uri="{FF2B5EF4-FFF2-40B4-BE49-F238E27FC236}">
              <a16:creationId xmlns:a16="http://schemas.microsoft.com/office/drawing/2014/main" id="{00000000-0008-0000-0100-00000A000000}"/>
            </a:ext>
          </a:extLst>
        </xdr:cNvPr>
        <xdr:cNvCxnSpPr/>
      </xdr:nvCxnSpPr>
      <xdr:spPr>
        <a:xfrm>
          <a:off x="5001746" y="3578599"/>
          <a:ext cx="0" cy="371475"/>
        </a:xfrm>
        <a:prstGeom prst="straightConnector1">
          <a:avLst/>
        </a:prstGeom>
        <a:ln w="3175">
          <a:solidFill>
            <a:srgbClr val="00B050"/>
          </a:solidFill>
          <a:prstDash val="sysDot"/>
          <a:headEnd w="med" len="sm"/>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47625</xdr:colOff>
      <xdr:row>74</xdr:row>
      <xdr:rowOff>9525</xdr:rowOff>
    </xdr:from>
    <xdr:to>
      <xdr:col>17</xdr:col>
      <xdr:colOff>371475</xdr:colOff>
      <xdr:row>77</xdr:row>
      <xdr:rowOff>201668</xdr:rowOff>
    </xdr:to>
    <xdr:pic>
      <xdr:nvPicPr>
        <xdr:cNvPr id="12" name="Grafik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a:srcRect t="5338" b="6219"/>
        <a:stretch/>
      </xdr:blipFill>
      <xdr:spPr>
        <a:xfrm>
          <a:off x="5800725" y="14506575"/>
          <a:ext cx="4152900" cy="763643"/>
        </a:xfrm>
        <a:prstGeom prst="rect">
          <a:avLst/>
        </a:prstGeom>
        <a:noFill/>
        <a:effectLst>
          <a:innerShdw blurRad="228600">
            <a:schemeClr val="accent4">
              <a:lumMod val="75000"/>
            </a:schemeClr>
          </a:innerShdw>
        </a:effec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666750</xdr:colOff>
      <xdr:row>3</xdr:row>
      <xdr:rowOff>11385</xdr:rowOff>
    </xdr:from>
    <xdr:ext cx="2716268" cy="313764"/>
    <xdr:sp macro="" textlink="">
      <xdr:nvSpPr>
        <xdr:cNvPr id="2" name="Text 111">
          <a:extLst>
            <a:ext uri="{FF2B5EF4-FFF2-40B4-BE49-F238E27FC236}">
              <a16:creationId xmlns:a16="http://schemas.microsoft.com/office/drawing/2014/main" id="{45783DCE-77DE-46D9-BC69-9926AB884924}"/>
            </a:ext>
          </a:extLst>
        </xdr:cNvPr>
        <xdr:cNvSpPr txBox="1">
          <a:spLocks noChangeArrowheads="1"/>
        </xdr:cNvSpPr>
      </xdr:nvSpPr>
      <xdr:spPr bwMode="auto">
        <a:xfrm>
          <a:off x="5467350" y="1001985"/>
          <a:ext cx="2716268" cy="31376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de-AT" sz="1100" b="1" i="0" u="none" strike="noStrike" baseline="0">
              <a:solidFill>
                <a:srgbClr val="000000"/>
              </a:solidFill>
              <a:latin typeface="+mn-lt"/>
              <a:cs typeface="Arial"/>
            </a:rPr>
            <a:t>Anzahl der Stunden in</a:t>
          </a:r>
          <a:endParaRPr lang="de-AT" sz="1100" b="1">
            <a:latin typeface="+mn-lt"/>
          </a:endParaRPr>
        </a:p>
      </xdr:txBody>
    </xdr:sp>
    <xdr:clientData/>
  </xdr:oneCellAnchor>
  <xdr:twoCellAnchor>
    <xdr:from>
      <xdr:col>16</xdr:col>
      <xdr:colOff>345520</xdr:colOff>
      <xdr:row>2</xdr:row>
      <xdr:rowOff>342900</xdr:rowOff>
    </xdr:from>
    <xdr:to>
      <xdr:col>16</xdr:col>
      <xdr:colOff>345556</xdr:colOff>
      <xdr:row>3</xdr:row>
      <xdr:rowOff>349</xdr:rowOff>
    </xdr:to>
    <xdr:cxnSp macro="">
      <xdr:nvCxnSpPr>
        <xdr:cNvPr id="3" name="Gerade Verbindung mit Pfeil 2"/>
        <xdr:cNvCxnSpPr/>
      </xdr:nvCxnSpPr>
      <xdr:spPr>
        <a:xfrm flipH="1">
          <a:off x="10718245" y="914400"/>
          <a:ext cx="36" cy="765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340482</xdr:colOff>
      <xdr:row>2</xdr:row>
      <xdr:rowOff>344097</xdr:rowOff>
    </xdr:from>
    <xdr:to>
      <xdr:col>6</xdr:col>
      <xdr:colOff>340518</xdr:colOff>
      <xdr:row>2</xdr:row>
      <xdr:rowOff>417567</xdr:rowOff>
    </xdr:to>
    <xdr:cxnSp macro="">
      <xdr:nvCxnSpPr>
        <xdr:cNvPr id="4" name="Gerade Verbindung mit Pfeil 3"/>
        <xdr:cNvCxnSpPr/>
      </xdr:nvCxnSpPr>
      <xdr:spPr>
        <a:xfrm flipH="1" flipV="1">
          <a:off x="5141082"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339871</xdr:colOff>
      <xdr:row>2</xdr:row>
      <xdr:rowOff>163636</xdr:rowOff>
    </xdr:from>
    <xdr:to>
      <xdr:col>6</xdr:col>
      <xdr:colOff>339929</xdr:colOff>
      <xdr:row>2</xdr:row>
      <xdr:rowOff>372196</xdr:rowOff>
    </xdr:to>
    <xdr:cxnSp macro="">
      <xdr:nvCxnSpPr>
        <xdr:cNvPr id="5" name="Gerader Verbinder 4"/>
        <xdr:cNvCxnSpPr/>
      </xdr:nvCxnSpPr>
      <xdr:spPr>
        <a:xfrm flipH="1">
          <a:off x="5140471"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16</xdr:col>
      <xdr:colOff>345515</xdr:colOff>
      <xdr:row>2</xdr:row>
      <xdr:rowOff>155620</xdr:rowOff>
    </xdr:from>
    <xdr:to>
      <xdr:col>16</xdr:col>
      <xdr:colOff>346529</xdr:colOff>
      <xdr:row>2</xdr:row>
      <xdr:rowOff>334618</xdr:rowOff>
    </xdr:to>
    <xdr:cxnSp macro="">
      <xdr:nvCxnSpPr>
        <xdr:cNvPr id="6" name="Gerader Verbinder 5"/>
        <xdr:cNvCxnSpPr/>
      </xdr:nvCxnSpPr>
      <xdr:spPr>
        <a:xfrm>
          <a:off x="10718240" y="727120"/>
          <a:ext cx="1014" cy="178998"/>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340482</xdr:colOff>
      <xdr:row>2</xdr:row>
      <xdr:rowOff>344097</xdr:rowOff>
    </xdr:from>
    <xdr:to>
      <xdr:col>7</xdr:col>
      <xdr:colOff>340518</xdr:colOff>
      <xdr:row>2</xdr:row>
      <xdr:rowOff>417567</xdr:rowOff>
    </xdr:to>
    <xdr:cxnSp macro="">
      <xdr:nvCxnSpPr>
        <xdr:cNvPr id="7" name="Gerade Verbindung mit Pfeil 6"/>
        <xdr:cNvCxnSpPr/>
      </xdr:nvCxnSpPr>
      <xdr:spPr>
        <a:xfrm flipH="1" flipV="1">
          <a:off x="5817357"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339871</xdr:colOff>
      <xdr:row>2</xdr:row>
      <xdr:rowOff>163636</xdr:rowOff>
    </xdr:from>
    <xdr:to>
      <xdr:col>7</xdr:col>
      <xdr:colOff>339929</xdr:colOff>
      <xdr:row>2</xdr:row>
      <xdr:rowOff>372196</xdr:rowOff>
    </xdr:to>
    <xdr:cxnSp macro="">
      <xdr:nvCxnSpPr>
        <xdr:cNvPr id="8" name="Gerader Verbinder 7"/>
        <xdr:cNvCxnSpPr/>
      </xdr:nvCxnSpPr>
      <xdr:spPr>
        <a:xfrm flipH="1">
          <a:off x="5816746"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340482</xdr:colOff>
      <xdr:row>2</xdr:row>
      <xdr:rowOff>344097</xdr:rowOff>
    </xdr:from>
    <xdr:to>
      <xdr:col>8</xdr:col>
      <xdr:colOff>340518</xdr:colOff>
      <xdr:row>2</xdr:row>
      <xdr:rowOff>417567</xdr:rowOff>
    </xdr:to>
    <xdr:cxnSp macro="">
      <xdr:nvCxnSpPr>
        <xdr:cNvPr id="9" name="Gerade Verbindung mit Pfeil 8"/>
        <xdr:cNvCxnSpPr/>
      </xdr:nvCxnSpPr>
      <xdr:spPr>
        <a:xfrm flipH="1" flipV="1">
          <a:off x="6493632"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339871</xdr:colOff>
      <xdr:row>2</xdr:row>
      <xdr:rowOff>163636</xdr:rowOff>
    </xdr:from>
    <xdr:to>
      <xdr:col>8</xdr:col>
      <xdr:colOff>339929</xdr:colOff>
      <xdr:row>2</xdr:row>
      <xdr:rowOff>372196</xdr:rowOff>
    </xdr:to>
    <xdr:cxnSp macro="">
      <xdr:nvCxnSpPr>
        <xdr:cNvPr id="10" name="Gerader Verbinder 9"/>
        <xdr:cNvCxnSpPr/>
      </xdr:nvCxnSpPr>
      <xdr:spPr>
        <a:xfrm flipH="1">
          <a:off x="6493021"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340482</xdr:colOff>
      <xdr:row>2</xdr:row>
      <xdr:rowOff>344097</xdr:rowOff>
    </xdr:from>
    <xdr:to>
      <xdr:col>9</xdr:col>
      <xdr:colOff>340518</xdr:colOff>
      <xdr:row>2</xdr:row>
      <xdr:rowOff>417567</xdr:rowOff>
    </xdr:to>
    <xdr:cxnSp macro="">
      <xdr:nvCxnSpPr>
        <xdr:cNvPr id="11" name="Gerade Verbindung mit Pfeil 10"/>
        <xdr:cNvCxnSpPr/>
      </xdr:nvCxnSpPr>
      <xdr:spPr>
        <a:xfrm flipH="1" flipV="1">
          <a:off x="7169907"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339871</xdr:colOff>
      <xdr:row>2</xdr:row>
      <xdr:rowOff>163636</xdr:rowOff>
    </xdr:from>
    <xdr:to>
      <xdr:col>9</xdr:col>
      <xdr:colOff>339929</xdr:colOff>
      <xdr:row>2</xdr:row>
      <xdr:rowOff>372196</xdr:rowOff>
    </xdr:to>
    <xdr:cxnSp macro="">
      <xdr:nvCxnSpPr>
        <xdr:cNvPr id="12" name="Gerader Verbinder 11"/>
        <xdr:cNvCxnSpPr/>
      </xdr:nvCxnSpPr>
      <xdr:spPr>
        <a:xfrm flipH="1">
          <a:off x="7169296"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340482</xdr:colOff>
      <xdr:row>2</xdr:row>
      <xdr:rowOff>344097</xdr:rowOff>
    </xdr:from>
    <xdr:to>
      <xdr:col>10</xdr:col>
      <xdr:colOff>340518</xdr:colOff>
      <xdr:row>2</xdr:row>
      <xdr:rowOff>417567</xdr:rowOff>
    </xdr:to>
    <xdr:cxnSp macro="">
      <xdr:nvCxnSpPr>
        <xdr:cNvPr id="13" name="Gerade Verbindung mit Pfeil 12"/>
        <xdr:cNvCxnSpPr/>
      </xdr:nvCxnSpPr>
      <xdr:spPr>
        <a:xfrm flipH="1" flipV="1">
          <a:off x="7846182"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339871</xdr:colOff>
      <xdr:row>2</xdr:row>
      <xdr:rowOff>163636</xdr:rowOff>
    </xdr:from>
    <xdr:to>
      <xdr:col>10</xdr:col>
      <xdr:colOff>339929</xdr:colOff>
      <xdr:row>2</xdr:row>
      <xdr:rowOff>372196</xdr:rowOff>
    </xdr:to>
    <xdr:cxnSp macro="">
      <xdr:nvCxnSpPr>
        <xdr:cNvPr id="14" name="Gerader Verbinder 13"/>
        <xdr:cNvCxnSpPr/>
      </xdr:nvCxnSpPr>
      <xdr:spPr>
        <a:xfrm flipH="1">
          <a:off x="7845571"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340482</xdr:colOff>
      <xdr:row>2</xdr:row>
      <xdr:rowOff>344097</xdr:rowOff>
    </xdr:from>
    <xdr:to>
      <xdr:col>11</xdr:col>
      <xdr:colOff>340518</xdr:colOff>
      <xdr:row>2</xdr:row>
      <xdr:rowOff>417567</xdr:rowOff>
    </xdr:to>
    <xdr:cxnSp macro="">
      <xdr:nvCxnSpPr>
        <xdr:cNvPr id="15" name="Gerade Verbindung mit Pfeil 14"/>
        <xdr:cNvCxnSpPr/>
      </xdr:nvCxnSpPr>
      <xdr:spPr>
        <a:xfrm flipH="1" flipV="1">
          <a:off x="8522457"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339871</xdr:colOff>
      <xdr:row>2</xdr:row>
      <xdr:rowOff>163636</xdr:rowOff>
    </xdr:from>
    <xdr:to>
      <xdr:col>11</xdr:col>
      <xdr:colOff>339929</xdr:colOff>
      <xdr:row>2</xdr:row>
      <xdr:rowOff>372196</xdr:rowOff>
    </xdr:to>
    <xdr:cxnSp macro="">
      <xdr:nvCxnSpPr>
        <xdr:cNvPr id="16" name="Gerader Verbinder 15"/>
        <xdr:cNvCxnSpPr/>
      </xdr:nvCxnSpPr>
      <xdr:spPr>
        <a:xfrm flipH="1">
          <a:off x="8521846"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12</xdr:col>
      <xdr:colOff>340482</xdr:colOff>
      <xdr:row>2</xdr:row>
      <xdr:rowOff>344097</xdr:rowOff>
    </xdr:from>
    <xdr:to>
      <xdr:col>12</xdr:col>
      <xdr:colOff>340518</xdr:colOff>
      <xdr:row>2</xdr:row>
      <xdr:rowOff>417567</xdr:rowOff>
    </xdr:to>
    <xdr:cxnSp macro="">
      <xdr:nvCxnSpPr>
        <xdr:cNvPr id="17" name="Gerade Verbindung mit Pfeil 16"/>
        <xdr:cNvCxnSpPr/>
      </xdr:nvCxnSpPr>
      <xdr:spPr>
        <a:xfrm flipH="1" flipV="1">
          <a:off x="9198732"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339871</xdr:colOff>
      <xdr:row>2</xdr:row>
      <xdr:rowOff>163636</xdr:rowOff>
    </xdr:from>
    <xdr:to>
      <xdr:col>12</xdr:col>
      <xdr:colOff>339929</xdr:colOff>
      <xdr:row>2</xdr:row>
      <xdr:rowOff>372196</xdr:rowOff>
    </xdr:to>
    <xdr:cxnSp macro="">
      <xdr:nvCxnSpPr>
        <xdr:cNvPr id="18" name="Gerader Verbinder 17"/>
        <xdr:cNvCxnSpPr/>
      </xdr:nvCxnSpPr>
      <xdr:spPr>
        <a:xfrm flipH="1">
          <a:off x="9198121"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14</xdr:col>
      <xdr:colOff>340482</xdr:colOff>
      <xdr:row>2</xdr:row>
      <xdr:rowOff>344097</xdr:rowOff>
    </xdr:from>
    <xdr:to>
      <xdr:col>14</xdr:col>
      <xdr:colOff>340518</xdr:colOff>
      <xdr:row>2</xdr:row>
      <xdr:rowOff>417567</xdr:rowOff>
    </xdr:to>
    <xdr:cxnSp macro="">
      <xdr:nvCxnSpPr>
        <xdr:cNvPr id="19" name="Gerade Verbindung mit Pfeil 18"/>
        <xdr:cNvCxnSpPr/>
      </xdr:nvCxnSpPr>
      <xdr:spPr>
        <a:xfrm flipH="1" flipV="1">
          <a:off x="9951207" y="915597"/>
          <a:ext cx="36" cy="73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339871</xdr:colOff>
      <xdr:row>2</xdr:row>
      <xdr:rowOff>163636</xdr:rowOff>
    </xdr:from>
    <xdr:to>
      <xdr:col>14</xdr:col>
      <xdr:colOff>339929</xdr:colOff>
      <xdr:row>2</xdr:row>
      <xdr:rowOff>372196</xdr:rowOff>
    </xdr:to>
    <xdr:cxnSp macro="">
      <xdr:nvCxnSpPr>
        <xdr:cNvPr id="20" name="Gerader Verbinder 19"/>
        <xdr:cNvCxnSpPr/>
      </xdr:nvCxnSpPr>
      <xdr:spPr>
        <a:xfrm flipH="1">
          <a:off x="9950596" y="735136"/>
          <a:ext cx="58" cy="20856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341586</xdr:colOff>
      <xdr:row>2</xdr:row>
      <xdr:rowOff>151086</xdr:rowOff>
    </xdr:from>
    <xdr:to>
      <xdr:col>16</xdr:col>
      <xdr:colOff>348156</xdr:colOff>
      <xdr:row>2</xdr:row>
      <xdr:rowOff>164224</xdr:rowOff>
    </xdr:to>
    <xdr:cxnSp macro="">
      <xdr:nvCxnSpPr>
        <xdr:cNvPr id="21" name="Gerader Verbinder 20"/>
        <xdr:cNvCxnSpPr/>
      </xdr:nvCxnSpPr>
      <xdr:spPr>
        <a:xfrm flipH="1">
          <a:off x="5142186" y="722586"/>
          <a:ext cx="5578695" cy="13138"/>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51</xdr:row>
      <xdr:rowOff>0</xdr:rowOff>
    </xdr:from>
    <xdr:to>
      <xdr:col>1</xdr:col>
      <xdr:colOff>0</xdr:colOff>
      <xdr:row>51</xdr:row>
      <xdr:rowOff>0</xdr:rowOff>
    </xdr:to>
    <xdr:sp macro="" textlink="">
      <xdr:nvSpPr>
        <xdr:cNvPr id="2" name="Text 101">
          <a:extLst>
            <a:ext uri="{FF2B5EF4-FFF2-40B4-BE49-F238E27FC236}">
              <a16:creationId xmlns:a16="http://schemas.microsoft.com/office/drawing/2014/main" id="{87F18885-550A-4220-AA53-A162105EACAA}"/>
            </a:ext>
          </a:extLst>
        </xdr:cNvPr>
        <xdr:cNvSpPr txBox="1">
          <a:spLocks noChangeArrowheads="1"/>
        </xdr:cNvSpPr>
      </xdr:nvSpPr>
      <xdr:spPr bwMode="auto">
        <a:xfrm>
          <a:off x="45720" y="16878300"/>
          <a:ext cx="164973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de-AT" sz="600" b="0" i="0" u="none" strike="noStrike" baseline="0">
              <a:solidFill>
                <a:srgbClr val="000000"/>
              </a:solidFill>
              <a:latin typeface="Arial"/>
              <a:cs typeface="Arial"/>
            </a:rPr>
            <a:t>[ Anzahl bzw. allfälligen Namensvorschlag angeben !! ] </a:t>
          </a:r>
          <a:endParaRPr lang="de-AT"/>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178734</xdr:colOff>
      <xdr:row>3</xdr:row>
      <xdr:rowOff>224790</xdr:rowOff>
    </xdr:from>
    <xdr:to>
      <xdr:col>9</xdr:col>
      <xdr:colOff>759760</xdr:colOff>
      <xdr:row>3</xdr:row>
      <xdr:rowOff>666750</xdr:rowOff>
    </xdr:to>
    <xdr:sp macro="" textlink="">
      <xdr:nvSpPr>
        <xdr:cNvPr id="2" name="Text 111">
          <a:extLst>
            <a:ext uri="{FF2B5EF4-FFF2-40B4-BE49-F238E27FC236}">
              <a16:creationId xmlns:a16="http://schemas.microsoft.com/office/drawing/2014/main" id="{8E6C7718-6AD2-48D7-AC70-7F6936155E06}"/>
            </a:ext>
          </a:extLst>
        </xdr:cNvPr>
        <xdr:cNvSpPr txBox="1">
          <a:spLocks noChangeArrowheads="1"/>
        </xdr:cNvSpPr>
      </xdr:nvSpPr>
      <xdr:spPr bwMode="auto">
        <a:xfrm>
          <a:off x="7255809" y="1348740"/>
          <a:ext cx="1428751" cy="4419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de-AT" sz="1000" b="1" i="0" u="none" strike="noStrike" baseline="0">
              <a:solidFill>
                <a:srgbClr val="000000"/>
              </a:solidFill>
              <a:latin typeface="Arial"/>
              <a:cs typeface="Arial"/>
            </a:rPr>
            <a:t>sonstiger </a:t>
          </a:r>
          <a:r>
            <a:rPr lang="de-AT" sz="1000" b="0" i="0" u="none" strike="noStrike" baseline="0">
              <a:solidFill>
                <a:srgbClr val="000000"/>
              </a:solidFill>
              <a:latin typeface="Arial"/>
              <a:cs typeface="Arial"/>
            </a:rPr>
            <a:t>Unterricht</a:t>
          </a:r>
          <a:endParaRPr lang="de-AT"/>
        </a:p>
      </xdr:txBody>
    </xdr:sp>
    <xdr:clientData/>
  </xdr:twoCellAnchor>
  <xdr:oneCellAnchor>
    <xdr:from>
      <xdr:col>0</xdr:col>
      <xdr:colOff>37111</xdr:colOff>
      <xdr:row>37</xdr:row>
      <xdr:rowOff>257404</xdr:rowOff>
    </xdr:from>
    <xdr:ext cx="1407565" cy="342786"/>
    <xdr:sp macro="" textlink="">
      <xdr:nvSpPr>
        <xdr:cNvPr id="3" name="Textfeld 2">
          <a:extLst>
            <a:ext uri="{FF2B5EF4-FFF2-40B4-BE49-F238E27FC236}">
              <a16:creationId xmlns:a16="http://schemas.microsoft.com/office/drawing/2014/main" id="{232F3062-16B9-4C14-8155-263DD31A0BFD}"/>
            </a:ext>
          </a:extLst>
        </xdr:cNvPr>
        <xdr:cNvSpPr txBox="1"/>
      </xdr:nvSpPr>
      <xdr:spPr>
        <a:xfrm>
          <a:off x="37111" y="12916129"/>
          <a:ext cx="1407565" cy="342786"/>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lang="de-AT" sz="1600" i="1" u="sng"/>
            <a:t>Anmerkungen:</a:t>
          </a:r>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6</xdr:col>
      <xdr:colOff>76200</xdr:colOff>
      <xdr:row>4</xdr:row>
      <xdr:rowOff>28575</xdr:rowOff>
    </xdr:from>
    <xdr:ext cx="2895600" cy="436786"/>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2571750" y="962025"/>
          <a:ext cx="2895600" cy="43678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de-AT" sz="1100"/>
            <a:t> blau in Spalte D  = anders </a:t>
          </a:r>
          <a:r>
            <a:rPr lang="de-AT" sz="1100">
              <a:solidFill>
                <a:schemeClr val="dk1"/>
              </a:solidFill>
              <a:effectLst/>
              <a:latin typeface="+mn-lt"/>
              <a:ea typeface="+mn-ea"/>
              <a:cs typeface="+mn-cs"/>
            </a:rPr>
            <a:t>Bedarf : </a:t>
          </a:r>
          <a:r>
            <a:rPr lang="de-AT" sz="1100" baseline="0">
              <a:solidFill>
                <a:schemeClr val="dk1"/>
              </a:solidFill>
              <a:effectLst/>
              <a:latin typeface="+mn-lt"/>
              <a:ea typeface="+mn-ea"/>
              <a:cs typeface="+mn-cs"/>
            </a:rPr>
            <a:t>Schulstart</a:t>
          </a:r>
          <a:endParaRPr lang="de-AT" sz="1100" baseline="0"/>
        </a:p>
        <a:p>
          <a:r>
            <a:rPr lang="de-AT" sz="1100" baseline="0"/>
            <a:t> gelb in Spalte E  = jährlich prüfen/anpassen</a:t>
          </a:r>
          <a:endParaRPr lang="de-AT"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http://www2.vobs.at/ftp-pub/allgemein/formulare/GTS.PDF"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bildung-vbg.gv.at/unterricht/paedagogische-themen/Erstsprachenunterricht.html" TargetMode="External"/><Relationship Id="rId1" Type="http://schemas.openxmlformats.org/officeDocument/2006/relationships/hyperlink" Target="mailto:mustafa.can@bildung-vbg.gv.a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7030A0"/>
    <pageSetUpPr fitToPage="1"/>
  </sheetPr>
  <dimension ref="A1:W16"/>
  <sheetViews>
    <sheetView topLeftCell="C1" workbookViewId="0">
      <selection activeCell="C6" sqref="C6"/>
    </sheetView>
  </sheetViews>
  <sheetFormatPr baseColWidth="10" defaultColWidth="11.42578125" defaultRowHeight="15" x14ac:dyDescent="0.25"/>
  <cols>
    <col min="1" max="1" width="9.140625" style="499" bestFit="1" customWidth="1"/>
    <col min="2" max="2" width="19" style="511" customWidth="1"/>
    <col min="3" max="3" width="7.85546875" style="499" bestFit="1" customWidth="1"/>
    <col min="4" max="4" width="49.85546875" style="499" customWidth="1"/>
    <col min="5" max="5" width="9.140625" style="499" customWidth="1"/>
    <col min="6" max="6" width="6.5703125" style="499" customWidth="1"/>
    <col min="7" max="7" width="9.7109375" style="499" bestFit="1" customWidth="1"/>
    <col min="8" max="8" width="13.140625" style="499" bestFit="1" customWidth="1"/>
    <col min="9" max="9" width="9.7109375" style="499" customWidth="1"/>
    <col min="10" max="10" width="31.7109375" style="499" bestFit="1" customWidth="1"/>
    <col min="11" max="11" width="31.7109375" style="499" customWidth="1"/>
    <col min="12" max="12" width="9.140625" style="499" bestFit="1" customWidth="1"/>
    <col min="13" max="14" width="7.85546875" style="499" customWidth="1"/>
    <col min="15" max="16" width="9.7109375" style="499" customWidth="1"/>
    <col min="17" max="16384" width="11.42578125" style="499"/>
  </cols>
  <sheetData>
    <row r="1" spans="1:23" ht="18.75" x14ac:dyDescent="0.3">
      <c r="B1" s="500" t="s">
        <v>311</v>
      </c>
      <c r="D1" s="501" t="e">
        <f>SUBTOTAL(103,#REF!)</f>
        <v>#REF!</v>
      </c>
      <c r="F1" s="502" t="e">
        <f>SUBTOTAL(101,#REF!)</f>
        <v>#REF!</v>
      </c>
      <c r="N1" s="503"/>
      <c r="O1" s="499" t="s">
        <v>312</v>
      </c>
      <c r="P1" s="504">
        <v>108</v>
      </c>
      <c r="S1" s="505" t="s">
        <v>313</v>
      </c>
      <c r="W1" s="95" t="s">
        <v>250</v>
      </c>
    </row>
    <row r="2" spans="1:23" ht="29.25" customHeight="1" x14ac:dyDescent="0.25">
      <c r="A2" s="506" t="s">
        <v>314</v>
      </c>
      <c r="B2" s="506"/>
      <c r="C2" s="506" t="s">
        <v>0</v>
      </c>
      <c r="D2" s="506" t="s">
        <v>315</v>
      </c>
      <c r="E2" s="507" t="s">
        <v>316</v>
      </c>
      <c r="F2" s="508" t="s">
        <v>317</v>
      </c>
      <c r="G2" s="506" t="s">
        <v>318</v>
      </c>
      <c r="H2" s="507" t="s">
        <v>319</v>
      </c>
      <c r="I2" s="507" t="s">
        <v>320</v>
      </c>
      <c r="J2" s="507" t="s">
        <v>321</v>
      </c>
      <c r="K2" s="507" t="s">
        <v>322</v>
      </c>
      <c r="L2" s="506"/>
      <c r="M2" s="507" t="s">
        <v>323</v>
      </c>
      <c r="N2" s="507" t="s">
        <v>324</v>
      </c>
      <c r="O2" s="507" t="s">
        <v>325</v>
      </c>
      <c r="P2" s="509">
        <v>6.3330000000000001E-3</v>
      </c>
      <c r="Q2" s="510" t="s">
        <v>326</v>
      </c>
    </row>
    <row r="3" spans="1:23" x14ac:dyDescent="0.25">
      <c r="A3" s="512" t="s">
        <v>327</v>
      </c>
      <c r="B3" s="513">
        <v>0</v>
      </c>
      <c r="C3" s="747">
        <v>0</v>
      </c>
      <c r="D3" s="747">
        <v>0</v>
      </c>
      <c r="E3" s="747"/>
      <c r="F3" s="748"/>
      <c r="G3" s="747">
        <v>0</v>
      </c>
      <c r="H3" s="747">
        <v>0</v>
      </c>
      <c r="I3" s="747" t="s">
        <v>328</v>
      </c>
      <c r="J3" s="747"/>
      <c r="K3" s="747"/>
      <c r="L3" s="747"/>
      <c r="M3" s="747"/>
      <c r="N3" s="747"/>
      <c r="O3" s="747"/>
      <c r="P3" s="749"/>
      <c r="Q3" s="749"/>
    </row>
    <row r="4" spans="1:23" x14ac:dyDescent="0.25">
      <c r="A4" s="512" t="s">
        <v>327</v>
      </c>
      <c r="B4" s="513"/>
      <c r="C4" s="750">
        <v>801014</v>
      </c>
      <c r="D4" s="747"/>
      <c r="E4" s="747"/>
      <c r="F4" s="748"/>
      <c r="G4" s="747"/>
      <c r="H4" s="747"/>
      <c r="I4" s="747" t="s">
        <v>328</v>
      </c>
      <c r="J4" s="751" t="s">
        <v>339</v>
      </c>
      <c r="K4" s="749" t="s">
        <v>329</v>
      </c>
      <c r="L4" s="747"/>
      <c r="M4" s="747" t="s">
        <v>329</v>
      </c>
      <c r="N4" s="747">
        <v>-0.5</v>
      </c>
      <c r="O4" s="747"/>
      <c r="P4" s="749"/>
      <c r="Q4" s="749"/>
    </row>
    <row r="5" spans="1:23" x14ac:dyDescent="0.25">
      <c r="A5" s="512" t="s">
        <v>327</v>
      </c>
      <c r="B5" s="513"/>
      <c r="C5" s="750">
        <v>801024</v>
      </c>
      <c r="D5" s="747"/>
      <c r="E5" s="747"/>
      <c r="F5" s="748"/>
      <c r="G5" s="747"/>
      <c r="H5" s="747"/>
      <c r="I5" s="747" t="s">
        <v>328</v>
      </c>
      <c r="J5" s="751" t="s">
        <v>339</v>
      </c>
      <c r="K5" s="788" t="s">
        <v>340</v>
      </c>
      <c r="L5" s="747"/>
      <c r="M5" s="747" t="s">
        <v>329</v>
      </c>
      <c r="N5" s="747"/>
      <c r="O5" s="747"/>
      <c r="P5" s="749"/>
      <c r="Q5" s="749"/>
    </row>
    <row r="6" spans="1:23" x14ac:dyDescent="0.25">
      <c r="A6" s="512" t="s">
        <v>327</v>
      </c>
      <c r="B6" s="513"/>
      <c r="C6" s="750">
        <v>801044</v>
      </c>
      <c r="D6" s="747"/>
      <c r="E6" s="747"/>
      <c r="F6" s="748"/>
      <c r="G6" s="747"/>
      <c r="H6" s="747"/>
      <c r="I6" s="747" t="s">
        <v>328</v>
      </c>
      <c r="J6" s="751" t="s">
        <v>339</v>
      </c>
      <c r="K6" s="749" t="s">
        <v>330</v>
      </c>
      <c r="L6" s="747"/>
      <c r="M6" s="747" t="s">
        <v>329</v>
      </c>
      <c r="N6" s="747"/>
      <c r="O6" s="747"/>
      <c r="P6" s="749"/>
      <c r="Q6" s="749"/>
    </row>
    <row r="7" spans="1:23" x14ac:dyDescent="0.25">
      <c r="A7" s="512" t="s">
        <v>327</v>
      </c>
      <c r="B7" s="513"/>
      <c r="C7" s="750">
        <v>802014</v>
      </c>
      <c r="D7" s="747"/>
      <c r="E7" s="747"/>
      <c r="F7" s="748"/>
      <c r="G7" s="747"/>
      <c r="H7" s="747"/>
      <c r="I7" s="747" t="s">
        <v>328</v>
      </c>
      <c r="J7" s="751" t="s">
        <v>339</v>
      </c>
      <c r="K7" s="749" t="s">
        <v>331</v>
      </c>
      <c r="L7" s="747"/>
      <c r="M7" s="751" t="s">
        <v>331</v>
      </c>
      <c r="N7" s="747"/>
      <c r="O7" s="751" t="s">
        <v>341</v>
      </c>
      <c r="P7" s="749"/>
      <c r="Q7" s="749"/>
    </row>
    <row r="8" spans="1:23" x14ac:dyDescent="0.25">
      <c r="A8" s="512" t="s">
        <v>327</v>
      </c>
      <c r="B8" s="513"/>
      <c r="C8" s="750">
        <v>802024</v>
      </c>
      <c r="D8" s="747"/>
      <c r="E8" s="747"/>
      <c r="F8" s="748"/>
      <c r="G8" s="747"/>
      <c r="H8" s="747"/>
      <c r="I8" s="747" t="s">
        <v>328</v>
      </c>
      <c r="J8" s="751" t="s">
        <v>339</v>
      </c>
      <c r="K8" s="749" t="s">
        <v>332</v>
      </c>
      <c r="L8" s="747"/>
      <c r="M8" s="751" t="s">
        <v>331</v>
      </c>
      <c r="N8" s="747"/>
      <c r="O8" s="747"/>
      <c r="P8" s="749"/>
      <c r="Q8" s="749"/>
    </row>
    <row r="9" spans="1:23" x14ac:dyDescent="0.25">
      <c r="A9" s="512" t="s">
        <v>327</v>
      </c>
      <c r="B9" s="513"/>
      <c r="C9" s="750">
        <v>802034</v>
      </c>
      <c r="D9" s="747"/>
      <c r="E9" s="747"/>
      <c r="F9" s="748"/>
      <c r="G9" s="747"/>
      <c r="H9" s="747"/>
      <c r="I9" s="747" t="s">
        <v>328</v>
      </c>
      <c r="J9" s="751" t="s">
        <v>339</v>
      </c>
      <c r="K9" s="749" t="s">
        <v>334</v>
      </c>
      <c r="L9" s="747"/>
      <c r="M9" s="751" t="s">
        <v>331</v>
      </c>
      <c r="N9" s="747"/>
      <c r="O9" s="747"/>
      <c r="P9" s="749"/>
      <c r="Q9" s="749"/>
    </row>
    <row r="10" spans="1:23" x14ac:dyDescent="0.25">
      <c r="A10" s="512" t="s">
        <v>327</v>
      </c>
      <c r="B10" s="513"/>
      <c r="C10" s="514">
        <v>802122</v>
      </c>
      <c r="D10" s="747"/>
      <c r="E10" s="747"/>
      <c r="F10" s="748"/>
      <c r="G10" s="747"/>
      <c r="H10" s="747"/>
      <c r="I10" s="747" t="s">
        <v>328</v>
      </c>
      <c r="J10" s="751" t="s">
        <v>339</v>
      </c>
      <c r="K10" s="515" t="s">
        <v>333</v>
      </c>
      <c r="L10" s="747"/>
      <c r="M10" s="751" t="s">
        <v>331</v>
      </c>
      <c r="N10" s="747"/>
      <c r="O10" s="747"/>
      <c r="P10" s="749"/>
      <c r="Q10" s="749"/>
    </row>
    <row r="11" spans="1:23" x14ac:dyDescent="0.25">
      <c r="A11" s="512" t="s">
        <v>327</v>
      </c>
      <c r="B11" s="513"/>
      <c r="C11" s="514">
        <v>802212</v>
      </c>
      <c r="D11" s="747"/>
      <c r="E11" s="747"/>
      <c r="F11" s="748"/>
      <c r="G11" s="747"/>
      <c r="H11" s="747"/>
      <c r="I11" s="747" t="s">
        <v>328</v>
      </c>
      <c r="J11" s="751" t="s">
        <v>339</v>
      </c>
      <c r="K11" s="515" t="s">
        <v>335</v>
      </c>
      <c r="L11" s="747"/>
      <c r="M11" s="751" t="s">
        <v>331</v>
      </c>
      <c r="N11" s="747"/>
      <c r="O11" s="747"/>
      <c r="P11" s="749"/>
      <c r="Q11" s="749"/>
    </row>
    <row r="12" spans="1:23" x14ac:dyDescent="0.25">
      <c r="A12" s="512" t="s">
        <v>327</v>
      </c>
      <c r="B12" s="513"/>
      <c r="C12" s="750">
        <v>803014</v>
      </c>
      <c r="D12" s="747"/>
      <c r="E12" s="747"/>
      <c r="F12" s="748"/>
      <c r="G12" s="747"/>
      <c r="H12" s="747"/>
      <c r="I12" s="747" t="s">
        <v>328</v>
      </c>
      <c r="J12" s="751" t="s">
        <v>339</v>
      </c>
      <c r="K12" s="749" t="s">
        <v>336</v>
      </c>
      <c r="L12" s="747"/>
      <c r="M12" s="751" t="s">
        <v>336</v>
      </c>
      <c r="N12" s="747">
        <v>-0.5</v>
      </c>
      <c r="O12" s="751" t="s">
        <v>341</v>
      </c>
      <c r="P12" s="749"/>
      <c r="Q12" s="749"/>
    </row>
    <row r="13" spans="1:23" x14ac:dyDescent="0.25">
      <c r="A13" s="512" t="s">
        <v>327</v>
      </c>
      <c r="B13" s="513"/>
      <c r="C13" s="750">
        <v>804024</v>
      </c>
      <c r="D13" s="747"/>
      <c r="E13" s="747"/>
      <c r="F13" s="748"/>
      <c r="G13" s="747"/>
      <c r="H13" s="747"/>
      <c r="I13" s="747" t="s">
        <v>328</v>
      </c>
      <c r="J13" s="751" t="s">
        <v>339</v>
      </c>
      <c r="K13" s="749" t="s">
        <v>338</v>
      </c>
      <c r="L13" s="747"/>
      <c r="M13" s="751" t="s">
        <v>337</v>
      </c>
      <c r="N13" s="747"/>
      <c r="O13" s="747"/>
      <c r="P13" s="749"/>
      <c r="Q13" s="749"/>
    </row>
    <row r="14" spans="1:23" x14ac:dyDescent="0.25">
      <c r="A14" s="512" t="s">
        <v>327</v>
      </c>
      <c r="B14" s="513"/>
      <c r="C14" s="750">
        <v>804064</v>
      </c>
      <c r="D14" s="747"/>
      <c r="E14" s="747"/>
      <c r="F14" s="748"/>
      <c r="G14" s="747"/>
      <c r="H14" s="747"/>
      <c r="I14" s="747" t="s">
        <v>328</v>
      </c>
      <c r="J14" s="751" t="s">
        <v>339</v>
      </c>
      <c r="K14" s="749" t="s">
        <v>337</v>
      </c>
      <c r="L14" s="747"/>
      <c r="M14" s="751" t="s">
        <v>337</v>
      </c>
      <c r="N14" s="747"/>
      <c r="O14" s="747"/>
      <c r="P14" s="749"/>
      <c r="Q14" s="749"/>
    </row>
    <row r="15" spans="1:23" x14ac:dyDescent="0.25">
      <c r="C15" s="749"/>
      <c r="D15" s="749"/>
      <c r="E15" s="749"/>
      <c r="F15" s="749"/>
      <c r="G15" s="749"/>
      <c r="H15" s="749"/>
      <c r="I15" s="749"/>
      <c r="J15" s="749"/>
      <c r="K15" s="749"/>
      <c r="L15" s="749"/>
      <c r="M15" s="749"/>
      <c r="N15" s="749"/>
      <c r="O15" s="749"/>
      <c r="P15" s="749"/>
      <c r="Q15" s="749"/>
    </row>
    <row r="16" spans="1:23" x14ac:dyDescent="0.25">
      <c r="C16" s="749"/>
      <c r="D16" s="749"/>
      <c r="E16" s="749"/>
      <c r="F16" s="749"/>
      <c r="G16" s="749"/>
      <c r="H16" s="749"/>
      <c r="I16" s="749"/>
      <c r="J16" s="749"/>
      <c r="K16" s="749"/>
      <c r="L16" s="749"/>
      <c r="M16" s="749"/>
      <c r="N16" s="749"/>
      <c r="O16" s="749"/>
      <c r="P16" s="749"/>
      <c r="Q16" s="749"/>
    </row>
  </sheetData>
  <sheetProtection algorithmName="SHA-512" hashValue="IYhpqcUBE3nQEb59e9T3kcO+ju2AHLlId+q6LcKvDkPO3WUm3gp2w4GvKuX4VhQthHSUx7GPp0hB7bgu6LqrkA==" saltValue="ChN98DeJKBsPrU11a8f3Tw==" spinCount="100000" sheet="1" formatRows="0"/>
  <autoFilter ref="A2:I2"/>
  <pageMargins left="0.54" right="0.3" top="0.62" bottom="0.56999999999999995" header="0.31496062992125984" footer="0.31496062992125984"/>
  <pageSetup paperSize="9" scale="95" fitToHeight="0"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7030A0"/>
  </sheetPr>
  <dimension ref="A1:O320"/>
  <sheetViews>
    <sheetView workbookViewId="0">
      <selection activeCell="A2" sqref="A2"/>
    </sheetView>
  </sheetViews>
  <sheetFormatPr baseColWidth="10" defaultRowHeight="15" x14ac:dyDescent="0.25"/>
  <cols>
    <col min="1" max="1" width="1.28515625" customWidth="1"/>
    <col min="2" max="2" width="6.42578125" customWidth="1"/>
    <col min="3" max="3" width="11.42578125" customWidth="1"/>
    <col min="4" max="5" width="2.85546875" customWidth="1"/>
    <col min="12" max="12" width="6.85546875" customWidth="1"/>
    <col min="13" max="13" width="9.42578125" customWidth="1"/>
  </cols>
  <sheetData>
    <row r="1" spans="1:15" ht="23.25" x14ac:dyDescent="0.35">
      <c r="A1" s="216" t="s">
        <v>247</v>
      </c>
      <c r="B1" t="s">
        <v>211</v>
      </c>
      <c r="E1" s="366"/>
    </row>
    <row r="2" spans="1:15" ht="26.25" x14ac:dyDescent="0.4">
      <c r="A2" s="21"/>
      <c r="B2" t="s">
        <v>210</v>
      </c>
      <c r="D2" s="367"/>
      <c r="H2" s="372"/>
      <c r="I2" s="372"/>
      <c r="J2" s="372"/>
      <c r="K2" s="372"/>
      <c r="L2" s="372"/>
      <c r="M2" s="385" t="s">
        <v>248</v>
      </c>
      <c r="N2" s="383" t="s">
        <v>245</v>
      </c>
      <c r="O2" s="375" t="s">
        <v>246</v>
      </c>
    </row>
    <row r="3" spans="1:15" x14ac:dyDescent="0.25">
      <c r="B3" t="s">
        <v>209</v>
      </c>
      <c r="D3" s="367"/>
      <c r="E3" s="366"/>
    </row>
    <row r="4" spans="1:15" ht="9.75" customHeight="1" x14ac:dyDescent="0.25">
      <c r="B4" s="372" t="s">
        <v>208</v>
      </c>
    </row>
    <row r="6" spans="1:15" ht="18.75" x14ac:dyDescent="0.3">
      <c r="A6" s="3"/>
      <c r="B6" t="s">
        <v>215</v>
      </c>
    </row>
    <row r="7" spans="1:15" x14ac:dyDescent="0.25">
      <c r="B7" t="s">
        <v>207</v>
      </c>
    </row>
    <row r="8" spans="1:15" x14ac:dyDescent="0.25">
      <c r="M8" s="371" t="s">
        <v>249</v>
      </c>
    </row>
    <row r="11" spans="1:15" ht="21" x14ac:dyDescent="0.35">
      <c r="A11" s="8"/>
      <c r="G11" s="386" t="s">
        <v>216</v>
      </c>
    </row>
    <row r="12" spans="1:15" ht="18.75" x14ac:dyDescent="0.3">
      <c r="A12" s="3"/>
      <c r="B12" t="s">
        <v>213</v>
      </c>
      <c r="G12" s="387" t="s">
        <v>217</v>
      </c>
    </row>
    <row r="13" spans="1:15" x14ac:dyDescent="0.25">
      <c r="C13" s="22" t="s">
        <v>237</v>
      </c>
    </row>
    <row r="15" spans="1:15" ht="18.75" x14ac:dyDescent="0.3">
      <c r="A15" s="3"/>
      <c r="C15" s="373" t="s">
        <v>206</v>
      </c>
    </row>
    <row r="16" spans="1:15" x14ac:dyDescent="0.25">
      <c r="A16" s="63"/>
      <c r="B16" t="s">
        <v>212</v>
      </c>
    </row>
    <row r="17" spans="1:9" x14ac:dyDescent="0.25">
      <c r="C17" t="s">
        <v>205</v>
      </c>
      <c r="I17" t="s">
        <v>204</v>
      </c>
    </row>
    <row r="18" spans="1:9" ht="15.75" x14ac:dyDescent="0.25">
      <c r="A18" s="52"/>
      <c r="B18" t="s">
        <v>218</v>
      </c>
    </row>
    <row r="19" spans="1:9" ht="15.75" x14ac:dyDescent="0.25">
      <c r="A19" s="52"/>
      <c r="B19" t="s">
        <v>203</v>
      </c>
    </row>
    <row r="20" spans="1:9" ht="21" x14ac:dyDescent="0.35">
      <c r="A20" s="8"/>
      <c r="B20" t="s">
        <v>219</v>
      </c>
    </row>
    <row r="21" spans="1:9" ht="23.25" x14ac:dyDescent="0.35">
      <c r="A21" s="214"/>
      <c r="B21" s="211"/>
    </row>
    <row r="22" spans="1:9" ht="21" x14ac:dyDescent="0.35">
      <c r="A22" s="8"/>
      <c r="B22" t="s">
        <v>202</v>
      </c>
      <c r="I22" t="s">
        <v>201</v>
      </c>
    </row>
    <row r="23" spans="1:9" ht="15.75" x14ac:dyDescent="0.25">
      <c r="A23" s="52"/>
      <c r="C23" t="s">
        <v>221</v>
      </c>
    </row>
    <row r="24" spans="1:9" ht="15.75" x14ac:dyDescent="0.25">
      <c r="A24" s="52"/>
      <c r="E24" s="357" t="s">
        <v>238</v>
      </c>
      <c r="F24" t="s">
        <v>242</v>
      </c>
    </row>
    <row r="25" spans="1:9" ht="15.75" x14ac:dyDescent="0.25">
      <c r="A25" s="52"/>
      <c r="F25" t="s">
        <v>240</v>
      </c>
    </row>
    <row r="26" spans="1:9" ht="15.75" x14ac:dyDescent="0.25">
      <c r="A26" s="52"/>
      <c r="F26" t="s">
        <v>239</v>
      </c>
    </row>
    <row r="27" spans="1:9" ht="15.75" x14ac:dyDescent="0.25">
      <c r="A27" s="52"/>
      <c r="F27" t="s">
        <v>241</v>
      </c>
    </row>
    <row r="28" spans="1:9" ht="15.75" x14ac:dyDescent="0.25">
      <c r="A28" s="52"/>
    </row>
    <row r="29" spans="1:9" ht="15.75" x14ac:dyDescent="0.25">
      <c r="A29" s="52"/>
      <c r="B29" t="s">
        <v>200</v>
      </c>
    </row>
    <row r="30" spans="1:9" ht="15.75" x14ac:dyDescent="0.25">
      <c r="A30" s="52"/>
    </row>
    <row r="31" spans="1:9" ht="15.75" x14ac:dyDescent="0.25">
      <c r="A31" s="52"/>
      <c r="B31" t="s">
        <v>199</v>
      </c>
    </row>
    <row r="32" spans="1:9" ht="6" customHeight="1" x14ac:dyDescent="0.25"/>
    <row r="33" spans="1:6" ht="17.25" x14ac:dyDescent="0.3">
      <c r="A33" s="65"/>
    </row>
    <row r="34" spans="1:6" ht="4.5" customHeight="1" x14ac:dyDescent="0.25"/>
    <row r="35" spans="1:6" x14ac:dyDescent="0.25">
      <c r="B35" t="s">
        <v>222</v>
      </c>
    </row>
    <row r="36" spans="1:6" ht="15.75" x14ac:dyDescent="0.25">
      <c r="A36" s="52"/>
      <c r="B36" t="s">
        <v>198</v>
      </c>
    </row>
    <row r="38" spans="1:6" ht="18.75" x14ac:dyDescent="0.3">
      <c r="A38" s="234"/>
      <c r="B38" t="s">
        <v>223</v>
      </c>
    </row>
    <row r="39" spans="1:6" ht="15.75" x14ac:dyDescent="0.25">
      <c r="A39" s="52"/>
    </row>
    <row r="40" spans="1:6" ht="15.75" x14ac:dyDescent="0.25">
      <c r="A40" s="52"/>
      <c r="B40" t="s">
        <v>197</v>
      </c>
      <c r="D40" s="367"/>
    </row>
    <row r="41" spans="1:6" ht="18" customHeight="1" x14ac:dyDescent="0.3">
      <c r="A41" s="3"/>
      <c r="F41" t="s">
        <v>224</v>
      </c>
    </row>
    <row r="42" spans="1:6" ht="18.75" x14ac:dyDescent="0.3">
      <c r="A42" s="3"/>
    </row>
    <row r="43" spans="1:6" x14ac:dyDescent="0.25">
      <c r="A43" s="63"/>
    </row>
    <row r="44" spans="1:6" ht="18.75" x14ac:dyDescent="0.3">
      <c r="A44" s="3"/>
      <c r="B44" t="s">
        <v>225</v>
      </c>
    </row>
    <row r="45" spans="1:6" x14ac:dyDescent="0.25">
      <c r="C45" t="s">
        <v>196</v>
      </c>
    </row>
    <row r="46" spans="1:6" ht="18.75" x14ac:dyDescent="0.3">
      <c r="A46" s="211"/>
      <c r="B46" s="211"/>
    </row>
    <row r="47" spans="1:6" ht="5.25" customHeight="1" x14ac:dyDescent="0.25">
      <c r="A47" s="93"/>
    </row>
    <row r="48" spans="1:6" ht="15.75" x14ac:dyDescent="0.25">
      <c r="A48" s="217"/>
    </row>
    <row r="49" spans="1:3" ht="15.75" x14ac:dyDescent="0.25">
      <c r="A49" s="217"/>
    </row>
    <row r="50" spans="1:3" ht="15.75" x14ac:dyDescent="0.25">
      <c r="A50" s="217"/>
      <c r="B50" t="s">
        <v>226</v>
      </c>
    </row>
    <row r="52" spans="1:3" ht="15.75" x14ac:dyDescent="0.25">
      <c r="A52" s="217"/>
      <c r="B52" t="s">
        <v>195</v>
      </c>
    </row>
    <row r="53" spans="1:3" ht="12.75" customHeight="1" x14ac:dyDescent="0.25">
      <c r="A53" s="93"/>
    </row>
    <row r="54" spans="1:3" ht="5.25" customHeight="1" x14ac:dyDescent="0.25"/>
    <row r="55" spans="1:3" x14ac:dyDescent="0.25">
      <c r="A55" s="93"/>
      <c r="B55" t="s">
        <v>227</v>
      </c>
    </row>
    <row r="56" spans="1:3" ht="6.75" customHeight="1" x14ac:dyDescent="0.25">
      <c r="A56" s="93"/>
    </row>
    <row r="57" spans="1:3" x14ac:dyDescent="0.25">
      <c r="A57" s="93"/>
      <c r="B57" t="s">
        <v>194</v>
      </c>
    </row>
    <row r="58" spans="1:3" x14ac:dyDescent="0.25">
      <c r="A58" s="93"/>
      <c r="B58" t="s">
        <v>193</v>
      </c>
    </row>
    <row r="59" spans="1:3" x14ac:dyDescent="0.25">
      <c r="A59" s="93"/>
      <c r="C59" t="s">
        <v>192</v>
      </c>
    </row>
    <row r="61" spans="1:3" x14ac:dyDescent="0.25">
      <c r="A61" s="93"/>
      <c r="B61" t="s">
        <v>191</v>
      </c>
    </row>
    <row r="62" spans="1:3" ht="15.75" x14ac:dyDescent="0.25">
      <c r="A62" s="217"/>
      <c r="B62" s="252" t="s">
        <v>190</v>
      </c>
    </row>
    <row r="63" spans="1:3" ht="10.5" customHeight="1" x14ac:dyDescent="0.25"/>
    <row r="64" spans="1:3" ht="18.75" x14ac:dyDescent="0.3">
      <c r="A64" s="211"/>
      <c r="B64" s="211"/>
    </row>
    <row r="65" spans="1:8" ht="6" customHeight="1" x14ac:dyDescent="0.25">
      <c r="A65" s="93"/>
    </row>
    <row r="66" spans="1:8" ht="13.5" customHeight="1" x14ac:dyDescent="0.25">
      <c r="D66" s="367"/>
    </row>
    <row r="67" spans="1:8" ht="13.5" customHeight="1" x14ac:dyDescent="0.25"/>
    <row r="68" spans="1:8" ht="45" customHeight="1" x14ac:dyDescent="0.25"/>
    <row r="69" spans="1:8" ht="18.75" x14ac:dyDescent="0.3">
      <c r="A69" s="234"/>
      <c r="B69" s="381" t="s">
        <v>244</v>
      </c>
    </row>
    <row r="70" spans="1:8" ht="8.25" customHeight="1" x14ac:dyDescent="0.25">
      <c r="A70" s="93"/>
    </row>
    <row r="71" spans="1:8" x14ac:dyDescent="0.25">
      <c r="D71" s="367"/>
      <c r="E71" s="366"/>
      <c r="H71" s="382" t="s">
        <v>243</v>
      </c>
    </row>
    <row r="72" spans="1:8" ht="15.75" x14ac:dyDescent="0.25">
      <c r="A72" s="52"/>
    </row>
    <row r="73" spans="1:8" ht="15.75" x14ac:dyDescent="0.25">
      <c r="A73" s="52"/>
    </row>
    <row r="74" spans="1:8" ht="15.75" x14ac:dyDescent="0.25">
      <c r="A74" s="52"/>
    </row>
    <row r="76" spans="1:8" ht="31.5" customHeight="1" x14ac:dyDescent="0.25">
      <c r="A76" s="93"/>
    </row>
    <row r="77" spans="1:8" x14ac:dyDescent="0.25">
      <c r="A77" s="365"/>
      <c r="B77" t="s">
        <v>189</v>
      </c>
    </row>
    <row r="80" spans="1:8" ht="15.75" x14ac:dyDescent="0.25">
      <c r="A80" s="52"/>
    </row>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100" spans="1:11" ht="24.75" x14ac:dyDescent="0.4">
      <c r="A100" s="370"/>
      <c r="B100" s="352"/>
      <c r="C100" s="352"/>
      <c r="D100" s="352"/>
      <c r="E100" s="352"/>
      <c r="F100" s="352"/>
      <c r="G100" s="352"/>
      <c r="H100" s="352"/>
      <c r="I100" s="352"/>
      <c r="J100" s="352"/>
      <c r="K100" s="352"/>
    </row>
    <row r="101" spans="1:11" ht="31.5" x14ac:dyDescent="0.5">
      <c r="A101" s="99" t="s">
        <v>60</v>
      </c>
      <c r="D101" s="367"/>
    </row>
    <row r="102" spans="1:11" ht="12" customHeight="1" x14ac:dyDescent="0.25"/>
    <row r="103" spans="1:11" x14ac:dyDescent="0.25">
      <c r="B103" t="s">
        <v>188</v>
      </c>
    </row>
    <row r="104" spans="1:11" x14ac:dyDescent="0.25">
      <c r="C104" s="379" t="s">
        <v>187</v>
      </c>
    </row>
    <row r="105" spans="1:11" ht="20.25" customHeight="1" x14ac:dyDescent="0.25">
      <c r="C105" s="380" t="s">
        <v>186</v>
      </c>
    </row>
    <row r="106" spans="1:11" ht="18" customHeight="1" x14ac:dyDescent="0.25">
      <c r="B106" t="s">
        <v>185</v>
      </c>
    </row>
    <row r="107" spans="1:11" ht="16.5" customHeight="1" x14ac:dyDescent="0.25"/>
    <row r="109" spans="1:11" ht="7.5" customHeight="1" x14ac:dyDescent="0.25"/>
    <row r="110" spans="1:11" ht="20.25" customHeight="1" x14ac:dyDescent="0.25"/>
    <row r="114" spans="2:13" ht="18" customHeight="1" x14ac:dyDescent="0.25"/>
    <row r="119" spans="2:13" ht="6.75" customHeight="1" x14ac:dyDescent="0.25"/>
    <row r="120" spans="2:13" ht="6.75" customHeight="1" x14ac:dyDescent="0.25"/>
    <row r="121" spans="2:13" ht="6.75" customHeight="1" x14ac:dyDescent="0.25"/>
    <row r="122" spans="2:13" ht="6.75" customHeight="1" x14ac:dyDescent="0.25"/>
    <row r="123" spans="2:13" ht="14.25" customHeight="1" x14ac:dyDescent="0.25"/>
    <row r="126" spans="2:13" ht="36.75" customHeight="1" x14ac:dyDescent="0.25">
      <c r="B126" t="s">
        <v>184</v>
      </c>
    </row>
    <row r="127" spans="2:13" ht="23.25" customHeight="1" x14ac:dyDescent="0.25">
      <c r="B127" t="s">
        <v>183</v>
      </c>
      <c r="C127" s="4"/>
      <c r="M127" s="371" t="s">
        <v>182</v>
      </c>
    </row>
    <row r="128" spans="2:13" ht="13.5" customHeight="1" x14ac:dyDescent="0.25"/>
    <row r="129" spans="2:12" ht="27.75" customHeight="1" x14ac:dyDescent="0.25"/>
    <row r="130" spans="2:12" hidden="1" x14ac:dyDescent="0.25"/>
    <row r="131" spans="2:12" hidden="1" x14ac:dyDescent="0.25"/>
    <row r="132" spans="2:12" hidden="1" x14ac:dyDescent="0.25"/>
    <row r="133" spans="2:12" hidden="1" x14ac:dyDescent="0.25"/>
    <row r="134" spans="2:12" hidden="1" x14ac:dyDescent="0.25"/>
    <row r="135" spans="2:12" hidden="1" x14ac:dyDescent="0.25"/>
    <row r="136" spans="2:12" hidden="1" x14ac:dyDescent="0.25"/>
    <row r="137" spans="2:12" ht="11.25" customHeight="1" x14ac:dyDescent="0.25"/>
    <row r="138" spans="2:12" ht="21" customHeight="1" x14ac:dyDescent="0.25">
      <c r="B138" t="s">
        <v>181</v>
      </c>
    </row>
    <row r="139" spans="2:12" x14ac:dyDescent="0.25">
      <c r="L139" s="252" t="s">
        <v>180</v>
      </c>
    </row>
    <row r="140" spans="2:12" x14ac:dyDescent="0.25">
      <c r="L140" s="252" t="s">
        <v>179</v>
      </c>
    </row>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spans="1:11" hidden="1" x14ac:dyDescent="0.25"/>
    <row r="194" spans="1:11" hidden="1" x14ac:dyDescent="0.25"/>
    <row r="195" spans="1:11" hidden="1" x14ac:dyDescent="0.25"/>
    <row r="196" spans="1:11" hidden="1" x14ac:dyDescent="0.25"/>
    <row r="197" spans="1:11" hidden="1" x14ac:dyDescent="0.25"/>
    <row r="198" spans="1:11" hidden="1" x14ac:dyDescent="0.25"/>
    <row r="200" spans="1:11" ht="24.75" x14ac:dyDescent="0.4">
      <c r="A200" s="370"/>
      <c r="B200" s="352"/>
      <c r="C200" s="352"/>
      <c r="D200" s="352"/>
      <c r="E200" s="352"/>
      <c r="F200" s="352"/>
      <c r="G200" s="352"/>
      <c r="H200" s="352"/>
      <c r="I200" s="352"/>
      <c r="J200" s="352"/>
      <c r="K200" s="352"/>
    </row>
    <row r="201" spans="1:11" ht="26.25" x14ac:dyDescent="0.4">
      <c r="A201" s="269" t="s">
        <v>129</v>
      </c>
    </row>
    <row r="202" spans="1:11" ht="6" customHeight="1" x14ac:dyDescent="0.25"/>
    <row r="203" spans="1:11" ht="33" customHeight="1" x14ac:dyDescent="0.25">
      <c r="D203" s="367"/>
    </row>
    <row r="204" spans="1:11" ht="20.25" customHeight="1" x14ac:dyDescent="0.25"/>
    <row r="205" spans="1:11" ht="21.75" customHeight="1" x14ac:dyDescent="0.25"/>
    <row r="206" spans="1:11" ht="31.5" customHeight="1" x14ac:dyDescent="0.25"/>
    <row r="207" spans="1:11" ht="4.5" customHeight="1" x14ac:dyDescent="0.25"/>
    <row r="208" spans="1:11" ht="17.25" x14ac:dyDescent="0.3">
      <c r="A208" s="65"/>
      <c r="B208" t="s">
        <v>178</v>
      </c>
    </row>
    <row r="209" spans="1:4" ht="17.25" x14ac:dyDescent="0.3">
      <c r="A209" s="65"/>
      <c r="C209" t="s">
        <v>177</v>
      </c>
    </row>
    <row r="210" spans="1:4" ht="17.25" x14ac:dyDescent="0.3">
      <c r="A210" s="65"/>
    </row>
    <row r="211" spans="1:4" ht="17.25" x14ac:dyDescent="0.3">
      <c r="A211" s="65"/>
    </row>
    <row r="212" spans="1:4" ht="17.25" x14ac:dyDescent="0.3">
      <c r="A212" s="65"/>
    </row>
    <row r="213" spans="1:4" ht="17.25" x14ac:dyDescent="0.3">
      <c r="A213" s="65"/>
    </row>
    <row r="214" spans="1:4" ht="17.25" x14ac:dyDescent="0.3">
      <c r="A214" s="65"/>
    </row>
    <row r="215" spans="1:4" ht="17.25" x14ac:dyDescent="0.3">
      <c r="A215" s="65"/>
    </row>
    <row r="216" spans="1:4" ht="17.25" x14ac:dyDescent="0.3">
      <c r="A216" s="65"/>
    </row>
    <row r="217" spans="1:4" ht="17.25" x14ac:dyDescent="0.3">
      <c r="A217" s="65"/>
    </row>
    <row r="218" spans="1:4" ht="17.25" x14ac:dyDescent="0.3">
      <c r="A218" s="65"/>
    </row>
    <row r="219" spans="1:4" ht="17.25" x14ac:dyDescent="0.3">
      <c r="A219" s="65"/>
    </row>
    <row r="220" spans="1:4" ht="17.25" x14ac:dyDescent="0.3">
      <c r="A220" s="65"/>
    </row>
    <row r="221" spans="1:4" ht="17.25" x14ac:dyDescent="0.3">
      <c r="A221" s="65"/>
    </row>
    <row r="222" spans="1:4" ht="17.25" x14ac:dyDescent="0.3">
      <c r="A222" s="65"/>
    </row>
    <row r="223" spans="1:4" ht="17.25" x14ac:dyDescent="0.3">
      <c r="A223" s="65"/>
      <c r="B223" t="s">
        <v>228</v>
      </c>
      <c r="D223" s="367"/>
    </row>
    <row r="224" spans="1:4" ht="17.25" customHeight="1" x14ac:dyDescent="0.25">
      <c r="C224" t="s">
        <v>229</v>
      </c>
    </row>
    <row r="225" spans="2:2" ht="18" customHeight="1" x14ac:dyDescent="0.25">
      <c r="B225" t="s">
        <v>176</v>
      </c>
    </row>
    <row r="231" spans="2:2" hidden="1" x14ac:dyDescent="0.25"/>
    <row r="232" spans="2:2" hidden="1" x14ac:dyDescent="0.25"/>
    <row r="233" spans="2:2" hidden="1" x14ac:dyDescent="0.25"/>
    <row r="234" spans="2:2" hidden="1" x14ac:dyDescent="0.25"/>
    <row r="235" spans="2:2" hidden="1" x14ac:dyDescent="0.25"/>
    <row r="236" spans="2:2" hidden="1" x14ac:dyDescent="0.25"/>
    <row r="237" spans="2:2" hidden="1" x14ac:dyDescent="0.25"/>
    <row r="238" spans="2:2" hidden="1" x14ac:dyDescent="0.25"/>
    <row r="239" spans="2:2" hidden="1" x14ac:dyDescent="0.25"/>
    <row r="240" spans="2:2"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spans="1:11" hidden="1" x14ac:dyDescent="0.25"/>
    <row r="290" spans="1:11" hidden="1" x14ac:dyDescent="0.25"/>
    <row r="291" spans="1:11" hidden="1" x14ac:dyDescent="0.25"/>
    <row r="292" spans="1:11" hidden="1" x14ac:dyDescent="0.25"/>
    <row r="293" spans="1:11" hidden="1" x14ac:dyDescent="0.25"/>
    <row r="294" spans="1:11" hidden="1" x14ac:dyDescent="0.25"/>
    <row r="295" spans="1:11" hidden="1" x14ac:dyDescent="0.25"/>
    <row r="296" spans="1:11" hidden="1" x14ac:dyDescent="0.25"/>
    <row r="297" spans="1:11" hidden="1" x14ac:dyDescent="0.25"/>
    <row r="298" spans="1:11" hidden="1" x14ac:dyDescent="0.25"/>
    <row r="299" spans="1:11" ht="59.25" customHeight="1" x14ac:dyDescent="0.25"/>
    <row r="300" spans="1:11" ht="24.75" x14ac:dyDescent="0.4">
      <c r="A300" s="370"/>
      <c r="B300" s="352"/>
      <c r="C300" s="352"/>
      <c r="D300" s="352"/>
      <c r="E300" s="352"/>
      <c r="F300" s="352"/>
      <c r="G300" s="352"/>
      <c r="H300" s="352"/>
      <c r="I300" s="352"/>
      <c r="J300" s="352"/>
      <c r="K300" s="352"/>
    </row>
    <row r="301" spans="1:11" ht="26.25" x14ac:dyDescent="0.4">
      <c r="B301" s="369" t="s">
        <v>169</v>
      </c>
      <c r="F301" s="368" t="s">
        <v>230</v>
      </c>
    </row>
    <row r="303" spans="1:11" x14ac:dyDescent="0.25">
      <c r="B303" t="s">
        <v>231</v>
      </c>
    </row>
    <row r="305" spans="2:6" x14ac:dyDescent="0.25">
      <c r="B305" t="s">
        <v>232</v>
      </c>
    </row>
    <row r="306" spans="2:6" x14ac:dyDescent="0.25">
      <c r="C306" t="s">
        <v>233</v>
      </c>
    </row>
    <row r="309" spans="2:6" x14ac:dyDescent="0.25">
      <c r="B309" t="s">
        <v>92</v>
      </c>
      <c r="D309" t="s">
        <v>234</v>
      </c>
    </row>
    <row r="310" spans="2:6" x14ac:dyDescent="0.25">
      <c r="F310" s="249" t="s">
        <v>175</v>
      </c>
    </row>
    <row r="312" spans="2:6" x14ac:dyDescent="0.25">
      <c r="B312" t="s">
        <v>174</v>
      </c>
      <c r="E312" t="s">
        <v>235</v>
      </c>
    </row>
    <row r="315" spans="2:6" x14ac:dyDescent="0.25">
      <c r="B315" t="s">
        <v>173</v>
      </c>
    </row>
    <row r="316" spans="2:6" x14ac:dyDescent="0.25">
      <c r="C316" t="s">
        <v>236</v>
      </c>
    </row>
    <row r="317" spans="2:6" ht="8.25" customHeight="1" x14ac:dyDescent="0.25"/>
    <row r="318" spans="2:6" x14ac:dyDescent="0.25">
      <c r="C318" t="s">
        <v>172</v>
      </c>
      <c r="E318" s="366"/>
    </row>
    <row r="319" spans="2:6" x14ac:dyDescent="0.25">
      <c r="C319" s="249" t="s">
        <v>171</v>
      </c>
      <c r="E319" s="366"/>
    </row>
    <row r="320" spans="2:6" x14ac:dyDescent="0.25">
      <c r="C320" s="249" t="s">
        <v>170</v>
      </c>
      <c r="E320" s="366"/>
    </row>
  </sheetData>
  <sheetProtection algorithmName="SHA-512" hashValue="+tfo4McVFBVTceJ7xE3c3WJge4zUezHGC0PzfcSk0cXp+j/gtBZPamwm7h855LFl2snsJZvPHCE+ywMzp1n9Kw==" saltValue="rrupFFdWXOetx7sR+3DIAQ==" spinCount="100000" sheet="1" formatRows="0"/>
  <customSheetViews>
    <customSheetView guid="{B1A9DF0D-440C-4435-ADFB-79A992102039}" hiddenRows="1" state="veryHidden">
      <selection activeCell="A2" sqref="A2"/>
      <pageMargins left="0.33" right="0.13" top="0.56999999999999995" bottom="0.51" header="0.3" footer="0.3"/>
      <pageSetup paperSize="9" orientation="portrait" horizontalDpi="4294967293" verticalDpi="0" r:id="rId1"/>
    </customSheetView>
  </customSheetViews>
  <pageMargins left="0.33" right="0.13" top="0.56999999999999995" bottom="0.51" header="0.3" footer="0.3"/>
  <pageSetup paperSize="9" orientation="portrait"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S325"/>
  <sheetViews>
    <sheetView tabSelected="1" zoomScaleNormal="100" workbookViewId="0"/>
  </sheetViews>
  <sheetFormatPr baseColWidth="10" defaultColWidth="11.42578125" defaultRowHeight="15" x14ac:dyDescent="0.25"/>
  <cols>
    <col min="1" max="1" width="4.28515625" style="6" customWidth="1"/>
    <col min="2" max="2" width="10.140625" style="6" customWidth="1"/>
    <col min="3" max="3" width="5.42578125" style="6" customWidth="1"/>
    <col min="4" max="4" width="5.85546875" style="6" customWidth="1"/>
    <col min="5" max="5" width="8.5703125" style="6" customWidth="1"/>
    <col min="6" max="6" width="7.85546875" style="7" customWidth="1"/>
    <col min="7" max="7" width="8.28515625" style="6" customWidth="1"/>
    <col min="8" max="8" width="5.7109375" style="6" customWidth="1"/>
    <col min="9" max="9" width="4.85546875" style="6" customWidth="1"/>
    <col min="10" max="10" width="6.7109375" style="6" customWidth="1"/>
    <col min="11" max="11" width="11" style="6" customWidth="1"/>
    <col min="12" max="12" width="9.28515625" style="6" bestFit="1" customWidth="1"/>
    <col min="13" max="13" width="13.85546875" style="6" customWidth="1"/>
    <col min="14" max="14" width="13.140625" style="6" customWidth="1"/>
    <col min="15" max="15" width="8.42578125" style="6" customWidth="1"/>
    <col min="16" max="16" width="7.5703125" style="6" customWidth="1"/>
    <col min="17" max="16384" width="11.42578125" style="6"/>
  </cols>
  <sheetData>
    <row r="1" spans="1:19" x14ac:dyDescent="0.25">
      <c r="A1" s="25"/>
      <c r="E1" s="6">
        <v>0</v>
      </c>
      <c r="F1" s="39">
        <v>0</v>
      </c>
      <c r="H1" s="6">
        <v>0</v>
      </c>
      <c r="I1" s="41" t="s">
        <v>7</v>
      </c>
      <c r="J1" s="6">
        <v>0</v>
      </c>
      <c r="K1" s="49" t="s">
        <v>28</v>
      </c>
      <c r="L1" s="42"/>
      <c r="S1" s="95" t="s">
        <v>58</v>
      </c>
    </row>
    <row r="2" spans="1:19" x14ac:dyDescent="0.25">
      <c r="A2" s="25">
        <v>0</v>
      </c>
      <c r="B2" s="6" t="s">
        <v>22</v>
      </c>
      <c r="C2" s="90">
        <v>2.5499999999999998</v>
      </c>
      <c r="E2" s="6">
        <v>10</v>
      </c>
      <c r="F2" s="39">
        <f>E2*$C2</f>
        <v>25.5</v>
      </c>
      <c r="H2" s="6">
        <v>1</v>
      </c>
      <c r="I2" s="42">
        <v>4</v>
      </c>
      <c r="J2" s="6">
        <v>4</v>
      </c>
      <c r="S2" s="374" t="s">
        <v>214</v>
      </c>
    </row>
    <row r="3" spans="1:19" x14ac:dyDescent="0.25">
      <c r="A3" s="25">
        <v>31</v>
      </c>
      <c r="B3" s="6" t="s">
        <v>23</v>
      </c>
      <c r="C3" s="90">
        <v>1.95</v>
      </c>
      <c r="D3" s="6">
        <f t="shared" ref="D3:D4" si="0">C2-C3</f>
        <v>0.59999999999999987</v>
      </c>
      <c r="E3" s="6">
        <v>11</v>
      </c>
      <c r="F3" s="39">
        <f>F2+C$2</f>
        <v>28.05</v>
      </c>
      <c r="H3" s="6">
        <v>2</v>
      </c>
      <c r="I3" s="42">
        <v>3</v>
      </c>
      <c r="J3" s="6">
        <f>J2+I3</f>
        <v>7</v>
      </c>
    </row>
    <row r="4" spans="1:19" x14ac:dyDescent="0.25">
      <c r="A4" s="25">
        <v>101</v>
      </c>
      <c r="B4" s="6" t="s">
        <v>24</v>
      </c>
      <c r="C4" s="91">
        <v>2</v>
      </c>
      <c r="D4" s="6">
        <f t="shared" si="0"/>
        <v>-5.0000000000000044E-2</v>
      </c>
      <c r="E4" s="6">
        <v>12</v>
      </c>
      <c r="F4" s="39">
        <f t="shared" ref="F4:F22" si="1">F3+C$2</f>
        <v>30.6</v>
      </c>
      <c r="H4" s="6">
        <v>3</v>
      </c>
      <c r="I4" s="42">
        <v>2.5</v>
      </c>
      <c r="J4" s="6">
        <f t="shared" ref="J4:J31" si="2">J3+I4</f>
        <v>9.5</v>
      </c>
    </row>
    <row r="5" spans="1:19" x14ac:dyDescent="0.25">
      <c r="E5" s="6">
        <v>13</v>
      </c>
      <c r="F5" s="39">
        <f t="shared" si="1"/>
        <v>33.15</v>
      </c>
      <c r="H5" s="6">
        <v>4</v>
      </c>
      <c r="I5" s="42">
        <v>2</v>
      </c>
      <c r="J5" s="6">
        <f t="shared" si="2"/>
        <v>11.5</v>
      </c>
      <c r="L5" s="185" t="s">
        <v>93</v>
      </c>
      <c r="M5" s="184" t="s">
        <v>13</v>
      </c>
      <c r="N5" s="183" t="s">
        <v>12</v>
      </c>
      <c r="O5" s="183"/>
      <c r="P5" s="184" t="s">
        <v>103</v>
      </c>
    </row>
    <row r="6" spans="1:19" x14ac:dyDescent="0.25">
      <c r="E6" s="6">
        <v>14</v>
      </c>
      <c r="F6" s="39">
        <f t="shared" si="1"/>
        <v>35.699999999999996</v>
      </c>
      <c r="H6" s="6">
        <v>5</v>
      </c>
      <c r="I6" s="43">
        <v>2</v>
      </c>
      <c r="J6" s="6">
        <f t="shared" si="2"/>
        <v>13.5</v>
      </c>
      <c r="L6" s="186"/>
      <c r="M6" s="6">
        <v>0</v>
      </c>
      <c r="N6" s="6" t="s">
        <v>30</v>
      </c>
      <c r="P6" s="6" t="s">
        <v>104</v>
      </c>
    </row>
    <row r="7" spans="1:19" x14ac:dyDescent="0.25">
      <c r="E7" s="6">
        <v>15</v>
      </c>
      <c r="F7" s="39">
        <f t="shared" si="1"/>
        <v>38.249999999999993</v>
      </c>
      <c r="H7" s="6">
        <v>6</v>
      </c>
      <c r="I7" s="43">
        <v>2</v>
      </c>
      <c r="J7" s="6">
        <f t="shared" si="2"/>
        <v>15.5</v>
      </c>
      <c r="L7" s="186"/>
      <c r="M7" s="48">
        <v>801014</v>
      </c>
      <c r="N7" s="6" t="s">
        <v>31</v>
      </c>
      <c r="P7" s="6" t="s">
        <v>104</v>
      </c>
    </row>
    <row r="8" spans="1:19" x14ac:dyDescent="0.25">
      <c r="E8" s="6">
        <v>16</v>
      </c>
      <c r="F8" s="39">
        <f t="shared" si="1"/>
        <v>40.79999999999999</v>
      </c>
      <c r="H8" s="6">
        <v>7</v>
      </c>
      <c r="I8" s="43">
        <v>2</v>
      </c>
      <c r="J8" s="6">
        <f t="shared" si="2"/>
        <v>17.5</v>
      </c>
      <c r="L8" s="186"/>
      <c r="M8" s="48">
        <v>801024</v>
      </c>
      <c r="N8" s="6" t="s">
        <v>32</v>
      </c>
      <c r="P8" s="6" t="s">
        <v>104</v>
      </c>
    </row>
    <row r="9" spans="1:19" x14ac:dyDescent="0.25">
      <c r="E9" s="6">
        <v>17</v>
      </c>
      <c r="F9" s="39">
        <f t="shared" si="1"/>
        <v>43.349999999999987</v>
      </c>
      <c r="H9" s="6">
        <v>8</v>
      </c>
      <c r="I9" s="43">
        <v>2</v>
      </c>
      <c r="J9" s="6">
        <f t="shared" si="2"/>
        <v>19.5</v>
      </c>
      <c r="L9" s="186"/>
      <c r="M9" s="48">
        <v>801044</v>
      </c>
      <c r="N9" s="6" t="s">
        <v>33</v>
      </c>
      <c r="P9" s="6" t="s">
        <v>104</v>
      </c>
    </row>
    <row r="10" spans="1:19" x14ac:dyDescent="0.25">
      <c r="E10" s="6">
        <v>18</v>
      </c>
      <c r="F10" s="39">
        <f t="shared" si="1"/>
        <v>45.899999999999984</v>
      </c>
      <c r="H10" s="6">
        <v>9</v>
      </c>
      <c r="I10" s="43">
        <v>2</v>
      </c>
      <c r="J10" s="6">
        <f t="shared" si="2"/>
        <v>21.5</v>
      </c>
      <c r="L10" s="186"/>
      <c r="M10" s="48">
        <v>802014</v>
      </c>
      <c r="N10" s="6" t="s">
        <v>34</v>
      </c>
      <c r="P10" s="6" t="s">
        <v>104</v>
      </c>
    </row>
    <row r="11" spans="1:19" x14ac:dyDescent="0.25">
      <c r="E11" s="6">
        <v>19</v>
      </c>
      <c r="F11" s="39">
        <f t="shared" si="1"/>
        <v>48.449999999999982</v>
      </c>
      <c r="H11" s="6">
        <v>10</v>
      </c>
      <c r="I11" s="43">
        <v>2</v>
      </c>
      <c r="J11" s="6">
        <f t="shared" si="2"/>
        <v>23.5</v>
      </c>
      <c r="L11" s="186"/>
      <c r="M11" s="48">
        <v>802024</v>
      </c>
      <c r="N11" s="6" t="s">
        <v>35</v>
      </c>
      <c r="P11" s="6" t="s">
        <v>104</v>
      </c>
    </row>
    <row r="12" spans="1:19" x14ac:dyDescent="0.25">
      <c r="E12" s="6">
        <v>20</v>
      </c>
      <c r="F12" s="39">
        <f t="shared" si="1"/>
        <v>50.999999999999979</v>
      </c>
      <c r="H12" s="6">
        <v>11</v>
      </c>
      <c r="I12" s="43">
        <v>2</v>
      </c>
      <c r="J12" s="6">
        <f t="shared" si="2"/>
        <v>25.5</v>
      </c>
      <c r="L12" s="186" t="s">
        <v>93</v>
      </c>
      <c r="M12" s="187">
        <v>802034</v>
      </c>
      <c r="N12" s="6" t="s">
        <v>36</v>
      </c>
      <c r="P12" s="6" t="s">
        <v>104</v>
      </c>
    </row>
    <row r="13" spans="1:19" x14ac:dyDescent="0.25">
      <c r="E13" s="6">
        <v>21</v>
      </c>
      <c r="F13" s="39">
        <f t="shared" si="1"/>
        <v>53.549999999999976</v>
      </c>
      <c r="H13" s="6">
        <v>12</v>
      </c>
      <c r="I13" s="43">
        <v>2</v>
      </c>
      <c r="J13" s="6">
        <f t="shared" si="2"/>
        <v>27.5</v>
      </c>
      <c r="L13" s="186" t="s">
        <v>93</v>
      </c>
      <c r="M13" s="187">
        <v>802122</v>
      </c>
      <c r="N13" s="6" t="s">
        <v>37</v>
      </c>
      <c r="P13" s="6" t="s">
        <v>104</v>
      </c>
    </row>
    <row r="14" spans="1:19" x14ac:dyDescent="0.25">
      <c r="E14" s="6">
        <v>22</v>
      </c>
      <c r="F14" s="39">
        <f t="shared" si="1"/>
        <v>56.099999999999973</v>
      </c>
      <c r="H14" s="6">
        <v>13</v>
      </c>
      <c r="I14" s="43">
        <v>2</v>
      </c>
      <c r="J14" s="6">
        <f t="shared" si="2"/>
        <v>29.5</v>
      </c>
      <c r="L14" s="186" t="s">
        <v>93</v>
      </c>
      <c r="M14" s="187">
        <v>802212</v>
      </c>
      <c r="N14" s="6" t="s">
        <v>95</v>
      </c>
      <c r="P14" s="6" t="s">
        <v>104</v>
      </c>
      <c r="Q14" s="208" t="s">
        <v>59</v>
      </c>
    </row>
    <row r="15" spans="1:19" x14ac:dyDescent="0.25">
      <c r="E15" s="6">
        <v>23</v>
      </c>
      <c r="F15" s="39">
        <f t="shared" si="1"/>
        <v>58.64999999999997</v>
      </c>
      <c r="H15" s="6">
        <v>14</v>
      </c>
      <c r="I15" s="43">
        <v>2</v>
      </c>
      <c r="J15" s="6">
        <f t="shared" si="2"/>
        <v>31.5</v>
      </c>
      <c r="L15" s="186"/>
      <c r="M15" s="48">
        <v>803014</v>
      </c>
      <c r="N15" s="6" t="s">
        <v>38</v>
      </c>
      <c r="P15" s="6" t="s">
        <v>104</v>
      </c>
    </row>
    <row r="16" spans="1:19" x14ac:dyDescent="0.25">
      <c r="E16" s="6">
        <v>24</v>
      </c>
      <c r="F16" s="39">
        <f t="shared" si="1"/>
        <v>61.199999999999967</v>
      </c>
      <c r="H16" s="6">
        <v>15</v>
      </c>
      <c r="I16" s="43">
        <v>2</v>
      </c>
      <c r="J16" s="6">
        <f t="shared" si="2"/>
        <v>33.5</v>
      </c>
      <c r="L16" s="186"/>
      <c r="M16" s="48">
        <v>804024</v>
      </c>
      <c r="N16" s="6" t="s">
        <v>39</v>
      </c>
      <c r="P16" s="6" t="s">
        <v>104</v>
      </c>
    </row>
    <row r="17" spans="5:16" x14ac:dyDescent="0.25">
      <c r="E17" s="6">
        <v>25</v>
      </c>
      <c r="F17" s="39">
        <f t="shared" si="1"/>
        <v>63.749999999999964</v>
      </c>
      <c r="H17" s="6">
        <v>16</v>
      </c>
      <c r="I17" s="43">
        <v>2</v>
      </c>
      <c r="J17" s="6">
        <f t="shared" si="2"/>
        <v>35.5</v>
      </c>
      <c r="L17" s="186"/>
      <c r="M17" s="48">
        <v>804064</v>
      </c>
      <c r="N17" s="6" t="s">
        <v>40</v>
      </c>
      <c r="P17" s="6" t="s">
        <v>104</v>
      </c>
    </row>
    <row r="18" spans="5:16" x14ac:dyDescent="0.25">
      <c r="E18" s="6">
        <v>26</v>
      </c>
      <c r="F18" s="39">
        <f t="shared" si="1"/>
        <v>66.299999999999969</v>
      </c>
      <c r="H18" s="6">
        <v>17</v>
      </c>
      <c r="I18" s="43">
        <v>2</v>
      </c>
      <c r="J18" s="6">
        <f t="shared" si="2"/>
        <v>37.5</v>
      </c>
      <c r="L18" s="186"/>
      <c r="M18" s="13" t="s">
        <v>29</v>
      </c>
      <c r="N18" s="6" t="s">
        <v>41</v>
      </c>
      <c r="P18" s="6" t="s">
        <v>104</v>
      </c>
    </row>
    <row r="19" spans="5:16" x14ac:dyDescent="0.25">
      <c r="E19" s="6">
        <v>27</v>
      </c>
      <c r="F19" s="39">
        <f t="shared" si="1"/>
        <v>68.849999999999966</v>
      </c>
      <c r="H19" s="6">
        <v>18</v>
      </c>
      <c r="I19" s="43">
        <v>2</v>
      </c>
      <c r="J19" s="6">
        <f t="shared" si="2"/>
        <v>39.5</v>
      </c>
    </row>
    <row r="20" spans="5:16" x14ac:dyDescent="0.25">
      <c r="E20" s="6">
        <v>28</v>
      </c>
      <c r="F20" s="39">
        <f t="shared" si="1"/>
        <v>71.399999999999963</v>
      </c>
      <c r="H20" s="6">
        <v>19</v>
      </c>
      <c r="I20" s="43">
        <v>2</v>
      </c>
      <c r="J20" s="6">
        <f t="shared" si="2"/>
        <v>41.5</v>
      </c>
    </row>
    <row r="21" spans="5:16" x14ac:dyDescent="0.25">
      <c r="E21" s="6">
        <v>29</v>
      </c>
      <c r="F21" s="39">
        <f t="shared" si="1"/>
        <v>73.94999999999996</v>
      </c>
      <c r="H21" s="6">
        <v>20</v>
      </c>
      <c r="I21" s="43">
        <v>2</v>
      </c>
      <c r="J21" s="6">
        <f t="shared" si="2"/>
        <v>43.5</v>
      </c>
      <c r="L21" s="182" t="s">
        <v>92</v>
      </c>
      <c r="N21" s="244" t="s">
        <v>94</v>
      </c>
    </row>
    <row r="22" spans="5:16" x14ac:dyDescent="0.25">
      <c r="E22" s="38">
        <v>30</v>
      </c>
      <c r="F22" s="40">
        <f t="shared" si="1"/>
        <v>76.499999999999957</v>
      </c>
      <c r="H22" s="6">
        <v>21</v>
      </c>
      <c r="I22" s="43">
        <v>2</v>
      </c>
      <c r="J22" s="6">
        <f t="shared" si="2"/>
        <v>45.5</v>
      </c>
      <c r="L22" s="6">
        <v>0</v>
      </c>
      <c r="M22" s="6">
        <v>0</v>
      </c>
      <c r="N22" s="233">
        <v>0</v>
      </c>
    </row>
    <row r="23" spans="5:16" x14ac:dyDescent="0.25">
      <c r="E23" s="6">
        <v>31</v>
      </c>
      <c r="F23" s="39">
        <f>F22+C$3</f>
        <v>78.44999999999996</v>
      </c>
      <c r="H23" s="6">
        <v>22</v>
      </c>
      <c r="I23" s="43">
        <v>2</v>
      </c>
      <c r="J23" s="6">
        <f t="shared" si="2"/>
        <v>47.5</v>
      </c>
      <c r="L23" s="6">
        <v>6</v>
      </c>
      <c r="M23" s="245">
        <f>ROUND(N23*0.98,1)</f>
        <v>2.5</v>
      </c>
      <c r="N23" s="233">
        <v>2.5</v>
      </c>
    </row>
    <row r="24" spans="5:16" x14ac:dyDescent="0.25">
      <c r="E24" s="6">
        <v>32</v>
      </c>
      <c r="F24" s="39">
        <f t="shared" ref="F24:F87" si="3">F23+C$3</f>
        <v>80.399999999999963</v>
      </c>
      <c r="H24" s="6">
        <v>23</v>
      </c>
      <c r="I24" s="43">
        <v>2</v>
      </c>
      <c r="J24" s="6">
        <f t="shared" si="2"/>
        <v>49.5</v>
      </c>
      <c r="L24" s="6">
        <v>11</v>
      </c>
      <c r="M24" s="39">
        <f t="shared" ref="M24:M51" si="4">ROUND(N24*0.98,1)</f>
        <v>2.9</v>
      </c>
      <c r="N24" s="233">
        <v>3</v>
      </c>
    </row>
    <row r="25" spans="5:16" x14ac:dyDescent="0.25">
      <c r="E25" s="6">
        <v>33</v>
      </c>
      <c r="F25" s="39">
        <f t="shared" si="3"/>
        <v>82.349999999999966</v>
      </c>
      <c r="H25" s="6">
        <v>24</v>
      </c>
      <c r="I25" s="43">
        <v>2</v>
      </c>
      <c r="J25" s="6">
        <f t="shared" si="2"/>
        <v>51.5</v>
      </c>
      <c r="L25" s="6">
        <v>40</v>
      </c>
      <c r="M25" s="39">
        <f t="shared" si="4"/>
        <v>3.1</v>
      </c>
      <c r="N25" s="233">
        <v>3.2</v>
      </c>
    </row>
    <row r="26" spans="5:16" x14ac:dyDescent="0.25">
      <c r="E26" s="6">
        <v>34</v>
      </c>
      <c r="F26" s="39">
        <f t="shared" si="3"/>
        <v>84.299999999999969</v>
      </c>
      <c r="H26" s="6">
        <v>25</v>
      </c>
      <c r="I26" s="43">
        <v>2</v>
      </c>
      <c r="J26" s="6">
        <f t="shared" si="2"/>
        <v>53.5</v>
      </c>
      <c r="L26" s="6">
        <v>48</v>
      </c>
      <c r="M26" s="39">
        <f t="shared" si="4"/>
        <v>3.3</v>
      </c>
      <c r="N26" s="233">
        <v>3.4</v>
      </c>
    </row>
    <row r="27" spans="5:16" x14ac:dyDescent="0.25">
      <c r="E27" s="6">
        <v>35</v>
      </c>
      <c r="F27" s="39">
        <f t="shared" si="3"/>
        <v>86.249999999999972</v>
      </c>
      <c r="H27" s="6">
        <v>26</v>
      </c>
      <c r="I27" s="43">
        <v>2</v>
      </c>
      <c r="J27" s="6">
        <f t="shared" si="2"/>
        <v>55.5</v>
      </c>
      <c r="L27" s="6">
        <v>56</v>
      </c>
      <c r="M27" s="39">
        <f t="shared" si="4"/>
        <v>3.5</v>
      </c>
      <c r="N27" s="233">
        <v>3.6</v>
      </c>
    </row>
    <row r="28" spans="5:16" x14ac:dyDescent="0.25">
      <c r="E28" s="6">
        <v>36</v>
      </c>
      <c r="F28" s="39">
        <f t="shared" si="3"/>
        <v>88.199999999999974</v>
      </c>
      <c r="H28" s="6">
        <v>27</v>
      </c>
      <c r="I28" s="43">
        <v>2</v>
      </c>
      <c r="J28" s="6">
        <f t="shared" si="2"/>
        <v>57.5</v>
      </c>
      <c r="L28" s="6">
        <v>64</v>
      </c>
      <c r="M28" s="39">
        <f t="shared" si="4"/>
        <v>3.7</v>
      </c>
      <c r="N28" s="233">
        <v>3.8</v>
      </c>
    </row>
    <row r="29" spans="5:16" x14ac:dyDescent="0.25">
      <c r="E29" s="6">
        <v>37</v>
      </c>
      <c r="F29" s="39">
        <f t="shared" si="3"/>
        <v>90.149999999999977</v>
      </c>
      <c r="H29" s="6">
        <v>28</v>
      </c>
      <c r="I29" s="43">
        <v>2</v>
      </c>
      <c r="J29" s="6">
        <f t="shared" si="2"/>
        <v>59.5</v>
      </c>
      <c r="L29" s="6">
        <v>72</v>
      </c>
      <c r="M29" s="39">
        <f t="shared" si="4"/>
        <v>3.9</v>
      </c>
      <c r="N29" s="233">
        <v>4</v>
      </c>
    </row>
    <row r="30" spans="5:16" x14ac:dyDescent="0.25">
      <c r="E30" s="6">
        <v>38</v>
      </c>
      <c r="F30" s="39">
        <f t="shared" si="3"/>
        <v>92.09999999999998</v>
      </c>
      <c r="H30" s="6">
        <v>29</v>
      </c>
      <c r="I30" s="43">
        <v>2</v>
      </c>
      <c r="J30" s="6">
        <f t="shared" si="2"/>
        <v>61.5</v>
      </c>
      <c r="L30" s="6">
        <v>80</v>
      </c>
      <c r="M30" s="39">
        <f t="shared" si="4"/>
        <v>4.0999999999999996</v>
      </c>
      <c r="N30" s="233">
        <v>4.2</v>
      </c>
    </row>
    <row r="31" spans="5:16" x14ac:dyDescent="0.25">
      <c r="E31" s="6">
        <v>39</v>
      </c>
      <c r="F31" s="39">
        <f t="shared" si="3"/>
        <v>94.049999999999983</v>
      </c>
      <c r="H31" s="6">
        <v>30</v>
      </c>
      <c r="I31" s="43">
        <v>2</v>
      </c>
      <c r="J31" s="6">
        <f t="shared" si="2"/>
        <v>63.5</v>
      </c>
      <c r="L31" s="6">
        <v>87</v>
      </c>
      <c r="M31" s="39">
        <f t="shared" si="4"/>
        <v>4.2</v>
      </c>
      <c r="N31" s="233">
        <v>4.3</v>
      </c>
    </row>
    <row r="32" spans="5:16" x14ac:dyDescent="0.25">
      <c r="E32" s="6">
        <v>40</v>
      </c>
      <c r="F32" s="39">
        <f t="shared" si="3"/>
        <v>95.999999999999986</v>
      </c>
      <c r="H32" s="6">
        <v>31</v>
      </c>
      <c r="I32" s="43">
        <v>2</v>
      </c>
      <c r="J32" s="6">
        <f t="shared" ref="J32:J95" si="5">J31+I32</f>
        <v>65.5</v>
      </c>
      <c r="L32" s="6">
        <v>95</v>
      </c>
      <c r="M32" s="39">
        <f t="shared" si="4"/>
        <v>4.3</v>
      </c>
      <c r="N32" s="233">
        <v>4.4000000000000004</v>
      </c>
    </row>
    <row r="33" spans="5:14" x14ac:dyDescent="0.25">
      <c r="E33" s="6">
        <v>41</v>
      </c>
      <c r="F33" s="39">
        <f t="shared" si="3"/>
        <v>97.949999999999989</v>
      </c>
      <c r="H33" s="6">
        <v>32</v>
      </c>
      <c r="I33" s="43">
        <v>2</v>
      </c>
      <c r="J33" s="6">
        <f t="shared" si="5"/>
        <v>67.5</v>
      </c>
      <c r="L33" s="6">
        <v>104</v>
      </c>
      <c r="M33" s="39">
        <f t="shared" si="4"/>
        <v>4.4000000000000004</v>
      </c>
      <c r="N33" s="233">
        <v>4.5</v>
      </c>
    </row>
    <row r="34" spans="5:14" x14ac:dyDescent="0.25">
      <c r="E34" s="6">
        <v>42</v>
      </c>
      <c r="F34" s="39">
        <f t="shared" si="3"/>
        <v>99.899999999999991</v>
      </c>
      <c r="H34" s="6">
        <v>33</v>
      </c>
      <c r="I34" s="43">
        <v>2</v>
      </c>
      <c r="J34" s="6">
        <f t="shared" si="5"/>
        <v>69.5</v>
      </c>
      <c r="L34" s="6">
        <v>114</v>
      </c>
      <c r="M34" s="39">
        <f t="shared" si="4"/>
        <v>4.5</v>
      </c>
      <c r="N34" s="233">
        <v>4.5999999999999996</v>
      </c>
    </row>
    <row r="35" spans="5:14" x14ac:dyDescent="0.25">
      <c r="E35" s="6">
        <v>43</v>
      </c>
      <c r="F35" s="39">
        <f t="shared" si="3"/>
        <v>101.85</v>
      </c>
      <c r="H35" s="6">
        <v>34</v>
      </c>
      <c r="I35" s="43">
        <v>2</v>
      </c>
      <c r="J35" s="6">
        <f t="shared" si="5"/>
        <v>71.5</v>
      </c>
      <c r="L35" s="6">
        <v>125</v>
      </c>
      <c r="M35" s="39">
        <f t="shared" si="4"/>
        <v>4.5999999999999996</v>
      </c>
      <c r="N35" s="233">
        <v>4.7</v>
      </c>
    </row>
    <row r="36" spans="5:14" x14ac:dyDescent="0.25">
      <c r="E36" s="6">
        <v>44</v>
      </c>
      <c r="F36" s="39">
        <f t="shared" si="3"/>
        <v>103.8</v>
      </c>
      <c r="H36" s="6">
        <v>35</v>
      </c>
      <c r="I36" s="43">
        <v>2</v>
      </c>
      <c r="J36" s="6">
        <f t="shared" si="5"/>
        <v>73.5</v>
      </c>
      <c r="L36" s="6">
        <v>137</v>
      </c>
      <c r="M36" s="39">
        <f t="shared" si="4"/>
        <v>4.7</v>
      </c>
      <c r="N36" s="233">
        <v>4.8</v>
      </c>
    </row>
    <row r="37" spans="5:14" x14ac:dyDescent="0.25">
      <c r="E37" s="6">
        <v>45</v>
      </c>
      <c r="F37" s="39">
        <f t="shared" si="3"/>
        <v>105.75</v>
      </c>
      <c r="H37" s="6">
        <v>36</v>
      </c>
      <c r="I37" s="43">
        <v>2</v>
      </c>
      <c r="J37" s="6">
        <f t="shared" si="5"/>
        <v>75.5</v>
      </c>
      <c r="L37" s="6">
        <v>150</v>
      </c>
      <c r="M37" s="39">
        <f t="shared" si="4"/>
        <v>4.8</v>
      </c>
      <c r="N37" s="233">
        <v>4.9000000000000004</v>
      </c>
    </row>
    <row r="38" spans="5:14" x14ac:dyDescent="0.25">
      <c r="E38" s="6">
        <v>46</v>
      </c>
      <c r="F38" s="39">
        <f t="shared" si="3"/>
        <v>107.7</v>
      </c>
      <c r="H38" s="6">
        <v>37</v>
      </c>
      <c r="I38" s="43">
        <v>2</v>
      </c>
      <c r="J38" s="6">
        <f t="shared" si="5"/>
        <v>77.5</v>
      </c>
      <c r="L38" s="6">
        <v>164</v>
      </c>
      <c r="M38" s="39">
        <f t="shared" si="4"/>
        <v>4.9000000000000004</v>
      </c>
      <c r="N38" s="233">
        <v>5</v>
      </c>
    </row>
    <row r="39" spans="5:14" x14ac:dyDescent="0.25">
      <c r="E39" s="6">
        <v>47</v>
      </c>
      <c r="F39" s="39">
        <f t="shared" si="3"/>
        <v>109.65</v>
      </c>
      <c r="H39" s="6">
        <v>38</v>
      </c>
      <c r="I39" s="43">
        <v>2</v>
      </c>
      <c r="J39" s="6">
        <f t="shared" si="5"/>
        <v>79.5</v>
      </c>
      <c r="L39" s="6">
        <v>179</v>
      </c>
      <c r="M39" s="39">
        <f t="shared" si="4"/>
        <v>5</v>
      </c>
      <c r="N39" s="233">
        <v>5.0999999999999996</v>
      </c>
    </row>
    <row r="40" spans="5:14" x14ac:dyDescent="0.25">
      <c r="E40" s="6">
        <v>48</v>
      </c>
      <c r="F40" s="39">
        <f t="shared" si="3"/>
        <v>111.60000000000001</v>
      </c>
      <c r="H40" s="6">
        <v>39</v>
      </c>
      <c r="I40" s="43">
        <v>2</v>
      </c>
      <c r="J40" s="6">
        <f t="shared" si="5"/>
        <v>81.5</v>
      </c>
      <c r="L40" s="6">
        <v>195</v>
      </c>
      <c r="M40" s="39">
        <f t="shared" si="4"/>
        <v>5.0999999999999996</v>
      </c>
      <c r="N40" s="233">
        <v>5.2</v>
      </c>
    </row>
    <row r="41" spans="5:14" x14ac:dyDescent="0.25">
      <c r="E41" s="6">
        <v>49</v>
      </c>
      <c r="F41" s="39">
        <f t="shared" si="3"/>
        <v>113.55000000000001</v>
      </c>
      <c r="H41" s="6">
        <v>40</v>
      </c>
      <c r="I41" s="43">
        <v>2</v>
      </c>
      <c r="J41" s="6">
        <f t="shared" si="5"/>
        <v>83.5</v>
      </c>
      <c r="L41" s="6">
        <v>212</v>
      </c>
      <c r="M41" s="39">
        <f t="shared" si="4"/>
        <v>5.2</v>
      </c>
      <c r="N41" s="233">
        <v>5.3</v>
      </c>
    </row>
    <row r="42" spans="5:14" x14ac:dyDescent="0.25">
      <c r="E42" s="6">
        <v>50</v>
      </c>
      <c r="F42" s="39">
        <f t="shared" si="3"/>
        <v>115.50000000000001</v>
      </c>
      <c r="H42" s="6">
        <v>41</v>
      </c>
      <c r="I42" s="43">
        <v>2</v>
      </c>
      <c r="J42" s="6">
        <f t="shared" si="5"/>
        <v>85.5</v>
      </c>
      <c r="L42" s="6">
        <v>230</v>
      </c>
      <c r="M42" s="39">
        <f t="shared" si="4"/>
        <v>5.3</v>
      </c>
      <c r="N42" s="233">
        <v>5.4</v>
      </c>
    </row>
    <row r="43" spans="5:14" x14ac:dyDescent="0.25">
      <c r="E43" s="6">
        <v>51</v>
      </c>
      <c r="F43" s="39">
        <f t="shared" si="3"/>
        <v>117.45000000000002</v>
      </c>
      <c r="H43" s="6">
        <v>42</v>
      </c>
      <c r="I43" s="43">
        <v>2</v>
      </c>
      <c r="J43" s="6">
        <f t="shared" si="5"/>
        <v>87.5</v>
      </c>
      <c r="L43" s="6">
        <v>249</v>
      </c>
      <c r="M43" s="39">
        <f t="shared" si="4"/>
        <v>5.4</v>
      </c>
      <c r="N43" s="233">
        <v>5.5</v>
      </c>
    </row>
    <row r="44" spans="5:14" x14ac:dyDescent="0.25">
      <c r="E44" s="6">
        <v>52</v>
      </c>
      <c r="F44" s="39">
        <f t="shared" si="3"/>
        <v>119.40000000000002</v>
      </c>
      <c r="H44" s="6">
        <v>43</v>
      </c>
      <c r="I44" s="43">
        <v>2</v>
      </c>
      <c r="J44" s="6">
        <f t="shared" si="5"/>
        <v>89.5</v>
      </c>
      <c r="L44" s="6">
        <v>269</v>
      </c>
      <c r="M44" s="39">
        <f t="shared" si="4"/>
        <v>5.5</v>
      </c>
      <c r="N44" s="233">
        <v>5.6</v>
      </c>
    </row>
    <row r="45" spans="5:14" x14ac:dyDescent="0.25">
      <c r="E45" s="6">
        <v>53</v>
      </c>
      <c r="F45" s="39">
        <f t="shared" si="3"/>
        <v>121.35000000000002</v>
      </c>
      <c r="H45" s="6">
        <v>44</v>
      </c>
      <c r="I45" s="43">
        <v>2</v>
      </c>
      <c r="J45" s="6">
        <f t="shared" si="5"/>
        <v>91.5</v>
      </c>
      <c r="L45" s="6">
        <v>290</v>
      </c>
      <c r="M45" s="39">
        <f t="shared" si="4"/>
        <v>5.6</v>
      </c>
      <c r="N45" s="233">
        <v>5.7</v>
      </c>
    </row>
    <row r="46" spans="5:14" x14ac:dyDescent="0.25">
      <c r="E46" s="6">
        <v>54</v>
      </c>
      <c r="F46" s="39">
        <f t="shared" si="3"/>
        <v>123.30000000000003</v>
      </c>
      <c r="H46" s="6">
        <v>45</v>
      </c>
      <c r="I46" s="43">
        <v>2</v>
      </c>
      <c r="J46" s="6">
        <f t="shared" si="5"/>
        <v>93.5</v>
      </c>
      <c r="L46" s="6">
        <v>312</v>
      </c>
      <c r="M46" s="39">
        <f t="shared" si="4"/>
        <v>5.7</v>
      </c>
      <c r="N46" s="233">
        <v>5.8</v>
      </c>
    </row>
    <row r="47" spans="5:14" x14ac:dyDescent="0.25">
      <c r="E47" s="6">
        <v>55</v>
      </c>
      <c r="F47" s="39">
        <f t="shared" si="3"/>
        <v>125.25000000000003</v>
      </c>
      <c r="H47" s="6">
        <v>46</v>
      </c>
      <c r="I47" s="43">
        <v>2</v>
      </c>
      <c r="J47" s="6">
        <f t="shared" si="5"/>
        <v>95.5</v>
      </c>
      <c r="L47" s="6">
        <v>335</v>
      </c>
      <c r="M47" s="39">
        <f t="shared" si="4"/>
        <v>5.8</v>
      </c>
      <c r="N47" s="233">
        <v>5.9</v>
      </c>
    </row>
    <row r="48" spans="5:14" x14ac:dyDescent="0.25">
      <c r="E48" s="6">
        <v>56</v>
      </c>
      <c r="F48" s="39">
        <f t="shared" si="3"/>
        <v>127.20000000000003</v>
      </c>
      <c r="H48" s="6">
        <v>47</v>
      </c>
      <c r="I48" s="43">
        <v>2</v>
      </c>
      <c r="J48" s="6">
        <f t="shared" si="5"/>
        <v>97.5</v>
      </c>
      <c r="L48" s="6">
        <v>359</v>
      </c>
      <c r="M48" s="39">
        <f t="shared" si="4"/>
        <v>5.9</v>
      </c>
      <c r="N48" s="233">
        <v>6</v>
      </c>
    </row>
    <row r="49" spans="5:14" x14ac:dyDescent="0.25">
      <c r="E49" s="6">
        <v>57</v>
      </c>
      <c r="F49" s="39">
        <f t="shared" si="3"/>
        <v>129.15000000000003</v>
      </c>
      <c r="H49" s="6">
        <v>48</v>
      </c>
      <c r="I49" s="43">
        <v>2</v>
      </c>
      <c r="J49" s="6">
        <f t="shared" si="5"/>
        <v>99.5</v>
      </c>
      <c r="L49" s="6">
        <v>384</v>
      </c>
      <c r="M49" s="39">
        <f t="shared" si="4"/>
        <v>6</v>
      </c>
      <c r="N49" s="233">
        <v>6.1</v>
      </c>
    </row>
    <row r="50" spans="5:14" x14ac:dyDescent="0.25">
      <c r="E50" s="6">
        <v>58</v>
      </c>
      <c r="F50" s="39">
        <f t="shared" si="3"/>
        <v>131.10000000000002</v>
      </c>
      <c r="H50" s="6">
        <v>49</v>
      </c>
      <c r="I50" s="43">
        <v>2</v>
      </c>
      <c r="J50" s="6">
        <f t="shared" si="5"/>
        <v>101.5</v>
      </c>
      <c r="L50" s="6">
        <v>410</v>
      </c>
      <c r="M50" s="39">
        <f t="shared" si="4"/>
        <v>6.1</v>
      </c>
      <c r="N50" s="233">
        <v>6.2</v>
      </c>
    </row>
    <row r="51" spans="5:14" x14ac:dyDescent="0.25">
      <c r="E51" s="6">
        <v>59</v>
      </c>
      <c r="F51" s="39">
        <f t="shared" si="3"/>
        <v>133.05000000000001</v>
      </c>
      <c r="H51" s="6">
        <v>50</v>
      </c>
      <c r="I51" s="43">
        <v>2</v>
      </c>
      <c r="J51" s="6">
        <f t="shared" si="5"/>
        <v>103.5</v>
      </c>
      <c r="L51" s="6">
        <v>437</v>
      </c>
      <c r="M51" s="39">
        <f t="shared" si="4"/>
        <v>6.2</v>
      </c>
      <c r="N51" s="233">
        <v>6.3</v>
      </c>
    </row>
    <row r="52" spans="5:14" x14ac:dyDescent="0.25">
      <c r="E52" s="6">
        <v>60</v>
      </c>
      <c r="F52" s="39">
        <f t="shared" si="3"/>
        <v>135</v>
      </c>
      <c r="H52" s="6">
        <v>51</v>
      </c>
      <c r="I52" s="43">
        <v>2</v>
      </c>
      <c r="J52" s="6">
        <f t="shared" si="5"/>
        <v>105.5</v>
      </c>
    </row>
    <row r="53" spans="5:14" x14ac:dyDescent="0.25">
      <c r="E53" s="6">
        <v>61</v>
      </c>
      <c r="F53" s="39">
        <f t="shared" si="3"/>
        <v>136.94999999999999</v>
      </c>
      <c r="H53" s="6">
        <v>52</v>
      </c>
      <c r="I53" s="43">
        <v>2</v>
      </c>
      <c r="J53" s="6">
        <f t="shared" si="5"/>
        <v>107.5</v>
      </c>
    </row>
    <row r="54" spans="5:14" x14ac:dyDescent="0.25">
      <c r="E54" s="6">
        <v>62</v>
      </c>
      <c r="F54" s="39">
        <f t="shared" si="3"/>
        <v>138.89999999999998</v>
      </c>
      <c r="H54" s="6">
        <v>53</v>
      </c>
      <c r="I54" s="43">
        <v>2</v>
      </c>
      <c r="J54" s="6">
        <f t="shared" si="5"/>
        <v>109.5</v>
      </c>
    </row>
    <row r="55" spans="5:14" x14ac:dyDescent="0.25">
      <c r="E55" s="6">
        <v>63</v>
      </c>
      <c r="F55" s="39">
        <f t="shared" si="3"/>
        <v>140.84999999999997</v>
      </c>
      <c r="H55" s="6">
        <v>54</v>
      </c>
      <c r="I55" s="43">
        <v>2</v>
      </c>
      <c r="J55" s="6">
        <f t="shared" si="5"/>
        <v>111.5</v>
      </c>
    </row>
    <row r="56" spans="5:14" x14ac:dyDescent="0.25">
      <c r="E56" s="6">
        <v>64</v>
      </c>
      <c r="F56" s="39">
        <f t="shared" si="3"/>
        <v>142.79999999999995</v>
      </c>
      <c r="H56" s="6">
        <v>55</v>
      </c>
      <c r="I56" s="43">
        <v>2</v>
      </c>
      <c r="J56" s="6">
        <f t="shared" si="5"/>
        <v>113.5</v>
      </c>
    </row>
    <row r="57" spans="5:14" x14ac:dyDescent="0.25">
      <c r="E57" s="6">
        <v>65</v>
      </c>
      <c r="F57" s="39">
        <f t="shared" si="3"/>
        <v>144.74999999999994</v>
      </c>
      <c r="H57" s="6">
        <v>56</v>
      </c>
      <c r="I57" s="43">
        <v>2</v>
      </c>
      <c r="J57" s="6">
        <f t="shared" si="5"/>
        <v>115.5</v>
      </c>
    </row>
    <row r="58" spans="5:14" x14ac:dyDescent="0.25">
      <c r="E58" s="6">
        <v>66</v>
      </c>
      <c r="F58" s="39">
        <f t="shared" si="3"/>
        <v>146.69999999999993</v>
      </c>
      <c r="H58" s="6">
        <v>57</v>
      </c>
      <c r="I58" s="43">
        <v>2</v>
      </c>
      <c r="J58" s="6">
        <f t="shared" si="5"/>
        <v>117.5</v>
      </c>
    </row>
    <row r="59" spans="5:14" x14ac:dyDescent="0.25">
      <c r="E59" s="6">
        <v>67</v>
      </c>
      <c r="F59" s="39">
        <f t="shared" si="3"/>
        <v>148.64999999999992</v>
      </c>
      <c r="H59" s="6">
        <v>58</v>
      </c>
      <c r="I59" s="43">
        <v>2</v>
      </c>
      <c r="J59" s="6">
        <f t="shared" si="5"/>
        <v>119.5</v>
      </c>
    </row>
    <row r="60" spans="5:14" x14ac:dyDescent="0.25">
      <c r="E60" s="6">
        <v>68</v>
      </c>
      <c r="F60" s="39">
        <f t="shared" si="3"/>
        <v>150.59999999999991</v>
      </c>
      <c r="H60" s="6">
        <v>59</v>
      </c>
      <c r="I60" s="43">
        <v>2</v>
      </c>
      <c r="J60" s="6">
        <f t="shared" si="5"/>
        <v>121.5</v>
      </c>
    </row>
    <row r="61" spans="5:14" x14ac:dyDescent="0.25">
      <c r="E61" s="6">
        <v>69</v>
      </c>
      <c r="F61" s="39">
        <f t="shared" si="3"/>
        <v>152.5499999999999</v>
      </c>
      <c r="H61" s="6">
        <v>60</v>
      </c>
      <c r="I61" s="43">
        <v>2</v>
      </c>
      <c r="J61" s="6">
        <f t="shared" si="5"/>
        <v>123.5</v>
      </c>
    </row>
    <row r="62" spans="5:14" x14ac:dyDescent="0.25">
      <c r="E62" s="6">
        <v>70</v>
      </c>
      <c r="F62" s="39">
        <f t="shared" si="3"/>
        <v>154.49999999999989</v>
      </c>
      <c r="H62" s="6">
        <v>61</v>
      </c>
      <c r="I62" s="43">
        <v>2</v>
      </c>
      <c r="J62" s="6">
        <f t="shared" si="5"/>
        <v>125.5</v>
      </c>
    </row>
    <row r="63" spans="5:14" x14ac:dyDescent="0.25">
      <c r="E63" s="6">
        <v>71</v>
      </c>
      <c r="F63" s="39">
        <f t="shared" si="3"/>
        <v>156.44999999999987</v>
      </c>
      <c r="H63" s="6">
        <v>62</v>
      </c>
      <c r="I63" s="43">
        <v>2</v>
      </c>
      <c r="J63" s="6">
        <f t="shared" si="5"/>
        <v>127.5</v>
      </c>
    </row>
    <row r="64" spans="5:14" x14ac:dyDescent="0.25">
      <c r="E64" s="6">
        <v>72</v>
      </c>
      <c r="F64" s="39">
        <f t="shared" si="3"/>
        <v>158.39999999999986</v>
      </c>
      <c r="H64" s="6">
        <v>63</v>
      </c>
      <c r="I64" s="43">
        <v>2</v>
      </c>
      <c r="J64" s="6">
        <f t="shared" si="5"/>
        <v>129.5</v>
      </c>
    </row>
    <row r="65" spans="5:10" x14ac:dyDescent="0.25">
      <c r="E65" s="6">
        <v>73</v>
      </c>
      <c r="F65" s="39">
        <f t="shared" si="3"/>
        <v>160.34999999999985</v>
      </c>
      <c r="H65" s="6">
        <v>64</v>
      </c>
      <c r="I65" s="43">
        <v>2</v>
      </c>
      <c r="J65" s="6">
        <f t="shared" si="5"/>
        <v>131.5</v>
      </c>
    </row>
    <row r="66" spans="5:10" x14ac:dyDescent="0.25">
      <c r="E66" s="6">
        <v>74</v>
      </c>
      <c r="F66" s="39">
        <f t="shared" si="3"/>
        <v>162.29999999999984</v>
      </c>
      <c r="H66" s="6">
        <v>65</v>
      </c>
      <c r="I66" s="43">
        <v>2</v>
      </c>
      <c r="J66" s="6">
        <f t="shared" si="5"/>
        <v>133.5</v>
      </c>
    </row>
    <row r="67" spans="5:10" x14ac:dyDescent="0.25">
      <c r="E67" s="6">
        <v>75</v>
      </c>
      <c r="F67" s="39">
        <f t="shared" si="3"/>
        <v>164.24999999999983</v>
      </c>
      <c r="H67" s="6">
        <v>66</v>
      </c>
      <c r="I67" s="43">
        <v>2</v>
      </c>
      <c r="J67" s="6">
        <f t="shared" si="5"/>
        <v>135.5</v>
      </c>
    </row>
    <row r="68" spans="5:10" x14ac:dyDescent="0.25">
      <c r="E68" s="6">
        <v>76</v>
      </c>
      <c r="F68" s="39">
        <f t="shared" si="3"/>
        <v>166.19999999999982</v>
      </c>
      <c r="H68" s="6">
        <v>67</v>
      </c>
      <c r="I68" s="43">
        <v>2</v>
      </c>
      <c r="J68" s="6">
        <f t="shared" si="5"/>
        <v>137.5</v>
      </c>
    </row>
    <row r="69" spans="5:10" x14ac:dyDescent="0.25">
      <c r="E69" s="6">
        <v>77</v>
      </c>
      <c r="F69" s="39">
        <f t="shared" si="3"/>
        <v>168.14999999999981</v>
      </c>
      <c r="H69" s="6">
        <v>68</v>
      </c>
      <c r="I69" s="43">
        <v>2</v>
      </c>
      <c r="J69" s="6">
        <f t="shared" si="5"/>
        <v>139.5</v>
      </c>
    </row>
    <row r="70" spans="5:10" x14ac:dyDescent="0.25">
      <c r="E70" s="6">
        <v>78</v>
      </c>
      <c r="F70" s="39">
        <f t="shared" si="3"/>
        <v>170.0999999999998</v>
      </c>
      <c r="H70" s="6">
        <v>69</v>
      </c>
      <c r="I70" s="43">
        <v>2</v>
      </c>
      <c r="J70" s="6">
        <f t="shared" si="5"/>
        <v>141.5</v>
      </c>
    </row>
    <row r="71" spans="5:10" x14ac:dyDescent="0.25">
      <c r="E71" s="6">
        <v>79</v>
      </c>
      <c r="F71" s="39">
        <f t="shared" si="3"/>
        <v>172.04999999999978</v>
      </c>
      <c r="H71" s="6">
        <v>70</v>
      </c>
      <c r="I71" s="43">
        <v>2</v>
      </c>
      <c r="J71" s="6">
        <f t="shared" si="5"/>
        <v>143.5</v>
      </c>
    </row>
    <row r="72" spans="5:10" x14ac:dyDescent="0.25">
      <c r="E72" s="6">
        <v>80</v>
      </c>
      <c r="F72" s="39">
        <f t="shared" si="3"/>
        <v>173.99999999999977</v>
      </c>
      <c r="H72" s="6">
        <v>71</v>
      </c>
      <c r="I72" s="43">
        <v>2</v>
      </c>
      <c r="J72" s="6">
        <f t="shared" si="5"/>
        <v>145.5</v>
      </c>
    </row>
    <row r="73" spans="5:10" x14ac:dyDescent="0.25">
      <c r="E73" s="6">
        <v>81</v>
      </c>
      <c r="F73" s="39">
        <f t="shared" si="3"/>
        <v>175.94999999999976</v>
      </c>
      <c r="H73" s="6">
        <v>72</v>
      </c>
      <c r="I73" s="43">
        <v>2</v>
      </c>
      <c r="J73" s="6">
        <f t="shared" si="5"/>
        <v>147.5</v>
      </c>
    </row>
    <row r="74" spans="5:10" x14ac:dyDescent="0.25">
      <c r="E74" s="6">
        <v>82</v>
      </c>
      <c r="F74" s="39">
        <f t="shared" si="3"/>
        <v>177.89999999999975</v>
      </c>
      <c r="H74" s="6">
        <v>73</v>
      </c>
      <c r="I74" s="43">
        <v>2</v>
      </c>
      <c r="J74" s="6">
        <f t="shared" si="5"/>
        <v>149.5</v>
      </c>
    </row>
    <row r="75" spans="5:10" x14ac:dyDescent="0.25">
      <c r="E75" s="6">
        <v>83</v>
      </c>
      <c r="F75" s="39">
        <f t="shared" si="3"/>
        <v>179.84999999999974</v>
      </c>
      <c r="H75" s="6">
        <v>74</v>
      </c>
      <c r="I75" s="43">
        <v>2</v>
      </c>
      <c r="J75" s="6">
        <f t="shared" si="5"/>
        <v>151.5</v>
      </c>
    </row>
    <row r="76" spans="5:10" x14ac:dyDescent="0.25">
      <c r="E76" s="6">
        <v>84</v>
      </c>
      <c r="F76" s="39">
        <f t="shared" si="3"/>
        <v>181.79999999999973</v>
      </c>
      <c r="H76" s="6">
        <v>75</v>
      </c>
      <c r="I76" s="43">
        <v>2</v>
      </c>
      <c r="J76" s="6">
        <f t="shared" si="5"/>
        <v>153.5</v>
      </c>
    </row>
    <row r="77" spans="5:10" x14ac:dyDescent="0.25">
      <c r="E77" s="6">
        <v>85</v>
      </c>
      <c r="F77" s="39">
        <f t="shared" si="3"/>
        <v>183.74999999999972</v>
      </c>
      <c r="H77" s="6">
        <v>76</v>
      </c>
      <c r="I77" s="43">
        <v>2</v>
      </c>
      <c r="J77" s="6">
        <f t="shared" si="5"/>
        <v>155.5</v>
      </c>
    </row>
    <row r="78" spans="5:10" x14ac:dyDescent="0.25">
      <c r="E78" s="6">
        <v>86</v>
      </c>
      <c r="F78" s="39">
        <f t="shared" si="3"/>
        <v>185.6999999999997</v>
      </c>
      <c r="H78" s="6">
        <v>77</v>
      </c>
      <c r="I78" s="43">
        <v>2</v>
      </c>
      <c r="J78" s="6">
        <f t="shared" si="5"/>
        <v>157.5</v>
      </c>
    </row>
    <row r="79" spans="5:10" x14ac:dyDescent="0.25">
      <c r="E79" s="6">
        <v>87</v>
      </c>
      <c r="F79" s="39">
        <f t="shared" si="3"/>
        <v>187.64999999999969</v>
      </c>
      <c r="H79" s="6">
        <v>78</v>
      </c>
      <c r="I79" s="43">
        <v>2</v>
      </c>
      <c r="J79" s="6">
        <f t="shared" si="5"/>
        <v>159.5</v>
      </c>
    </row>
    <row r="80" spans="5:10" x14ac:dyDescent="0.25">
      <c r="E80" s="6">
        <v>88</v>
      </c>
      <c r="F80" s="39">
        <f t="shared" si="3"/>
        <v>189.59999999999968</v>
      </c>
      <c r="H80" s="6">
        <v>79</v>
      </c>
      <c r="I80" s="43">
        <v>2</v>
      </c>
      <c r="J80" s="6">
        <f t="shared" si="5"/>
        <v>161.5</v>
      </c>
    </row>
    <row r="81" spans="5:10" x14ac:dyDescent="0.25">
      <c r="E81" s="6">
        <v>89</v>
      </c>
      <c r="F81" s="39">
        <f t="shared" si="3"/>
        <v>191.54999999999967</v>
      </c>
      <c r="H81" s="6">
        <v>80</v>
      </c>
      <c r="I81" s="43">
        <v>2</v>
      </c>
      <c r="J81" s="6">
        <f t="shared" si="5"/>
        <v>163.5</v>
      </c>
    </row>
    <row r="82" spans="5:10" x14ac:dyDescent="0.25">
      <c r="E82" s="6">
        <v>90</v>
      </c>
      <c r="F82" s="39">
        <f t="shared" si="3"/>
        <v>193.49999999999966</v>
      </c>
      <c r="H82" s="6">
        <v>81</v>
      </c>
      <c r="I82" s="43">
        <v>2</v>
      </c>
      <c r="J82" s="6">
        <f t="shared" si="5"/>
        <v>165.5</v>
      </c>
    </row>
    <row r="83" spans="5:10" x14ac:dyDescent="0.25">
      <c r="E83" s="6">
        <v>91</v>
      </c>
      <c r="F83" s="39">
        <f t="shared" si="3"/>
        <v>195.44999999999965</v>
      </c>
      <c r="H83" s="6">
        <v>82</v>
      </c>
      <c r="I83" s="43">
        <v>2</v>
      </c>
      <c r="J83" s="6">
        <f t="shared" si="5"/>
        <v>167.5</v>
      </c>
    </row>
    <row r="84" spans="5:10" x14ac:dyDescent="0.25">
      <c r="E84" s="6">
        <v>92</v>
      </c>
      <c r="F84" s="39">
        <f t="shared" si="3"/>
        <v>197.39999999999964</v>
      </c>
      <c r="H84" s="6">
        <v>83</v>
      </c>
      <c r="I84" s="43">
        <v>2</v>
      </c>
      <c r="J84" s="6">
        <f t="shared" si="5"/>
        <v>169.5</v>
      </c>
    </row>
    <row r="85" spans="5:10" x14ac:dyDescent="0.25">
      <c r="E85" s="6">
        <v>93</v>
      </c>
      <c r="F85" s="39">
        <f t="shared" si="3"/>
        <v>199.34999999999962</v>
      </c>
      <c r="H85" s="6">
        <v>84</v>
      </c>
      <c r="I85" s="43">
        <v>2</v>
      </c>
      <c r="J85" s="6">
        <f t="shared" si="5"/>
        <v>171.5</v>
      </c>
    </row>
    <row r="86" spans="5:10" x14ac:dyDescent="0.25">
      <c r="E86" s="6">
        <v>94</v>
      </c>
      <c r="F86" s="39">
        <f t="shared" si="3"/>
        <v>201.29999999999961</v>
      </c>
      <c r="H86" s="6">
        <v>85</v>
      </c>
      <c r="I86" s="43">
        <v>2</v>
      </c>
      <c r="J86" s="6">
        <f t="shared" si="5"/>
        <v>173.5</v>
      </c>
    </row>
    <row r="87" spans="5:10" x14ac:dyDescent="0.25">
      <c r="E87" s="6">
        <v>95</v>
      </c>
      <c r="F87" s="39">
        <f t="shared" si="3"/>
        <v>203.2499999999996</v>
      </c>
      <c r="H87" s="6">
        <v>86</v>
      </c>
      <c r="I87" s="43">
        <v>2</v>
      </c>
      <c r="J87" s="6">
        <f t="shared" si="5"/>
        <v>175.5</v>
      </c>
    </row>
    <row r="88" spans="5:10" x14ac:dyDescent="0.25">
      <c r="E88" s="6">
        <v>96</v>
      </c>
      <c r="F88" s="39">
        <f t="shared" ref="F88:F92" si="6">F87+C$3</f>
        <v>205.19999999999959</v>
      </c>
      <c r="H88" s="6">
        <v>87</v>
      </c>
      <c r="I88" s="43">
        <v>2</v>
      </c>
      <c r="J88" s="6">
        <f t="shared" si="5"/>
        <v>177.5</v>
      </c>
    </row>
    <row r="89" spans="5:10" x14ac:dyDescent="0.25">
      <c r="E89" s="6">
        <v>97</v>
      </c>
      <c r="F89" s="39">
        <f t="shared" si="6"/>
        <v>207.14999999999958</v>
      </c>
      <c r="H89" s="6">
        <v>88</v>
      </c>
      <c r="I89" s="43">
        <v>2</v>
      </c>
      <c r="J89" s="6">
        <f t="shared" si="5"/>
        <v>179.5</v>
      </c>
    </row>
    <row r="90" spans="5:10" x14ac:dyDescent="0.25">
      <c r="E90" s="6">
        <v>98</v>
      </c>
      <c r="F90" s="39">
        <f t="shared" si="6"/>
        <v>209.09999999999957</v>
      </c>
      <c r="H90" s="6">
        <v>89</v>
      </c>
      <c r="I90" s="43">
        <v>2</v>
      </c>
      <c r="J90" s="6">
        <f t="shared" si="5"/>
        <v>181.5</v>
      </c>
    </row>
    <row r="91" spans="5:10" x14ac:dyDescent="0.25">
      <c r="E91" s="6">
        <v>99</v>
      </c>
      <c r="F91" s="39">
        <f t="shared" si="6"/>
        <v>211.04999999999956</v>
      </c>
      <c r="H91" s="6">
        <v>90</v>
      </c>
      <c r="I91" s="43">
        <v>2</v>
      </c>
      <c r="J91" s="6">
        <f t="shared" si="5"/>
        <v>183.5</v>
      </c>
    </row>
    <row r="92" spans="5:10" x14ac:dyDescent="0.25">
      <c r="E92" s="38">
        <v>100</v>
      </c>
      <c r="F92" s="40">
        <f t="shared" si="6"/>
        <v>212.99999999999955</v>
      </c>
      <c r="H92" s="6">
        <v>91</v>
      </c>
      <c r="I92" s="43">
        <v>2</v>
      </c>
      <c r="J92" s="6">
        <f t="shared" si="5"/>
        <v>185.5</v>
      </c>
    </row>
    <row r="93" spans="5:10" x14ac:dyDescent="0.25">
      <c r="E93" s="6">
        <v>101</v>
      </c>
      <c r="F93" s="39">
        <f>F92+C$4</f>
        <v>214.99999999999955</v>
      </c>
      <c r="H93" s="6">
        <v>92</v>
      </c>
      <c r="I93" s="43">
        <v>2</v>
      </c>
      <c r="J93" s="6">
        <f t="shared" si="5"/>
        <v>187.5</v>
      </c>
    </row>
    <row r="94" spans="5:10" x14ac:dyDescent="0.25">
      <c r="E94" s="6">
        <v>102</v>
      </c>
      <c r="F94" s="39">
        <f t="shared" ref="F94:F157" si="7">F93+C$4</f>
        <v>216.99999999999955</v>
      </c>
      <c r="H94" s="6">
        <v>93</v>
      </c>
      <c r="I94" s="43">
        <v>2</v>
      </c>
      <c r="J94" s="6">
        <f t="shared" si="5"/>
        <v>189.5</v>
      </c>
    </row>
    <row r="95" spans="5:10" x14ac:dyDescent="0.25">
      <c r="E95" s="6">
        <v>103</v>
      </c>
      <c r="F95" s="39">
        <f t="shared" si="7"/>
        <v>218.99999999999955</v>
      </c>
      <c r="H95" s="6">
        <v>94</v>
      </c>
      <c r="I95" s="43">
        <v>2</v>
      </c>
      <c r="J95" s="6">
        <f t="shared" si="5"/>
        <v>191.5</v>
      </c>
    </row>
    <row r="96" spans="5:10" x14ac:dyDescent="0.25">
      <c r="E96" s="6">
        <v>104</v>
      </c>
      <c r="F96" s="39">
        <f t="shared" si="7"/>
        <v>220.99999999999955</v>
      </c>
      <c r="H96" s="6">
        <v>95</v>
      </c>
      <c r="I96" s="43">
        <v>2</v>
      </c>
      <c r="J96" s="6">
        <f t="shared" ref="J96:J159" si="8">J95+I96</f>
        <v>193.5</v>
      </c>
    </row>
    <row r="97" spans="5:10" x14ac:dyDescent="0.25">
      <c r="E97" s="6">
        <v>105</v>
      </c>
      <c r="F97" s="39">
        <f t="shared" si="7"/>
        <v>222.99999999999955</v>
      </c>
      <c r="H97" s="6">
        <v>96</v>
      </c>
      <c r="I97" s="43">
        <v>2</v>
      </c>
      <c r="J97" s="6">
        <f t="shared" si="8"/>
        <v>195.5</v>
      </c>
    </row>
    <row r="98" spans="5:10" x14ac:dyDescent="0.25">
      <c r="E98" s="6">
        <v>106</v>
      </c>
      <c r="F98" s="39">
        <f t="shared" si="7"/>
        <v>224.99999999999955</v>
      </c>
      <c r="H98" s="6">
        <v>97</v>
      </c>
      <c r="I98" s="43">
        <v>2</v>
      </c>
      <c r="J98" s="6">
        <f t="shared" si="8"/>
        <v>197.5</v>
      </c>
    </row>
    <row r="99" spans="5:10" x14ac:dyDescent="0.25">
      <c r="E99" s="6">
        <v>107</v>
      </c>
      <c r="F99" s="39">
        <f t="shared" si="7"/>
        <v>226.99999999999955</v>
      </c>
      <c r="H99" s="6">
        <v>98</v>
      </c>
      <c r="I99" s="43">
        <v>2</v>
      </c>
      <c r="J99" s="6">
        <f t="shared" si="8"/>
        <v>199.5</v>
      </c>
    </row>
    <row r="100" spans="5:10" x14ac:dyDescent="0.25">
      <c r="E100" s="6">
        <v>108</v>
      </c>
      <c r="F100" s="39">
        <f t="shared" si="7"/>
        <v>228.99999999999955</v>
      </c>
      <c r="H100" s="6">
        <v>99</v>
      </c>
      <c r="I100" s="43">
        <v>2</v>
      </c>
      <c r="J100" s="6">
        <f t="shared" si="8"/>
        <v>201.5</v>
      </c>
    </row>
    <row r="101" spans="5:10" x14ac:dyDescent="0.25">
      <c r="E101" s="6">
        <v>109</v>
      </c>
      <c r="F101" s="39">
        <f t="shared" si="7"/>
        <v>230.99999999999955</v>
      </c>
      <c r="H101" s="6">
        <v>100</v>
      </c>
      <c r="I101" s="43">
        <v>2</v>
      </c>
      <c r="J101" s="6">
        <f t="shared" si="8"/>
        <v>203.5</v>
      </c>
    </row>
    <row r="102" spans="5:10" x14ac:dyDescent="0.25">
      <c r="E102" s="6">
        <v>110</v>
      </c>
      <c r="F102" s="39">
        <f t="shared" si="7"/>
        <v>232.99999999999955</v>
      </c>
      <c r="H102" s="6">
        <v>101</v>
      </c>
      <c r="I102" s="43">
        <v>2</v>
      </c>
      <c r="J102" s="6">
        <f t="shared" si="8"/>
        <v>205.5</v>
      </c>
    </row>
    <row r="103" spans="5:10" x14ac:dyDescent="0.25">
      <c r="E103" s="6">
        <v>111</v>
      </c>
      <c r="F103" s="39">
        <f t="shared" si="7"/>
        <v>234.99999999999955</v>
      </c>
      <c r="H103" s="6">
        <v>102</v>
      </c>
      <c r="I103" s="43">
        <v>2</v>
      </c>
      <c r="J103" s="6">
        <f t="shared" si="8"/>
        <v>207.5</v>
      </c>
    </row>
    <row r="104" spans="5:10" x14ac:dyDescent="0.25">
      <c r="E104" s="6">
        <v>112</v>
      </c>
      <c r="F104" s="39">
        <f t="shared" si="7"/>
        <v>236.99999999999955</v>
      </c>
      <c r="H104" s="6">
        <v>103</v>
      </c>
      <c r="I104" s="43">
        <v>2</v>
      </c>
      <c r="J104" s="6">
        <f t="shared" si="8"/>
        <v>209.5</v>
      </c>
    </row>
    <row r="105" spans="5:10" x14ac:dyDescent="0.25">
      <c r="E105" s="6">
        <v>113</v>
      </c>
      <c r="F105" s="39">
        <f t="shared" si="7"/>
        <v>238.99999999999955</v>
      </c>
      <c r="H105" s="6">
        <v>104</v>
      </c>
      <c r="I105" s="43">
        <v>2</v>
      </c>
      <c r="J105" s="6">
        <f t="shared" si="8"/>
        <v>211.5</v>
      </c>
    </row>
    <row r="106" spans="5:10" x14ac:dyDescent="0.25">
      <c r="E106" s="6">
        <v>114</v>
      </c>
      <c r="F106" s="39">
        <f t="shared" si="7"/>
        <v>240.99999999999955</v>
      </c>
      <c r="H106" s="6">
        <v>105</v>
      </c>
      <c r="I106" s="43">
        <v>2</v>
      </c>
      <c r="J106" s="6">
        <f t="shared" si="8"/>
        <v>213.5</v>
      </c>
    </row>
    <row r="107" spans="5:10" x14ac:dyDescent="0.25">
      <c r="E107" s="6">
        <v>115</v>
      </c>
      <c r="F107" s="39">
        <f t="shared" si="7"/>
        <v>242.99999999999955</v>
      </c>
      <c r="H107" s="6">
        <v>106</v>
      </c>
      <c r="I107" s="43">
        <v>2</v>
      </c>
      <c r="J107" s="6">
        <f t="shared" si="8"/>
        <v>215.5</v>
      </c>
    </row>
    <row r="108" spans="5:10" x14ac:dyDescent="0.25">
      <c r="E108" s="6">
        <v>116</v>
      </c>
      <c r="F108" s="39">
        <f t="shared" si="7"/>
        <v>244.99999999999955</v>
      </c>
      <c r="H108" s="6">
        <v>107</v>
      </c>
      <c r="I108" s="43">
        <v>2</v>
      </c>
      <c r="J108" s="6">
        <f t="shared" si="8"/>
        <v>217.5</v>
      </c>
    </row>
    <row r="109" spans="5:10" x14ac:dyDescent="0.25">
      <c r="E109" s="6">
        <v>117</v>
      </c>
      <c r="F109" s="39">
        <f t="shared" si="7"/>
        <v>246.99999999999955</v>
      </c>
      <c r="H109" s="6">
        <v>108</v>
      </c>
      <c r="I109" s="43">
        <v>2</v>
      </c>
      <c r="J109" s="6">
        <f t="shared" si="8"/>
        <v>219.5</v>
      </c>
    </row>
    <row r="110" spans="5:10" x14ac:dyDescent="0.25">
      <c r="E110" s="6">
        <v>118</v>
      </c>
      <c r="F110" s="39">
        <f t="shared" si="7"/>
        <v>248.99999999999955</v>
      </c>
      <c r="H110" s="6">
        <v>109</v>
      </c>
      <c r="I110" s="43">
        <v>2</v>
      </c>
      <c r="J110" s="6">
        <f t="shared" si="8"/>
        <v>221.5</v>
      </c>
    </row>
    <row r="111" spans="5:10" x14ac:dyDescent="0.25">
      <c r="E111" s="6">
        <v>119</v>
      </c>
      <c r="F111" s="39">
        <f t="shared" si="7"/>
        <v>250.99999999999955</v>
      </c>
      <c r="H111" s="6">
        <v>110</v>
      </c>
      <c r="I111" s="43">
        <v>2</v>
      </c>
      <c r="J111" s="6">
        <f t="shared" si="8"/>
        <v>223.5</v>
      </c>
    </row>
    <row r="112" spans="5:10" x14ac:dyDescent="0.25">
      <c r="E112" s="6">
        <v>120</v>
      </c>
      <c r="F112" s="39">
        <f t="shared" si="7"/>
        <v>252.99999999999955</v>
      </c>
      <c r="H112" s="6">
        <v>111</v>
      </c>
      <c r="I112" s="43">
        <v>2</v>
      </c>
      <c r="J112" s="6">
        <f t="shared" si="8"/>
        <v>225.5</v>
      </c>
    </row>
    <row r="113" spans="5:10" x14ac:dyDescent="0.25">
      <c r="E113" s="6">
        <v>121</v>
      </c>
      <c r="F113" s="39">
        <f t="shared" si="7"/>
        <v>254.99999999999955</v>
      </c>
      <c r="H113" s="6">
        <v>112</v>
      </c>
      <c r="I113" s="43">
        <v>2</v>
      </c>
      <c r="J113" s="6">
        <f t="shared" si="8"/>
        <v>227.5</v>
      </c>
    </row>
    <row r="114" spans="5:10" x14ac:dyDescent="0.25">
      <c r="E114" s="6">
        <v>122</v>
      </c>
      <c r="F114" s="39">
        <f t="shared" si="7"/>
        <v>256.99999999999955</v>
      </c>
      <c r="H114" s="6">
        <v>113</v>
      </c>
      <c r="I114" s="43">
        <v>2</v>
      </c>
      <c r="J114" s="6">
        <f t="shared" si="8"/>
        <v>229.5</v>
      </c>
    </row>
    <row r="115" spans="5:10" x14ac:dyDescent="0.25">
      <c r="E115" s="6">
        <v>123</v>
      </c>
      <c r="F115" s="39">
        <f t="shared" si="7"/>
        <v>258.99999999999955</v>
      </c>
      <c r="H115" s="6">
        <v>114</v>
      </c>
      <c r="I115" s="43">
        <v>2</v>
      </c>
      <c r="J115" s="6">
        <f t="shared" si="8"/>
        <v>231.5</v>
      </c>
    </row>
    <row r="116" spans="5:10" x14ac:dyDescent="0.25">
      <c r="E116" s="6">
        <v>124</v>
      </c>
      <c r="F116" s="39">
        <f t="shared" si="7"/>
        <v>260.99999999999955</v>
      </c>
      <c r="H116" s="6">
        <v>115</v>
      </c>
      <c r="I116" s="43">
        <v>2</v>
      </c>
      <c r="J116" s="6">
        <f t="shared" si="8"/>
        <v>233.5</v>
      </c>
    </row>
    <row r="117" spans="5:10" x14ac:dyDescent="0.25">
      <c r="E117" s="6">
        <v>125</v>
      </c>
      <c r="F117" s="39">
        <f t="shared" si="7"/>
        <v>262.99999999999955</v>
      </c>
      <c r="H117" s="6">
        <v>116</v>
      </c>
      <c r="I117" s="43">
        <v>2</v>
      </c>
      <c r="J117" s="6">
        <f t="shared" si="8"/>
        <v>235.5</v>
      </c>
    </row>
    <row r="118" spans="5:10" x14ac:dyDescent="0.25">
      <c r="E118" s="6">
        <v>126</v>
      </c>
      <c r="F118" s="39">
        <f t="shared" si="7"/>
        <v>264.99999999999955</v>
      </c>
      <c r="H118" s="6">
        <v>117</v>
      </c>
      <c r="I118" s="43">
        <v>2</v>
      </c>
      <c r="J118" s="6">
        <f t="shared" si="8"/>
        <v>237.5</v>
      </c>
    </row>
    <row r="119" spans="5:10" x14ac:dyDescent="0.25">
      <c r="E119" s="6">
        <v>127</v>
      </c>
      <c r="F119" s="39">
        <f t="shared" si="7"/>
        <v>266.99999999999955</v>
      </c>
      <c r="H119" s="6">
        <v>118</v>
      </c>
      <c r="I119" s="43">
        <v>2</v>
      </c>
      <c r="J119" s="6">
        <f t="shared" si="8"/>
        <v>239.5</v>
      </c>
    </row>
    <row r="120" spans="5:10" x14ac:dyDescent="0.25">
      <c r="E120" s="6">
        <v>128</v>
      </c>
      <c r="F120" s="39">
        <f t="shared" si="7"/>
        <v>268.99999999999955</v>
      </c>
      <c r="H120" s="6">
        <v>119</v>
      </c>
      <c r="I120" s="43">
        <v>2</v>
      </c>
      <c r="J120" s="6">
        <f t="shared" si="8"/>
        <v>241.5</v>
      </c>
    </row>
    <row r="121" spans="5:10" x14ac:dyDescent="0.25">
      <c r="E121" s="6">
        <v>129</v>
      </c>
      <c r="F121" s="39">
        <f t="shared" si="7"/>
        <v>270.99999999999955</v>
      </c>
      <c r="H121" s="6">
        <v>120</v>
      </c>
      <c r="I121" s="43">
        <v>2</v>
      </c>
      <c r="J121" s="6">
        <f t="shared" si="8"/>
        <v>243.5</v>
      </c>
    </row>
    <row r="122" spans="5:10" x14ac:dyDescent="0.25">
      <c r="E122" s="6">
        <v>130</v>
      </c>
      <c r="F122" s="39">
        <f t="shared" si="7"/>
        <v>272.99999999999955</v>
      </c>
      <c r="H122" s="6">
        <v>121</v>
      </c>
      <c r="I122" s="43">
        <v>2</v>
      </c>
      <c r="J122" s="6">
        <f t="shared" si="8"/>
        <v>245.5</v>
      </c>
    </row>
    <row r="123" spans="5:10" x14ac:dyDescent="0.25">
      <c r="E123" s="6">
        <v>131</v>
      </c>
      <c r="F123" s="39">
        <f t="shared" si="7"/>
        <v>274.99999999999955</v>
      </c>
      <c r="H123" s="6">
        <v>122</v>
      </c>
      <c r="I123" s="43">
        <v>2</v>
      </c>
      <c r="J123" s="6">
        <f t="shared" si="8"/>
        <v>247.5</v>
      </c>
    </row>
    <row r="124" spans="5:10" x14ac:dyDescent="0.25">
      <c r="E124" s="6">
        <v>132</v>
      </c>
      <c r="F124" s="39">
        <f t="shared" si="7"/>
        <v>276.99999999999955</v>
      </c>
      <c r="H124" s="6">
        <v>123</v>
      </c>
      <c r="I124" s="43">
        <v>2</v>
      </c>
      <c r="J124" s="6">
        <f t="shared" si="8"/>
        <v>249.5</v>
      </c>
    </row>
    <row r="125" spans="5:10" x14ac:dyDescent="0.25">
      <c r="E125" s="6">
        <v>133</v>
      </c>
      <c r="F125" s="39">
        <f t="shared" si="7"/>
        <v>278.99999999999955</v>
      </c>
      <c r="H125" s="6">
        <v>124</v>
      </c>
      <c r="I125" s="43">
        <v>2</v>
      </c>
      <c r="J125" s="6">
        <f t="shared" si="8"/>
        <v>251.5</v>
      </c>
    </row>
    <row r="126" spans="5:10" x14ac:dyDescent="0.25">
      <c r="E126" s="6">
        <v>134</v>
      </c>
      <c r="F126" s="39">
        <f t="shared" si="7"/>
        <v>280.99999999999955</v>
      </c>
      <c r="H126" s="6">
        <v>125</v>
      </c>
      <c r="I126" s="43">
        <v>2</v>
      </c>
      <c r="J126" s="6">
        <f t="shared" si="8"/>
        <v>253.5</v>
      </c>
    </row>
    <row r="127" spans="5:10" x14ac:dyDescent="0.25">
      <c r="E127" s="6">
        <v>135</v>
      </c>
      <c r="F127" s="39">
        <f t="shared" si="7"/>
        <v>282.99999999999955</v>
      </c>
      <c r="H127" s="6">
        <v>126</v>
      </c>
      <c r="I127" s="43">
        <v>2</v>
      </c>
      <c r="J127" s="6">
        <f t="shared" si="8"/>
        <v>255.5</v>
      </c>
    </row>
    <row r="128" spans="5:10" x14ac:dyDescent="0.25">
      <c r="E128" s="6">
        <v>136</v>
      </c>
      <c r="F128" s="39">
        <f t="shared" si="7"/>
        <v>284.99999999999955</v>
      </c>
      <c r="H128" s="6">
        <v>127</v>
      </c>
      <c r="I128" s="43">
        <v>2</v>
      </c>
      <c r="J128" s="6">
        <f t="shared" si="8"/>
        <v>257.5</v>
      </c>
    </row>
    <row r="129" spans="5:10" x14ac:dyDescent="0.25">
      <c r="E129" s="6">
        <v>137</v>
      </c>
      <c r="F129" s="39">
        <f t="shared" si="7"/>
        <v>286.99999999999955</v>
      </c>
      <c r="H129" s="6">
        <v>128</v>
      </c>
      <c r="I129" s="43">
        <v>2</v>
      </c>
      <c r="J129" s="6">
        <f t="shared" si="8"/>
        <v>259.5</v>
      </c>
    </row>
    <row r="130" spans="5:10" x14ac:dyDescent="0.25">
      <c r="E130" s="6">
        <v>138</v>
      </c>
      <c r="F130" s="39">
        <f t="shared" si="7"/>
        <v>288.99999999999955</v>
      </c>
      <c r="H130" s="6">
        <v>129</v>
      </c>
      <c r="I130" s="43">
        <v>2</v>
      </c>
      <c r="J130" s="6">
        <f t="shared" si="8"/>
        <v>261.5</v>
      </c>
    </row>
    <row r="131" spans="5:10" x14ac:dyDescent="0.25">
      <c r="E131" s="6">
        <v>139</v>
      </c>
      <c r="F131" s="39">
        <f t="shared" si="7"/>
        <v>290.99999999999955</v>
      </c>
      <c r="H131" s="6">
        <v>130</v>
      </c>
      <c r="I131" s="43">
        <v>2</v>
      </c>
      <c r="J131" s="6">
        <f t="shared" si="8"/>
        <v>263.5</v>
      </c>
    </row>
    <row r="132" spans="5:10" x14ac:dyDescent="0.25">
      <c r="E132" s="6">
        <v>140</v>
      </c>
      <c r="F132" s="39">
        <f t="shared" si="7"/>
        <v>292.99999999999955</v>
      </c>
      <c r="H132" s="6">
        <v>131</v>
      </c>
      <c r="I132" s="43">
        <v>2</v>
      </c>
      <c r="J132" s="6">
        <f t="shared" si="8"/>
        <v>265.5</v>
      </c>
    </row>
    <row r="133" spans="5:10" x14ac:dyDescent="0.25">
      <c r="E133" s="6">
        <v>141</v>
      </c>
      <c r="F133" s="39">
        <f t="shared" si="7"/>
        <v>294.99999999999955</v>
      </c>
      <c r="H133" s="6">
        <v>132</v>
      </c>
      <c r="I133" s="43">
        <v>2</v>
      </c>
      <c r="J133" s="6">
        <f t="shared" si="8"/>
        <v>267.5</v>
      </c>
    </row>
    <row r="134" spans="5:10" x14ac:dyDescent="0.25">
      <c r="E134" s="6">
        <v>142</v>
      </c>
      <c r="F134" s="39">
        <f t="shared" si="7"/>
        <v>296.99999999999955</v>
      </c>
      <c r="H134" s="6">
        <v>133</v>
      </c>
      <c r="I134" s="43">
        <v>2</v>
      </c>
      <c r="J134" s="6">
        <f t="shared" si="8"/>
        <v>269.5</v>
      </c>
    </row>
    <row r="135" spans="5:10" x14ac:dyDescent="0.25">
      <c r="E135" s="6">
        <v>143</v>
      </c>
      <c r="F135" s="39">
        <f t="shared" si="7"/>
        <v>298.99999999999955</v>
      </c>
      <c r="H135" s="6">
        <v>134</v>
      </c>
      <c r="I135" s="43">
        <v>2</v>
      </c>
      <c r="J135" s="6">
        <f t="shared" si="8"/>
        <v>271.5</v>
      </c>
    </row>
    <row r="136" spans="5:10" x14ac:dyDescent="0.25">
      <c r="E136" s="6">
        <v>144</v>
      </c>
      <c r="F136" s="39">
        <f t="shared" si="7"/>
        <v>300.99999999999955</v>
      </c>
      <c r="H136" s="6">
        <v>135</v>
      </c>
      <c r="I136" s="43">
        <v>2</v>
      </c>
      <c r="J136" s="6">
        <f t="shared" si="8"/>
        <v>273.5</v>
      </c>
    </row>
    <row r="137" spans="5:10" x14ac:dyDescent="0.25">
      <c r="E137" s="6">
        <v>145</v>
      </c>
      <c r="F137" s="39">
        <f t="shared" si="7"/>
        <v>302.99999999999955</v>
      </c>
      <c r="H137" s="6">
        <v>136</v>
      </c>
      <c r="I137" s="43">
        <v>2</v>
      </c>
      <c r="J137" s="6">
        <f t="shared" si="8"/>
        <v>275.5</v>
      </c>
    </row>
    <row r="138" spans="5:10" x14ac:dyDescent="0.25">
      <c r="E138" s="6">
        <v>146</v>
      </c>
      <c r="F138" s="39">
        <f t="shared" si="7"/>
        <v>304.99999999999955</v>
      </c>
      <c r="H138" s="6">
        <v>137</v>
      </c>
      <c r="I138" s="43">
        <v>2</v>
      </c>
      <c r="J138" s="6">
        <f t="shared" si="8"/>
        <v>277.5</v>
      </c>
    </row>
    <row r="139" spans="5:10" x14ac:dyDescent="0.25">
      <c r="E139" s="6">
        <v>147</v>
      </c>
      <c r="F139" s="39">
        <f t="shared" si="7"/>
        <v>306.99999999999955</v>
      </c>
      <c r="H139" s="6">
        <v>138</v>
      </c>
      <c r="I139" s="43">
        <v>2</v>
      </c>
      <c r="J139" s="6">
        <f t="shared" si="8"/>
        <v>279.5</v>
      </c>
    </row>
    <row r="140" spans="5:10" x14ac:dyDescent="0.25">
      <c r="E140" s="6">
        <v>148</v>
      </c>
      <c r="F140" s="39">
        <f t="shared" si="7"/>
        <v>308.99999999999955</v>
      </c>
      <c r="H140" s="6">
        <v>139</v>
      </c>
      <c r="I140" s="43">
        <v>2</v>
      </c>
      <c r="J140" s="6">
        <f t="shared" si="8"/>
        <v>281.5</v>
      </c>
    </row>
    <row r="141" spans="5:10" x14ac:dyDescent="0.25">
      <c r="E141" s="6">
        <v>149</v>
      </c>
      <c r="F141" s="39">
        <f t="shared" si="7"/>
        <v>310.99999999999955</v>
      </c>
      <c r="H141" s="6">
        <v>140</v>
      </c>
      <c r="I141" s="43">
        <v>2</v>
      </c>
      <c r="J141" s="6">
        <f t="shared" si="8"/>
        <v>283.5</v>
      </c>
    </row>
    <row r="142" spans="5:10" x14ac:dyDescent="0.25">
      <c r="E142" s="6">
        <v>150</v>
      </c>
      <c r="F142" s="39">
        <f t="shared" si="7"/>
        <v>312.99999999999955</v>
      </c>
      <c r="H142" s="6">
        <v>141</v>
      </c>
      <c r="I142" s="43">
        <v>2</v>
      </c>
      <c r="J142" s="6">
        <f t="shared" si="8"/>
        <v>285.5</v>
      </c>
    </row>
    <row r="143" spans="5:10" x14ac:dyDescent="0.25">
      <c r="E143" s="6">
        <v>151</v>
      </c>
      <c r="F143" s="39">
        <f t="shared" si="7"/>
        <v>314.99999999999955</v>
      </c>
      <c r="H143" s="6">
        <v>142</v>
      </c>
      <c r="I143" s="43">
        <v>2</v>
      </c>
      <c r="J143" s="6">
        <f t="shared" si="8"/>
        <v>287.5</v>
      </c>
    </row>
    <row r="144" spans="5:10" x14ac:dyDescent="0.25">
      <c r="E144" s="6">
        <v>152</v>
      </c>
      <c r="F144" s="39">
        <f t="shared" si="7"/>
        <v>316.99999999999955</v>
      </c>
      <c r="H144" s="6">
        <v>143</v>
      </c>
      <c r="I144" s="43">
        <v>2</v>
      </c>
      <c r="J144" s="6">
        <f t="shared" si="8"/>
        <v>289.5</v>
      </c>
    </row>
    <row r="145" spans="5:10" x14ac:dyDescent="0.25">
      <c r="E145" s="6">
        <v>153</v>
      </c>
      <c r="F145" s="39">
        <f t="shared" si="7"/>
        <v>318.99999999999955</v>
      </c>
      <c r="H145" s="6">
        <v>144</v>
      </c>
      <c r="I145" s="43">
        <v>2</v>
      </c>
      <c r="J145" s="6">
        <f t="shared" si="8"/>
        <v>291.5</v>
      </c>
    </row>
    <row r="146" spans="5:10" x14ac:dyDescent="0.25">
      <c r="E146" s="6">
        <v>154</v>
      </c>
      <c r="F146" s="39">
        <f t="shared" si="7"/>
        <v>320.99999999999955</v>
      </c>
      <c r="H146" s="6">
        <v>145</v>
      </c>
      <c r="I146" s="43">
        <v>2</v>
      </c>
      <c r="J146" s="6">
        <f t="shared" si="8"/>
        <v>293.5</v>
      </c>
    </row>
    <row r="147" spans="5:10" x14ac:dyDescent="0.25">
      <c r="E147" s="6">
        <v>155</v>
      </c>
      <c r="F147" s="39">
        <f t="shared" si="7"/>
        <v>322.99999999999955</v>
      </c>
      <c r="H147" s="6">
        <v>146</v>
      </c>
      <c r="I147" s="43">
        <v>2</v>
      </c>
      <c r="J147" s="6">
        <f t="shared" si="8"/>
        <v>295.5</v>
      </c>
    </row>
    <row r="148" spans="5:10" x14ac:dyDescent="0.25">
      <c r="E148" s="6">
        <v>156</v>
      </c>
      <c r="F148" s="39">
        <f t="shared" si="7"/>
        <v>324.99999999999955</v>
      </c>
      <c r="H148" s="6">
        <v>147</v>
      </c>
      <c r="I148" s="43">
        <v>2</v>
      </c>
      <c r="J148" s="6">
        <f t="shared" si="8"/>
        <v>297.5</v>
      </c>
    </row>
    <row r="149" spans="5:10" x14ac:dyDescent="0.25">
      <c r="E149" s="6">
        <v>157</v>
      </c>
      <c r="F149" s="39">
        <f t="shared" si="7"/>
        <v>326.99999999999955</v>
      </c>
      <c r="H149" s="6">
        <v>148</v>
      </c>
      <c r="I149" s="43">
        <v>2</v>
      </c>
      <c r="J149" s="6">
        <f t="shared" si="8"/>
        <v>299.5</v>
      </c>
    </row>
    <row r="150" spans="5:10" x14ac:dyDescent="0.25">
      <c r="E150" s="6">
        <v>158</v>
      </c>
      <c r="F150" s="39">
        <f t="shared" si="7"/>
        <v>328.99999999999955</v>
      </c>
      <c r="H150" s="6">
        <v>149</v>
      </c>
      <c r="I150" s="43">
        <v>2</v>
      </c>
      <c r="J150" s="6">
        <f t="shared" si="8"/>
        <v>301.5</v>
      </c>
    </row>
    <row r="151" spans="5:10" x14ac:dyDescent="0.25">
      <c r="E151" s="6">
        <v>159</v>
      </c>
      <c r="F151" s="39">
        <f t="shared" si="7"/>
        <v>330.99999999999955</v>
      </c>
      <c r="H151" s="6">
        <v>150</v>
      </c>
      <c r="I151" s="43">
        <v>2</v>
      </c>
      <c r="J151" s="6">
        <f t="shared" si="8"/>
        <v>303.5</v>
      </c>
    </row>
    <row r="152" spans="5:10" x14ac:dyDescent="0.25">
      <c r="E152" s="6">
        <v>160</v>
      </c>
      <c r="F152" s="39">
        <f t="shared" si="7"/>
        <v>332.99999999999955</v>
      </c>
      <c r="H152" s="6">
        <v>151</v>
      </c>
      <c r="I152" s="43">
        <v>2</v>
      </c>
      <c r="J152" s="6">
        <f t="shared" si="8"/>
        <v>305.5</v>
      </c>
    </row>
    <row r="153" spans="5:10" x14ac:dyDescent="0.25">
      <c r="E153" s="6">
        <v>161</v>
      </c>
      <c r="F153" s="39">
        <f t="shared" si="7"/>
        <v>334.99999999999955</v>
      </c>
      <c r="H153" s="6">
        <v>152</v>
      </c>
      <c r="I153" s="43">
        <v>2</v>
      </c>
      <c r="J153" s="6">
        <f t="shared" si="8"/>
        <v>307.5</v>
      </c>
    </row>
    <row r="154" spans="5:10" x14ac:dyDescent="0.25">
      <c r="E154" s="6">
        <v>162</v>
      </c>
      <c r="F154" s="39">
        <f t="shared" si="7"/>
        <v>336.99999999999955</v>
      </c>
      <c r="H154" s="6">
        <v>153</v>
      </c>
      <c r="I154" s="43">
        <v>2</v>
      </c>
      <c r="J154" s="6">
        <f t="shared" si="8"/>
        <v>309.5</v>
      </c>
    </row>
    <row r="155" spans="5:10" x14ac:dyDescent="0.25">
      <c r="E155" s="6">
        <v>163</v>
      </c>
      <c r="F155" s="39">
        <f t="shared" si="7"/>
        <v>338.99999999999955</v>
      </c>
      <c r="H155" s="6">
        <v>154</v>
      </c>
      <c r="I155" s="43">
        <v>2</v>
      </c>
      <c r="J155" s="6">
        <f t="shared" si="8"/>
        <v>311.5</v>
      </c>
    </row>
    <row r="156" spans="5:10" x14ac:dyDescent="0.25">
      <c r="E156" s="6">
        <v>164</v>
      </c>
      <c r="F156" s="39">
        <f t="shared" si="7"/>
        <v>340.99999999999955</v>
      </c>
      <c r="H156" s="6">
        <v>155</v>
      </c>
      <c r="I156" s="43">
        <v>2</v>
      </c>
      <c r="J156" s="6">
        <f t="shared" si="8"/>
        <v>313.5</v>
      </c>
    </row>
    <row r="157" spans="5:10" x14ac:dyDescent="0.25">
      <c r="E157" s="6">
        <v>165</v>
      </c>
      <c r="F157" s="39">
        <f t="shared" si="7"/>
        <v>342.99999999999955</v>
      </c>
      <c r="H157" s="6">
        <v>156</v>
      </c>
      <c r="I157" s="43">
        <v>2</v>
      </c>
      <c r="J157" s="6">
        <f t="shared" si="8"/>
        <v>315.5</v>
      </c>
    </row>
    <row r="158" spans="5:10" x14ac:dyDescent="0.25">
      <c r="E158" s="6">
        <v>166</v>
      </c>
      <c r="F158" s="39">
        <f t="shared" ref="F158:F221" si="9">F157+C$4</f>
        <v>344.99999999999955</v>
      </c>
      <c r="H158" s="6">
        <v>157</v>
      </c>
      <c r="I158" s="43">
        <v>2</v>
      </c>
      <c r="J158" s="6">
        <f t="shared" si="8"/>
        <v>317.5</v>
      </c>
    </row>
    <row r="159" spans="5:10" x14ac:dyDescent="0.25">
      <c r="E159" s="6">
        <v>167</v>
      </c>
      <c r="F159" s="39">
        <f t="shared" si="9"/>
        <v>346.99999999999955</v>
      </c>
      <c r="H159" s="6">
        <v>158</v>
      </c>
      <c r="I159" s="43">
        <v>2</v>
      </c>
      <c r="J159" s="6">
        <f t="shared" si="8"/>
        <v>319.5</v>
      </c>
    </row>
    <row r="160" spans="5:10" x14ac:dyDescent="0.25">
      <c r="E160" s="6">
        <v>168</v>
      </c>
      <c r="F160" s="39">
        <f t="shared" si="9"/>
        <v>348.99999999999955</v>
      </c>
      <c r="H160" s="6">
        <v>159</v>
      </c>
      <c r="I160" s="43">
        <v>2</v>
      </c>
      <c r="J160" s="6">
        <f t="shared" ref="J160:J223" si="10">J159+I160</f>
        <v>321.5</v>
      </c>
    </row>
    <row r="161" spans="5:10" x14ac:dyDescent="0.25">
      <c r="E161" s="6">
        <v>169</v>
      </c>
      <c r="F161" s="39">
        <f t="shared" si="9"/>
        <v>350.99999999999955</v>
      </c>
      <c r="H161" s="6">
        <v>160</v>
      </c>
      <c r="I161" s="43">
        <v>2</v>
      </c>
      <c r="J161" s="6">
        <f t="shared" si="10"/>
        <v>323.5</v>
      </c>
    </row>
    <row r="162" spans="5:10" x14ac:dyDescent="0.25">
      <c r="E162" s="6">
        <v>170</v>
      </c>
      <c r="F162" s="39">
        <f t="shared" si="9"/>
        <v>352.99999999999955</v>
      </c>
      <c r="H162" s="6">
        <v>161</v>
      </c>
      <c r="I162" s="43">
        <v>2</v>
      </c>
      <c r="J162" s="6">
        <f t="shared" si="10"/>
        <v>325.5</v>
      </c>
    </row>
    <row r="163" spans="5:10" x14ac:dyDescent="0.25">
      <c r="E163" s="6">
        <v>171</v>
      </c>
      <c r="F163" s="39">
        <f t="shared" si="9"/>
        <v>354.99999999999955</v>
      </c>
      <c r="H163" s="6">
        <v>162</v>
      </c>
      <c r="I163" s="43">
        <v>2</v>
      </c>
      <c r="J163" s="6">
        <f t="shared" si="10"/>
        <v>327.5</v>
      </c>
    </row>
    <row r="164" spans="5:10" x14ac:dyDescent="0.25">
      <c r="E164" s="6">
        <v>172</v>
      </c>
      <c r="F164" s="39">
        <f t="shared" si="9"/>
        <v>356.99999999999955</v>
      </c>
      <c r="H164" s="6">
        <v>163</v>
      </c>
      <c r="I164" s="43">
        <v>2</v>
      </c>
      <c r="J164" s="6">
        <f t="shared" si="10"/>
        <v>329.5</v>
      </c>
    </row>
    <row r="165" spans="5:10" x14ac:dyDescent="0.25">
      <c r="E165" s="6">
        <v>173</v>
      </c>
      <c r="F165" s="39">
        <f t="shared" si="9"/>
        <v>358.99999999999955</v>
      </c>
      <c r="H165" s="6">
        <v>164</v>
      </c>
      <c r="I165" s="43">
        <v>2</v>
      </c>
      <c r="J165" s="6">
        <f t="shared" si="10"/>
        <v>331.5</v>
      </c>
    </row>
    <row r="166" spans="5:10" x14ac:dyDescent="0.25">
      <c r="E166" s="6">
        <v>174</v>
      </c>
      <c r="F166" s="39">
        <f t="shared" si="9"/>
        <v>360.99999999999955</v>
      </c>
      <c r="H166" s="6">
        <v>165</v>
      </c>
      <c r="I166" s="43">
        <v>2</v>
      </c>
      <c r="J166" s="6">
        <f t="shared" si="10"/>
        <v>333.5</v>
      </c>
    </row>
    <row r="167" spans="5:10" x14ac:dyDescent="0.25">
      <c r="E167" s="6">
        <v>175</v>
      </c>
      <c r="F167" s="39">
        <f t="shared" si="9"/>
        <v>362.99999999999955</v>
      </c>
      <c r="H167" s="6">
        <v>166</v>
      </c>
      <c r="I167" s="43">
        <v>2</v>
      </c>
      <c r="J167" s="6">
        <f t="shared" si="10"/>
        <v>335.5</v>
      </c>
    </row>
    <row r="168" spans="5:10" x14ac:dyDescent="0.25">
      <c r="E168" s="6">
        <v>176</v>
      </c>
      <c r="F168" s="39">
        <f t="shared" si="9"/>
        <v>364.99999999999955</v>
      </c>
      <c r="H168" s="6">
        <v>167</v>
      </c>
      <c r="I168" s="43">
        <v>2</v>
      </c>
      <c r="J168" s="6">
        <f t="shared" si="10"/>
        <v>337.5</v>
      </c>
    </row>
    <row r="169" spans="5:10" x14ac:dyDescent="0.25">
      <c r="E169" s="6">
        <v>177</v>
      </c>
      <c r="F169" s="39">
        <f t="shared" si="9"/>
        <v>366.99999999999955</v>
      </c>
      <c r="H169" s="6">
        <v>168</v>
      </c>
      <c r="I169" s="43">
        <v>2</v>
      </c>
      <c r="J169" s="6">
        <f t="shared" si="10"/>
        <v>339.5</v>
      </c>
    </row>
    <row r="170" spans="5:10" x14ac:dyDescent="0.25">
      <c r="E170" s="6">
        <v>178</v>
      </c>
      <c r="F170" s="39">
        <f t="shared" si="9"/>
        <v>368.99999999999955</v>
      </c>
      <c r="H170" s="6">
        <v>169</v>
      </c>
      <c r="I170" s="43">
        <v>2</v>
      </c>
      <c r="J170" s="6">
        <f t="shared" si="10"/>
        <v>341.5</v>
      </c>
    </row>
    <row r="171" spans="5:10" x14ac:dyDescent="0.25">
      <c r="E171" s="6">
        <v>179</v>
      </c>
      <c r="F171" s="39">
        <f t="shared" si="9"/>
        <v>370.99999999999955</v>
      </c>
      <c r="H171" s="6">
        <v>170</v>
      </c>
      <c r="I171" s="43">
        <v>2</v>
      </c>
      <c r="J171" s="6">
        <f t="shared" si="10"/>
        <v>343.5</v>
      </c>
    </row>
    <row r="172" spans="5:10" x14ac:dyDescent="0.25">
      <c r="E172" s="6">
        <v>180</v>
      </c>
      <c r="F172" s="39">
        <f t="shared" si="9"/>
        <v>372.99999999999955</v>
      </c>
      <c r="H172" s="6">
        <v>171</v>
      </c>
      <c r="I172" s="43">
        <v>2</v>
      </c>
      <c r="J172" s="6">
        <f t="shared" si="10"/>
        <v>345.5</v>
      </c>
    </row>
    <row r="173" spans="5:10" x14ac:dyDescent="0.25">
      <c r="E173" s="6">
        <v>181</v>
      </c>
      <c r="F173" s="39">
        <f t="shared" si="9"/>
        <v>374.99999999999955</v>
      </c>
      <c r="H173" s="6">
        <v>172</v>
      </c>
      <c r="I173" s="43">
        <v>2</v>
      </c>
      <c r="J173" s="6">
        <f t="shared" si="10"/>
        <v>347.5</v>
      </c>
    </row>
    <row r="174" spans="5:10" x14ac:dyDescent="0.25">
      <c r="E174" s="6">
        <v>182</v>
      </c>
      <c r="F174" s="39">
        <f t="shared" si="9"/>
        <v>376.99999999999955</v>
      </c>
      <c r="H174" s="6">
        <v>173</v>
      </c>
      <c r="I174" s="43">
        <v>2</v>
      </c>
      <c r="J174" s="6">
        <f t="shared" si="10"/>
        <v>349.5</v>
      </c>
    </row>
    <row r="175" spans="5:10" x14ac:dyDescent="0.25">
      <c r="E175" s="6">
        <v>183</v>
      </c>
      <c r="F175" s="39">
        <f t="shared" si="9"/>
        <v>378.99999999999955</v>
      </c>
      <c r="H175" s="6">
        <v>174</v>
      </c>
      <c r="I175" s="43">
        <v>2</v>
      </c>
      <c r="J175" s="6">
        <f t="shared" si="10"/>
        <v>351.5</v>
      </c>
    </row>
    <row r="176" spans="5:10" x14ac:dyDescent="0.25">
      <c r="E176" s="6">
        <v>184</v>
      </c>
      <c r="F176" s="39">
        <f t="shared" si="9"/>
        <v>380.99999999999955</v>
      </c>
      <c r="H176" s="6">
        <v>175</v>
      </c>
      <c r="I176" s="43">
        <v>2</v>
      </c>
      <c r="J176" s="6">
        <f t="shared" si="10"/>
        <v>353.5</v>
      </c>
    </row>
    <row r="177" spans="5:10" x14ac:dyDescent="0.25">
      <c r="E177" s="6">
        <v>185</v>
      </c>
      <c r="F177" s="39">
        <f t="shared" si="9"/>
        <v>382.99999999999955</v>
      </c>
      <c r="H177" s="6">
        <v>176</v>
      </c>
      <c r="I177" s="43">
        <v>2</v>
      </c>
      <c r="J177" s="6">
        <f t="shared" si="10"/>
        <v>355.5</v>
      </c>
    </row>
    <row r="178" spans="5:10" x14ac:dyDescent="0.25">
      <c r="E178" s="6">
        <v>186</v>
      </c>
      <c r="F178" s="39">
        <f t="shared" si="9"/>
        <v>384.99999999999955</v>
      </c>
      <c r="H178" s="6">
        <v>177</v>
      </c>
      <c r="I178" s="43">
        <v>2</v>
      </c>
      <c r="J178" s="6">
        <f t="shared" si="10"/>
        <v>357.5</v>
      </c>
    </row>
    <row r="179" spans="5:10" x14ac:dyDescent="0.25">
      <c r="E179" s="6">
        <v>187</v>
      </c>
      <c r="F179" s="39">
        <f t="shared" si="9"/>
        <v>386.99999999999955</v>
      </c>
      <c r="H179" s="6">
        <v>178</v>
      </c>
      <c r="I179" s="43">
        <v>2</v>
      </c>
      <c r="J179" s="6">
        <f t="shared" si="10"/>
        <v>359.5</v>
      </c>
    </row>
    <row r="180" spans="5:10" x14ac:dyDescent="0.25">
      <c r="E180" s="6">
        <v>188</v>
      </c>
      <c r="F180" s="39">
        <f t="shared" si="9"/>
        <v>388.99999999999955</v>
      </c>
      <c r="H180" s="6">
        <v>179</v>
      </c>
      <c r="I180" s="43">
        <v>2</v>
      </c>
      <c r="J180" s="6">
        <f t="shared" si="10"/>
        <v>361.5</v>
      </c>
    </row>
    <row r="181" spans="5:10" x14ac:dyDescent="0.25">
      <c r="E181" s="6">
        <v>189</v>
      </c>
      <c r="F181" s="39">
        <f t="shared" si="9"/>
        <v>390.99999999999955</v>
      </c>
      <c r="H181" s="6">
        <v>180</v>
      </c>
      <c r="I181" s="43">
        <v>2</v>
      </c>
      <c r="J181" s="6">
        <f t="shared" si="10"/>
        <v>363.5</v>
      </c>
    </row>
    <row r="182" spans="5:10" x14ac:dyDescent="0.25">
      <c r="E182" s="6">
        <v>190</v>
      </c>
      <c r="F182" s="39">
        <f t="shared" si="9"/>
        <v>392.99999999999955</v>
      </c>
      <c r="H182" s="6">
        <v>181</v>
      </c>
      <c r="I182" s="43">
        <v>2</v>
      </c>
      <c r="J182" s="6">
        <f t="shared" si="10"/>
        <v>365.5</v>
      </c>
    </row>
    <row r="183" spans="5:10" x14ac:dyDescent="0.25">
      <c r="E183" s="6">
        <v>191</v>
      </c>
      <c r="F183" s="39">
        <f t="shared" si="9"/>
        <v>394.99999999999955</v>
      </c>
      <c r="H183" s="6">
        <v>182</v>
      </c>
      <c r="I183" s="43">
        <v>2</v>
      </c>
      <c r="J183" s="6">
        <f t="shared" si="10"/>
        <v>367.5</v>
      </c>
    </row>
    <row r="184" spans="5:10" x14ac:dyDescent="0.25">
      <c r="E184" s="6">
        <v>192</v>
      </c>
      <c r="F184" s="39">
        <f t="shared" si="9"/>
        <v>396.99999999999955</v>
      </c>
      <c r="H184" s="6">
        <v>183</v>
      </c>
      <c r="I184" s="43">
        <v>2</v>
      </c>
      <c r="J184" s="6">
        <f t="shared" si="10"/>
        <v>369.5</v>
      </c>
    </row>
    <row r="185" spans="5:10" x14ac:dyDescent="0.25">
      <c r="E185" s="6">
        <v>193</v>
      </c>
      <c r="F185" s="39">
        <f t="shared" si="9"/>
        <v>398.99999999999955</v>
      </c>
      <c r="H185" s="6">
        <v>184</v>
      </c>
      <c r="I185" s="43">
        <v>2</v>
      </c>
      <c r="J185" s="6">
        <f t="shared" si="10"/>
        <v>371.5</v>
      </c>
    </row>
    <row r="186" spans="5:10" x14ac:dyDescent="0.25">
      <c r="E186" s="6">
        <v>194</v>
      </c>
      <c r="F186" s="39">
        <f t="shared" si="9"/>
        <v>400.99999999999955</v>
      </c>
      <c r="H186" s="6">
        <v>185</v>
      </c>
      <c r="I186" s="43">
        <v>2</v>
      </c>
      <c r="J186" s="6">
        <f t="shared" si="10"/>
        <v>373.5</v>
      </c>
    </row>
    <row r="187" spans="5:10" x14ac:dyDescent="0.25">
      <c r="E187" s="6">
        <v>195</v>
      </c>
      <c r="F187" s="39">
        <f t="shared" si="9"/>
        <v>402.99999999999955</v>
      </c>
      <c r="H187" s="6">
        <v>186</v>
      </c>
      <c r="I187" s="43">
        <v>2</v>
      </c>
      <c r="J187" s="6">
        <f t="shared" si="10"/>
        <v>375.5</v>
      </c>
    </row>
    <row r="188" spans="5:10" x14ac:dyDescent="0.25">
      <c r="E188" s="6">
        <v>196</v>
      </c>
      <c r="F188" s="39">
        <f t="shared" si="9"/>
        <v>404.99999999999955</v>
      </c>
      <c r="H188" s="6">
        <v>187</v>
      </c>
      <c r="I188" s="43">
        <v>2</v>
      </c>
      <c r="J188" s="6">
        <f t="shared" si="10"/>
        <v>377.5</v>
      </c>
    </row>
    <row r="189" spans="5:10" x14ac:dyDescent="0.25">
      <c r="E189" s="6">
        <v>197</v>
      </c>
      <c r="F189" s="39">
        <f t="shared" si="9"/>
        <v>406.99999999999955</v>
      </c>
      <c r="H189" s="6">
        <v>188</v>
      </c>
      <c r="I189" s="43">
        <v>2</v>
      </c>
      <c r="J189" s="6">
        <f t="shared" si="10"/>
        <v>379.5</v>
      </c>
    </row>
    <row r="190" spans="5:10" x14ac:dyDescent="0.25">
      <c r="E190" s="6">
        <v>198</v>
      </c>
      <c r="F190" s="39">
        <f t="shared" si="9"/>
        <v>408.99999999999955</v>
      </c>
      <c r="H190" s="6">
        <v>189</v>
      </c>
      <c r="I190" s="43">
        <v>2</v>
      </c>
      <c r="J190" s="6">
        <f t="shared" si="10"/>
        <v>381.5</v>
      </c>
    </row>
    <row r="191" spans="5:10" x14ac:dyDescent="0.25">
      <c r="E191" s="6">
        <v>199</v>
      </c>
      <c r="F191" s="39">
        <f t="shared" si="9"/>
        <v>410.99999999999955</v>
      </c>
      <c r="H191" s="6">
        <v>190</v>
      </c>
      <c r="I191" s="43">
        <v>2</v>
      </c>
      <c r="J191" s="6">
        <f t="shared" si="10"/>
        <v>383.5</v>
      </c>
    </row>
    <row r="192" spans="5:10" x14ac:dyDescent="0.25">
      <c r="E192" s="6">
        <v>200</v>
      </c>
      <c r="F192" s="39">
        <f t="shared" si="9"/>
        <v>412.99999999999955</v>
      </c>
      <c r="H192" s="6">
        <v>191</v>
      </c>
      <c r="I192" s="43">
        <v>2</v>
      </c>
      <c r="J192" s="6">
        <f t="shared" si="10"/>
        <v>385.5</v>
      </c>
    </row>
    <row r="193" spans="5:10" x14ac:dyDescent="0.25">
      <c r="E193" s="6">
        <v>201</v>
      </c>
      <c r="F193" s="39">
        <f t="shared" si="9"/>
        <v>414.99999999999955</v>
      </c>
      <c r="H193" s="6">
        <v>192</v>
      </c>
      <c r="I193" s="43">
        <v>2</v>
      </c>
      <c r="J193" s="6">
        <f t="shared" si="10"/>
        <v>387.5</v>
      </c>
    </row>
    <row r="194" spans="5:10" x14ac:dyDescent="0.25">
      <c r="E194" s="6">
        <v>202</v>
      </c>
      <c r="F194" s="39">
        <f t="shared" si="9"/>
        <v>416.99999999999955</v>
      </c>
      <c r="H194" s="6">
        <v>193</v>
      </c>
      <c r="I194" s="43">
        <v>2</v>
      </c>
      <c r="J194" s="6">
        <f t="shared" si="10"/>
        <v>389.5</v>
      </c>
    </row>
    <row r="195" spans="5:10" x14ac:dyDescent="0.25">
      <c r="E195" s="6">
        <v>203</v>
      </c>
      <c r="F195" s="39">
        <f t="shared" si="9"/>
        <v>418.99999999999955</v>
      </c>
      <c r="H195" s="6">
        <v>194</v>
      </c>
      <c r="I195" s="43">
        <v>2</v>
      </c>
      <c r="J195" s="6">
        <f t="shared" si="10"/>
        <v>391.5</v>
      </c>
    </row>
    <row r="196" spans="5:10" x14ac:dyDescent="0.25">
      <c r="E196" s="6">
        <v>204</v>
      </c>
      <c r="F196" s="39">
        <f t="shared" si="9"/>
        <v>420.99999999999955</v>
      </c>
      <c r="H196" s="6">
        <v>195</v>
      </c>
      <c r="I196" s="43">
        <v>2</v>
      </c>
      <c r="J196" s="6">
        <f t="shared" si="10"/>
        <v>393.5</v>
      </c>
    </row>
    <row r="197" spans="5:10" x14ac:dyDescent="0.25">
      <c r="E197" s="6">
        <v>205</v>
      </c>
      <c r="F197" s="39">
        <f t="shared" si="9"/>
        <v>422.99999999999955</v>
      </c>
      <c r="H197" s="6">
        <v>196</v>
      </c>
      <c r="I197" s="43">
        <v>2</v>
      </c>
      <c r="J197" s="6">
        <f t="shared" si="10"/>
        <v>395.5</v>
      </c>
    </row>
    <row r="198" spans="5:10" x14ac:dyDescent="0.25">
      <c r="E198" s="6">
        <v>206</v>
      </c>
      <c r="F198" s="39">
        <f t="shared" si="9"/>
        <v>424.99999999999955</v>
      </c>
      <c r="H198" s="6">
        <v>197</v>
      </c>
      <c r="I198" s="43">
        <v>2</v>
      </c>
      <c r="J198" s="6">
        <f t="shared" si="10"/>
        <v>397.5</v>
      </c>
    </row>
    <row r="199" spans="5:10" x14ac:dyDescent="0.25">
      <c r="E199" s="6">
        <v>207</v>
      </c>
      <c r="F199" s="39">
        <f t="shared" si="9"/>
        <v>426.99999999999955</v>
      </c>
      <c r="H199" s="6">
        <v>198</v>
      </c>
      <c r="I199" s="43">
        <v>2</v>
      </c>
      <c r="J199" s="6">
        <f t="shared" si="10"/>
        <v>399.5</v>
      </c>
    </row>
    <row r="200" spans="5:10" x14ac:dyDescent="0.25">
      <c r="E200" s="6">
        <v>208</v>
      </c>
      <c r="F200" s="39">
        <f t="shared" si="9"/>
        <v>428.99999999999955</v>
      </c>
      <c r="H200" s="6">
        <v>199</v>
      </c>
      <c r="I200" s="43">
        <v>2</v>
      </c>
      <c r="J200" s="6">
        <f t="shared" si="10"/>
        <v>401.5</v>
      </c>
    </row>
    <row r="201" spans="5:10" x14ac:dyDescent="0.25">
      <c r="E201" s="6">
        <v>209</v>
      </c>
      <c r="F201" s="39">
        <f t="shared" si="9"/>
        <v>430.99999999999955</v>
      </c>
      <c r="H201" s="6">
        <v>200</v>
      </c>
      <c r="I201" s="43">
        <v>2</v>
      </c>
      <c r="J201" s="6">
        <f t="shared" si="10"/>
        <v>403.5</v>
      </c>
    </row>
    <row r="202" spans="5:10" x14ac:dyDescent="0.25">
      <c r="E202" s="6">
        <v>210</v>
      </c>
      <c r="F202" s="39">
        <f t="shared" si="9"/>
        <v>432.99999999999955</v>
      </c>
      <c r="H202" s="6">
        <v>201</v>
      </c>
      <c r="I202" s="43">
        <v>2</v>
      </c>
      <c r="J202" s="6">
        <f t="shared" si="10"/>
        <v>405.5</v>
      </c>
    </row>
    <row r="203" spans="5:10" x14ac:dyDescent="0.25">
      <c r="E203" s="6">
        <v>211</v>
      </c>
      <c r="F203" s="39">
        <f t="shared" si="9"/>
        <v>434.99999999999955</v>
      </c>
      <c r="H203" s="6">
        <v>202</v>
      </c>
      <c r="I203" s="43">
        <v>2</v>
      </c>
      <c r="J203" s="6">
        <f t="shared" si="10"/>
        <v>407.5</v>
      </c>
    </row>
    <row r="204" spans="5:10" x14ac:dyDescent="0.25">
      <c r="E204" s="6">
        <v>212</v>
      </c>
      <c r="F204" s="39">
        <f t="shared" si="9"/>
        <v>436.99999999999955</v>
      </c>
      <c r="H204" s="6">
        <v>203</v>
      </c>
      <c r="I204" s="43">
        <v>2</v>
      </c>
      <c r="J204" s="6">
        <f t="shared" si="10"/>
        <v>409.5</v>
      </c>
    </row>
    <row r="205" spans="5:10" x14ac:dyDescent="0.25">
      <c r="E205" s="6">
        <v>213</v>
      </c>
      <c r="F205" s="39">
        <f t="shared" si="9"/>
        <v>438.99999999999955</v>
      </c>
      <c r="H205" s="6">
        <v>204</v>
      </c>
      <c r="I205" s="43">
        <v>2</v>
      </c>
      <c r="J205" s="6">
        <f t="shared" si="10"/>
        <v>411.5</v>
      </c>
    </row>
    <row r="206" spans="5:10" x14ac:dyDescent="0.25">
      <c r="E206" s="6">
        <v>214</v>
      </c>
      <c r="F206" s="39">
        <f t="shared" si="9"/>
        <v>440.99999999999955</v>
      </c>
      <c r="H206" s="6">
        <v>205</v>
      </c>
      <c r="I206" s="43">
        <v>2</v>
      </c>
      <c r="J206" s="6">
        <f t="shared" si="10"/>
        <v>413.5</v>
      </c>
    </row>
    <row r="207" spans="5:10" x14ac:dyDescent="0.25">
      <c r="E207" s="6">
        <v>215</v>
      </c>
      <c r="F207" s="39">
        <f t="shared" si="9"/>
        <v>442.99999999999955</v>
      </c>
      <c r="H207" s="6">
        <v>206</v>
      </c>
      <c r="I207" s="43">
        <v>2</v>
      </c>
      <c r="J207" s="6">
        <f t="shared" si="10"/>
        <v>415.5</v>
      </c>
    </row>
    <row r="208" spans="5:10" x14ac:dyDescent="0.25">
      <c r="E208" s="6">
        <v>216</v>
      </c>
      <c r="F208" s="39">
        <f t="shared" si="9"/>
        <v>444.99999999999955</v>
      </c>
      <c r="H208" s="6">
        <v>207</v>
      </c>
      <c r="I208" s="43">
        <v>2</v>
      </c>
      <c r="J208" s="6">
        <f t="shared" si="10"/>
        <v>417.5</v>
      </c>
    </row>
    <row r="209" spans="5:10" x14ac:dyDescent="0.25">
      <c r="E209" s="6">
        <v>217</v>
      </c>
      <c r="F209" s="39">
        <f t="shared" si="9"/>
        <v>446.99999999999955</v>
      </c>
      <c r="H209" s="6">
        <v>208</v>
      </c>
      <c r="I209" s="43">
        <v>2</v>
      </c>
      <c r="J209" s="6">
        <f t="shared" si="10"/>
        <v>419.5</v>
      </c>
    </row>
    <row r="210" spans="5:10" x14ac:dyDescent="0.25">
      <c r="E210" s="6">
        <v>218</v>
      </c>
      <c r="F210" s="39">
        <f t="shared" si="9"/>
        <v>448.99999999999955</v>
      </c>
      <c r="H210" s="6">
        <v>209</v>
      </c>
      <c r="I210" s="43">
        <v>2</v>
      </c>
      <c r="J210" s="6">
        <f t="shared" si="10"/>
        <v>421.5</v>
      </c>
    </row>
    <row r="211" spans="5:10" x14ac:dyDescent="0.25">
      <c r="E211" s="6">
        <v>219</v>
      </c>
      <c r="F211" s="39">
        <f t="shared" si="9"/>
        <v>450.99999999999955</v>
      </c>
      <c r="H211" s="6">
        <v>210</v>
      </c>
      <c r="I211" s="43">
        <v>2</v>
      </c>
      <c r="J211" s="6">
        <f t="shared" si="10"/>
        <v>423.5</v>
      </c>
    </row>
    <row r="212" spans="5:10" x14ac:dyDescent="0.25">
      <c r="E212" s="6">
        <v>220</v>
      </c>
      <c r="F212" s="39">
        <f t="shared" si="9"/>
        <v>452.99999999999955</v>
      </c>
      <c r="H212" s="6">
        <v>211</v>
      </c>
      <c r="I212" s="43">
        <v>2</v>
      </c>
      <c r="J212" s="6">
        <f t="shared" si="10"/>
        <v>425.5</v>
      </c>
    </row>
    <row r="213" spans="5:10" x14ac:dyDescent="0.25">
      <c r="E213" s="6">
        <v>221</v>
      </c>
      <c r="F213" s="39">
        <f t="shared" si="9"/>
        <v>454.99999999999955</v>
      </c>
      <c r="H213" s="6">
        <v>212</v>
      </c>
      <c r="I213" s="43">
        <v>2</v>
      </c>
      <c r="J213" s="6">
        <f t="shared" si="10"/>
        <v>427.5</v>
      </c>
    </row>
    <row r="214" spans="5:10" x14ac:dyDescent="0.25">
      <c r="E214" s="6">
        <v>222</v>
      </c>
      <c r="F214" s="39">
        <f t="shared" si="9"/>
        <v>456.99999999999955</v>
      </c>
      <c r="H214" s="6">
        <v>213</v>
      </c>
      <c r="I214" s="43">
        <v>2</v>
      </c>
      <c r="J214" s="6">
        <f t="shared" si="10"/>
        <v>429.5</v>
      </c>
    </row>
    <row r="215" spans="5:10" x14ac:dyDescent="0.25">
      <c r="E215" s="6">
        <v>223</v>
      </c>
      <c r="F215" s="39">
        <f t="shared" si="9"/>
        <v>458.99999999999955</v>
      </c>
      <c r="H215" s="6">
        <v>214</v>
      </c>
      <c r="I215" s="43">
        <v>2</v>
      </c>
      <c r="J215" s="6">
        <f t="shared" si="10"/>
        <v>431.5</v>
      </c>
    </row>
    <row r="216" spans="5:10" x14ac:dyDescent="0.25">
      <c r="E216" s="6">
        <v>224</v>
      </c>
      <c r="F216" s="39">
        <f t="shared" si="9"/>
        <v>460.99999999999955</v>
      </c>
      <c r="H216" s="6">
        <v>215</v>
      </c>
      <c r="I216" s="43">
        <v>2</v>
      </c>
      <c r="J216" s="6">
        <f t="shared" si="10"/>
        <v>433.5</v>
      </c>
    </row>
    <row r="217" spans="5:10" x14ac:dyDescent="0.25">
      <c r="E217" s="6">
        <v>225</v>
      </c>
      <c r="F217" s="39">
        <f t="shared" si="9"/>
        <v>462.99999999999955</v>
      </c>
      <c r="H217" s="6">
        <v>216</v>
      </c>
      <c r="I217" s="43">
        <v>2</v>
      </c>
      <c r="J217" s="6">
        <f t="shared" si="10"/>
        <v>435.5</v>
      </c>
    </row>
    <row r="218" spans="5:10" x14ac:dyDescent="0.25">
      <c r="E218" s="6">
        <v>226</v>
      </c>
      <c r="F218" s="39">
        <f t="shared" si="9"/>
        <v>464.99999999999955</v>
      </c>
      <c r="H218" s="6">
        <v>217</v>
      </c>
      <c r="I218" s="43">
        <v>2</v>
      </c>
      <c r="J218" s="6">
        <f t="shared" si="10"/>
        <v>437.5</v>
      </c>
    </row>
    <row r="219" spans="5:10" x14ac:dyDescent="0.25">
      <c r="E219" s="6">
        <v>227</v>
      </c>
      <c r="F219" s="39">
        <f t="shared" si="9"/>
        <v>466.99999999999955</v>
      </c>
      <c r="H219" s="6">
        <v>218</v>
      </c>
      <c r="I219" s="43">
        <v>2</v>
      </c>
      <c r="J219" s="6">
        <f t="shared" si="10"/>
        <v>439.5</v>
      </c>
    </row>
    <row r="220" spans="5:10" x14ac:dyDescent="0.25">
      <c r="E220" s="6">
        <v>228</v>
      </c>
      <c r="F220" s="39">
        <f t="shared" si="9"/>
        <v>468.99999999999955</v>
      </c>
      <c r="H220" s="6">
        <v>219</v>
      </c>
      <c r="I220" s="43">
        <v>2</v>
      </c>
      <c r="J220" s="6">
        <f t="shared" si="10"/>
        <v>441.5</v>
      </c>
    </row>
    <row r="221" spans="5:10" x14ac:dyDescent="0.25">
      <c r="E221" s="6">
        <v>229</v>
      </c>
      <c r="F221" s="39">
        <f t="shared" si="9"/>
        <v>470.99999999999955</v>
      </c>
      <c r="H221" s="6">
        <v>220</v>
      </c>
      <c r="I221" s="43">
        <v>2</v>
      </c>
      <c r="J221" s="6">
        <f t="shared" si="10"/>
        <v>443.5</v>
      </c>
    </row>
    <row r="222" spans="5:10" x14ac:dyDescent="0.25">
      <c r="E222" s="6">
        <v>230</v>
      </c>
      <c r="F222" s="39">
        <f t="shared" ref="F222:F285" si="11">F221+C$4</f>
        <v>472.99999999999955</v>
      </c>
      <c r="H222" s="6">
        <v>221</v>
      </c>
      <c r="I222" s="43">
        <v>2</v>
      </c>
      <c r="J222" s="6">
        <f t="shared" si="10"/>
        <v>445.5</v>
      </c>
    </row>
    <row r="223" spans="5:10" x14ac:dyDescent="0.25">
      <c r="E223" s="6">
        <v>231</v>
      </c>
      <c r="F223" s="39">
        <f t="shared" si="11"/>
        <v>474.99999999999955</v>
      </c>
      <c r="H223" s="6">
        <v>222</v>
      </c>
      <c r="I223" s="43">
        <v>2</v>
      </c>
      <c r="J223" s="6">
        <f t="shared" si="10"/>
        <v>447.5</v>
      </c>
    </row>
    <row r="224" spans="5:10" x14ac:dyDescent="0.25">
      <c r="E224" s="6">
        <v>232</v>
      </c>
      <c r="F224" s="39">
        <f t="shared" si="11"/>
        <v>476.99999999999955</v>
      </c>
    </row>
    <row r="225" spans="5:6" x14ac:dyDescent="0.25">
      <c r="E225" s="6">
        <v>233</v>
      </c>
      <c r="F225" s="39">
        <f t="shared" si="11"/>
        <v>478.99999999999955</v>
      </c>
    </row>
    <row r="226" spans="5:6" x14ac:dyDescent="0.25">
      <c r="E226" s="6">
        <v>234</v>
      </c>
      <c r="F226" s="39">
        <f t="shared" si="11"/>
        <v>480.99999999999955</v>
      </c>
    </row>
    <row r="227" spans="5:6" x14ac:dyDescent="0.25">
      <c r="E227" s="6">
        <v>235</v>
      </c>
      <c r="F227" s="39">
        <f t="shared" si="11"/>
        <v>482.99999999999955</v>
      </c>
    </row>
    <row r="228" spans="5:6" x14ac:dyDescent="0.25">
      <c r="E228" s="6">
        <v>236</v>
      </c>
      <c r="F228" s="39">
        <f t="shared" si="11"/>
        <v>484.99999999999955</v>
      </c>
    </row>
    <row r="229" spans="5:6" x14ac:dyDescent="0.25">
      <c r="E229" s="6">
        <v>237</v>
      </c>
      <c r="F229" s="39">
        <f t="shared" si="11"/>
        <v>486.99999999999955</v>
      </c>
    </row>
    <row r="230" spans="5:6" x14ac:dyDescent="0.25">
      <c r="E230" s="6">
        <v>238</v>
      </c>
      <c r="F230" s="39">
        <f t="shared" si="11"/>
        <v>488.99999999999955</v>
      </c>
    </row>
    <row r="231" spans="5:6" x14ac:dyDescent="0.25">
      <c r="E231" s="6">
        <v>239</v>
      </c>
      <c r="F231" s="39">
        <f t="shared" si="11"/>
        <v>490.99999999999955</v>
      </c>
    </row>
    <row r="232" spans="5:6" x14ac:dyDescent="0.25">
      <c r="E232" s="6">
        <v>240</v>
      </c>
      <c r="F232" s="39">
        <f t="shared" si="11"/>
        <v>492.99999999999955</v>
      </c>
    </row>
    <row r="233" spans="5:6" x14ac:dyDescent="0.25">
      <c r="E233" s="6">
        <v>241</v>
      </c>
      <c r="F233" s="39">
        <f t="shared" si="11"/>
        <v>494.99999999999955</v>
      </c>
    </row>
    <row r="234" spans="5:6" x14ac:dyDescent="0.25">
      <c r="E234" s="6">
        <v>242</v>
      </c>
      <c r="F234" s="39">
        <f t="shared" si="11"/>
        <v>496.99999999999955</v>
      </c>
    </row>
    <row r="235" spans="5:6" x14ac:dyDescent="0.25">
      <c r="E235" s="6">
        <v>243</v>
      </c>
      <c r="F235" s="39">
        <f t="shared" si="11"/>
        <v>498.99999999999955</v>
      </c>
    </row>
    <row r="236" spans="5:6" x14ac:dyDescent="0.25">
      <c r="E236" s="6">
        <v>244</v>
      </c>
      <c r="F236" s="39">
        <f t="shared" si="11"/>
        <v>500.99999999999955</v>
      </c>
    </row>
    <row r="237" spans="5:6" x14ac:dyDescent="0.25">
      <c r="E237" s="6">
        <v>245</v>
      </c>
      <c r="F237" s="39">
        <f t="shared" si="11"/>
        <v>502.99999999999955</v>
      </c>
    </row>
    <row r="238" spans="5:6" x14ac:dyDescent="0.25">
      <c r="E238" s="6">
        <v>246</v>
      </c>
      <c r="F238" s="39">
        <f t="shared" si="11"/>
        <v>504.99999999999955</v>
      </c>
    </row>
    <row r="239" spans="5:6" x14ac:dyDescent="0.25">
      <c r="E239" s="6">
        <v>247</v>
      </c>
      <c r="F239" s="39">
        <f t="shared" si="11"/>
        <v>506.99999999999955</v>
      </c>
    </row>
    <row r="240" spans="5:6" x14ac:dyDescent="0.25">
      <c r="E240" s="6">
        <v>248</v>
      </c>
      <c r="F240" s="39">
        <f t="shared" si="11"/>
        <v>508.99999999999955</v>
      </c>
    </row>
    <row r="241" spans="5:6" x14ac:dyDescent="0.25">
      <c r="E241" s="6">
        <v>249</v>
      </c>
      <c r="F241" s="39">
        <f t="shared" si="11"/>
        <v>510.99999999999955</v>
      </c>
    </row>
    <row r="242" spans="5:6" x14ac:dyDescent="0.25">
      <c r="E242" s="6">
        <v>250</v>
      </c>
      <c r="F242" s="39">
        <f t="shared" si="11"/>
        <v>512.99999999999955</v>
      </c>
    </row>
    <row r="243" spans="5:6" x14ac:dyDescent="0.25">
      <c r="E243" s="6">
        <v>251</v>
      </c>
      <c r="F243" s="39">
        <f t="shared" si="11"/>
        <v>514.99999999999955</v>
      </c>
    </row>
    <row r="244" spans="5:6" x14ac:dyDescent="0.25">
      <c r="E244" s="6">
        <v>252</v>
      </c>
      <c r="F244" s="39">
        <f t="shared" si="11"/>
        <v>516.99999999999955</v>
      </c>
    </row>
    <row r="245" spans="5:6" x14ac:dyDescent="0.25">
      <c r="E245" s="6">
        <v>253</v>
      </c>
      <c r="F245" s="39">
        <f t="shared" si="11"/>
        <v>518.99999999999955</v>
      </c>
    </row>
    <row r="246" spans="5:6" x14ac:dyDescent="0.25">
      <c r="E246" s="6">
        <v>254</v>
      </c>
      <c r="F246" s="39">
        <f t="shared" si="11"/>
        <v>520.99999999999955</v>
      </c>
    </row>
    <row r="247" spans="5:6" x14ac:dyDescent="0.25">
      <c r="E247" s="6">
        <v>255</v>
      </c>
      <c r="F247" s="39">
        <f t="shared" si="11"/>
        <v>522.99999999999955</v>
      </c>
    </row>
    <row r="248" spans="5:6" x14ac:dyDescent="0.25">
      <c r="E248" s="6">
        <v>256</v>
      </c>
      <c r="F248" s="39">
        <f t="shared" si="11"/>
        <v>524.99999999999955</v>
      </c>
    </row>
    <row r="249" spans="5:6" x14ac:dyDescent="0.25">
      <c r="E249" s="6">
        <v>257</v>
      </c>
      <c r="F249" s="39">
        <f t="shared" si="11"/>
        <v>526.99999999999955</v>
      </c>
    </row>
    <row r="250" spans="5:6" x14ac:dyDescent="0.25">
      <c r="E250" s="6">
        <v>258</v>
      </c>
      <c r="F250" s="39">
        <f t="shared" si="11"/>
        <v>528.99999999999955</v>
      </c>
    </row>
    <row r="251" spans="5:6" x14ac:dyDescent="0.25">
      <c r="E251" s="6">
        <v>259</v>
      </c>
      <c r="F251" s="39">
        <f t="shared" si="11"/>
        <v>530.99999999999955</v>
      </c>
    </row>
    <row r="252" spans="5:6" x14ac:dyDescent="0.25">
      <c r="E252" s="6">
        <v>260</v>
      </c>
      <c r="F252" s="39">
        <f t="shared" si="11"/>
        <v>532.99999999999955</v>
      </c>
    </row>
    <row r="253" spans="5:6" x14ac:dyDescent="0.25">
      <c r="E253" s="6">
        <v>261</v>
      </c>
      <c r="F253" s="39">
        <f t="shared" si="11"/>
        <v>534.99999999999955</v>
      </c>
    </row>
    <row r="254" spans="5:6" x14ac:dyDescent="0.25">
      <c r="E254" s="6">
        <v>262</v>
      </c>
      <c r="F254" s="39">
        <f t="shared" si="11"/>
        <v>536.99999999999955</v>
      </c>
    </row>
    <row r="255" spans="5:6" x14ac:dyDescent="0.25">
      <c r="E255" s="6">
        <v>263</v>
      </c>
      <c r="F255" s="39">
        <f t="shared" si="11"/>
        <v>538.99999999999955</v>
      </c>
    </row>
    <row r="256" spans="5:6" x14ac:dyDescent="0.25">
      <c r="E256" s="6">
        <v>264</v>
      </c>
      <c r="F256" s="39">
        <f t="shared" si="11"/>
        <v>540.99999999999955</v>
      </c>
    </row>
    <row r="257" spans="5:6" x14ac:dyDescent="0.25">
      <c r="E257" s="6">
        <v>265</v>
      </c>
      <c r="F257" s="39">
        <f t="shared" si="11"/>
        <v>542.99999999999955</v>
      </c>
    </row>
    <row r="258" spans="5:6" x14ac:dyDescent="0.25">
      <c r="E258" s="6">
        <v>266</v>
      </c>
      <c r="F258" s="39">
        <f t="shared" si="11"/>
        <v>544.99999999999955</v>
      </c>
    </row>
    <row r="259" spans="5:6" x14ac:dyDescent="0.25">
      <c r="E259" s="6">
        <v>267</v>
      </c>
      <c r="F259" s="39">
        <f t="shared" si="11"/>
        <v>546.99999999999955</v>
      </c>
    </row>
    <row r="260" spans="5:6" x14ac:dyDescent="0.25">
      <c r="E260" s="6">
        <v>268</v>
      </c>
      <c r="F260" s="39">
        <f t="shared" si="11"/>
        <v>548.99999999999955</v>
      </c>
    </row>
    <row r="261" spans="5:6" x14ac:dyDescent="0.25">
      <c r="E261" s="6">
        <v>269</v>
      </c>
      <c r="F261" s="39">
        <f t="shared" si="11"/>
        <v>550.99999999999955</v>
      </c>
    </row>
    <row r="262" spans="5:6" x14ac:dyDescent="0.25">
      <c r="E262" s="6">
        <v>270</v>
      </c>
      <c r="F262" s="39">
        <f t="shared" si="11"/>
        <v>552.99999999999955</v>
      </c>
    </row>
    <row r="263" spans="5:6" x14ac:dyDescent="0.25">
      <c r="E263" s="6">
        <v>271</v>
      </c>
      <c r="F263" s="39">
        <f t="shared" si="11"/>
        <v>554.99999999999955</v>
      </c>
    </row>
    <row r="264" spans="5:6" x14ac:dyDescent="0.25">
      <c r="E264" s="6">
        <v>272</v>
      </c>
      <c r="F264" s="39">
        <f t="shared" si="11"/>
        <v>556.99999999999955</v>
      </c>
    </row>
    <row r="265" spans="5:6" x14ac:dyDescent="0.25">
      <c r="E265" s="6">
        <v>273</v>
      </c>
      <c r="F265" s="39">
        <f t="shared" si="11"/>
        <v>558.99999999999955</v>
      </c>
    </row>
    <row r="266" spans="5:6" x14ac:dyDescent="0.25">
      <c r="E266" s="6">
        <v>274</v>
      </c>
      <c r="F266" s="39">
        <f t="shared" si="11"/>
        <v>560.99999999999955</v>
      </c>
    </row>
    <row r="267" spans="5:6" x14ac:dyDescent="0.25">
      <c r="E267" s="6">
        <v>275</v>
      </c>
      <c r="F267" s="39">
        <f t="shared" si="11"/>
        <v>562.99999999999955</v>
      </c>
    </row>
    <row r="268" spans="5:6" x14ac:dyDescent="0.25">
      <c r="E268" s="6">
        <v>276</v>
      </c>
      <c r="F268" s="39">
        <f t="shared" si="11"/>
        <v>564.99999999999955</v>
      </c>
    </row>
    <row r="269" spans="5:6" x14ac:dyDescent="0.25">
      <c r="E269" s="6">
        <v>277</v>
      </c>
      <c r="F269" s="39">
        <f t="shared" si="11"/>
        <v>566.99999999999955</v>
      </c>
    </row>
    <row r="270" spans="5:6" x14ac:dyDescent="0.25">
      <c r="E270" s="6">
        <v>278</v>
      </c>
      <c r="F270" s="39">
        <f t="shared" si="11"/>
        <v>568.99999999999955</v>
      </c>
    </row>
    <row r="271" spans="5:6" x14ac:dyDescent="0.25">
      <c r="E271" s="6">
        <v>279</v>
      </c>
      <c r="F271" s="39">
        <f t="shared" si="11"/>
        <v>570.99999999999955</v>
      </c>
    </row>
    <row r="272" spans="5:6" x14ac:dyDescent="0.25">
      <c r="E272" s="6">
        <v>280</v>
      </c>
      <c r="F272" s="39">
        <f t="shared" si="11"/>
        <v>572.99999999999955</v>
      </c>
    </row>
    <row r="273" spans="5:6" x14ac:dyDescent="0.25">
      <c r="E273" s="6">
        <v>281</v>
      </c>
      <c r="F273" s="39">
        <f t="shared" si="11"/>
        <v>574.99999999999955</v>
      </c>
    </row>
    <row r="274" spans="5:6" x14ac:dyDescent="0.25">
      <c r="E274" s="6">
        <v>282</v>
      </c>
      <c r="F274" s="39">
        <f t="shared" si="11"/>
        <v>576.99999999999955</v>
      </c>
    </row>
    <row r="275" spans="5:6" x14ac:dyDescent="0.25">
      <c r="E275" s="6">
        <v>283</v>
      </c>
      <c r="F275" s="39">
        <f t="shared" si="11"/>
        <v>578.99999999999955</v>
      </c>
    </row>
    <row r="276" spans="5:6" x14ac:dyDescent="0.25">
      <c r="E276" s="6">
        <v>284</v>
      </c>
      <c r="F276" s="39">
        <f t="shared" si="11"/>
        <v>580.99999999999955</v>
      </c>
    </row>
    <row r="277" spans="5:6" x14ac:dyDescent="0.25">
      <c r="E277" s="6">
        <v>285</v>
      </c>
      <c r="F277" s="39">
        <f t="shared" si="11"/>
        <v>582.99999999999955</v>
      </c>
    </row>
    <row r="278" spans="5:6" x14ac:dyDescent="0.25">
      <c r="E278" s="6">
        <v>286</v>
      </c>
      <c r="F278" s="39">
        <f t="shared" si="11"/>
        <v>584.99999999999955</v>
      </c>
    </row>
    <row r="279" spans="5:6" x14ac:dyDescent="0.25">
      <c r="E279" s="6">
        <v>287</v>
      </c>
      <c r="F279" s="39">
        <f t="shared" si="11"/>
        <v>586.99999999999955</v>
      </c>
    </row>
    <row r="280" spans="5:6" x14ac:dyDescent="0.25">
      <c r="E280" s="6">
        <v>288</v>
      </c>
      <c r="F280" s="39">
        <f t="shared" si="11"/>
        <v>588.99999999999955</v>
      </c>
    </row>
    <row r="281" spans="5:6" x14ac:dyDescent="0.25">
      <c r="E281" s="6">
        <v>289</v>
      </c>
      <c r="F281" s="39">
        <f t="shared" si="11"/>
        <v>590.99999999999955</v>
      </c>
    </row>
    <row r="282" spans="5:6" x14ac:dyDescent="0.25">
      <c r="E282" s="6">
        <v>290</v>
      </c>
      <c r="F282" s="39">
        <f t="shared" si="11"/>
        <v>592.99999999999955</v>
      </c>
    </row>
    <row r="283" spans="5:6" x14ac:dyDescent="0.25">
      <c r="E283" s="6">
        <v>291</v>
      </c>
      <c r="F283" s="39">
        <f t="shared" si="11"/>
        <v>594.99999999999955</v>
      </c>
    </row>
    <row r="284" spans="5:6" x14ac:dyDescent="0.25">
      <c r="E284" s="6">
        <v>292</v>
      </c>
      <c r="F284" s="39">
        <f t="shared" si="11"/>
        <v>596.99999999999955</v>
      </c>
    </row>
    <row r="285" spans="5:6" x14ac:dyDescent="0.25">
      <c r="E285" s="6">
        <v>293</v>
      </c>
      <c r="F285" s="39">
        <f t="shared" si="11"/>
        <v>598.99999999999955</v>
      </c>
    </row>
    <row r="286" spans="5:6" x14ac:dyDescent="0.25">
      <c r="E286" s="6">
        <v>294</v>
      </c>
      <c r="F286" s="39">
        <f t="shared" ref="F286:F325" si="12">F285+C$4</f>
        <v>600.99999999999955</v>
      </c>
    </row>
    <row r="287" spans="5:6" x14ac:dyDescent="0.25">
      <c r="E287" s="6">
        <v>295</v>
      </c>
      <c r="F287" s="39">
        <f t="shared" si="12"/>
        <v>602.99999999999955</v>
      </c>
    </row>
    <row r="288" spans="5:6" x14ac:dyDescent="0.25">
      <c r="E288" s="6">
        <v>296</v>
      </c>
      <c r="F288" s="39">
        <f t="shared" si="12"/>
        <v>604.99999999999955</v>
      </c>
    </row>
    <row r="289" spans="5:6" x14ac:dyDescent="0.25">
      <c r="E289" s="6">
        <v>297</v>
      </c>
      <c r="F289" s="39">
        <f t="shared" si="12"/>
        <v>606.99999999999955</v>
      </c>
    </row>
    <row r="290" spans="5:6" x14ac:dyDescent="0.25">
      <c r="E290" s="6">
        <v>298</v>
      </c>
      <c r="F290" s="39">
        <f t="shared" si="12"/>
        <v>608.99999999999955</v>
      </c>
    </row>
    <row r="291" spans="5:6" x14ac:dyDescent="0.25">
      <c r="E291" s="6">
        <v>299</v>
      </c>
      <c r="F291" s="39">
        <f t="shared" si="12"/>
        <v>610.99999999999955</v>
      </c>
    </row>
    <row r="292" spans="5:6" x14ac:dyDescent="0.25">
      <c r="E292" s="6">
        <v>300</v>
      </c>
      <c r="F292" s="39">
        <f t="shared" si="12"/>
        <v>612.99999999999955</v>
      </c>
    </row>
    <row r="293" spans="5:6" x14ac:dyDescent="0.25">
      <c r="E293" s="6">
        <v>301</v>
      </c>
      <c r="F293" s="39">
        <f t="shared" si="12"/>
        <v>614.99999999999955</v>
      </c>
    </row>
    <row r="294" spans="5:6" x14ac:dyDescent="0.25">
      <c r="E294" s="6">
        <v>302</v>
      </c>
      <c r="F294" s="39">
        <f t="shared" si="12"/>
        <v>616.99999999999955</v>
      </c>
    </row>
    <row r="295" spans="5:6" x14ac:dyDescent="0.25">
      <c r="E295" s="6">
        <v>303</v>
      </c>
      <c r="F295" s="39">
        <f t="shared" si="12"/>
        <v>618.99999999999955</v>
      </c>
    </row>
    <row r="296" spans="5:6" x14ac:dyDescent="0.25">
      <c r="E296" s="6">
        <v>304</v>
      </c>
      <c r="F296" s="39">
        <f t="shared" si="12"/>
        <v>620.99999999999955</v>
      </c>
    </row>
    <row r="297" spans="5:6" x14ac:dyDescent="0.25">
      <c r="E297" s="6">
        <v>305</v>
      </c>
      <c r="F297" s="39">
        <f t="shared" si="12"/>
        <v>622.99999999999955</v>
      </c>
    </row>
    <row r="298" spans="5:6" x14ac:dyDescent="0.25">
      <c r="E298" s="6">
        <v>306</v>
      </c>
      <c r="F298" s="39">
        <f t="shared" si="12"/>
        <v>624.99999999999955</v>
      </c>
    </row>
    <row r="299" spans="5:6" x14ac:dyDescent="0.25">
      <c r="E299" s="6">
        <v>307</v>
      </c>
      <c r="F299" s="39">
        <f t="shared" si="12"/>
        <v>626.99999999999955</v>
      </c>
    </row>
    <row r="300" spans="5:6" x14ac:dyDescent="0.25">
      <c r="E300" s="6">
        <v>308</v>
      </c>
      <c r="F300" s="39">
        <f t="shared" si="12"/>
        <v>628.99999999999955</v>
      </c>
    </row>
    <row r="301" spans="5:6" x14ac:dyDescent="0.25">
      <c r="E301" s="6">
        <v>309</v>
      </c>
      <c r="F301" s="39">
        <f t="shared" si="12"/>
        <v>630.99999999999955</v>
      </c>
    </row>
    <row r="302" spans="5:6" x14ac:dyDescent="0.25">
      <c r="E302" s="6">
        <v>310</v>
      </c>
      <c r="F302" s="39">
        <f t="shared" si="12"/>
        <v>632.99999999999955</v>
      </c>
    </row>
    <row r="303" spans="5:6" x14ac:dyDescent="0.25">
      <c r="E303" s="6">
        <v>311</v>
      </c>
      <c r="F303" s="39">
        <f t="shared" si="12"/>
        <v>634.99999999999955</v>
      </c>
    </row>
    <row r="304" spans="5:6" x14ac:dyDescent="0.25">
      <c r="E304" s="6">
        <v>312</v>
      </c>
      <c r="F304" s="39">
        <f t="shared" si="12"/>
        <v>636.99999999999955</v>
      </c>
    </row>
    <row r="305" spans="5:6" x14ac:dyDescent="0.25">
      <c r="E305" s="6">
        <v>313</v>
      </c>
      <c r="F305" s="39">
        <f t="shared" si="12"/>
        <v>638.99999999999955</v>
      </c>
    </row>
    <row r="306" spans="5:6" x14ac:dyDescent="0.25">
      <c r="E306" s="6">
        <v>314</v>
      </c>
      <c r="F306" s="39">
        <f t="shared" si="12"/>
        <v>640.99999999999955</v>
      </c>
    </row>
    <row r="307" spans="5:6" x14ac:dyDescent="0.25">
      <c r="E307" s="6">
        <v>315</v>
      </c>
      <c r="F307" s="39">
        <f t="shared" si="12"/>
        <v>642.99999999999955</v>
      </c>
    </row>
    <row r="308" spans="5:6" x14ac:dyDescent="0.25">
      <c r="E308" s="6">
        <v>316</v>
      </c>
      <c r="F308" s="39">
        <f t="shared" si="12"/>
        <v>644.99999999999955</v>
      </c>
    </row>
    <row r="309" spans="5:6" x14ac:dyDescent="0.25">
      <c r="E309" s="6">
        <v>317</v>
      </c>
      <c r="F309" s="39">
        <f t="shared" si="12"/>
        <v>646.99999999999955</v>
      </c>
    </row>
    <row r="310" spans="5:6" x14ac:dyDescent="0.25">
      <c r="E310" s="6">
        <v>318</v>
      </c>
      <c r="F310" s="39">
        <f t="shared" si="12"/>
        <v>648.99999999999955</v>
      </c>
    </row>
    <row r="311" spans="5:6" x14ac:dyDescent="0.25">
      <c r="E311" s="6">
        <v>319</v>
      </c>
      <c r="F311" s="39">
        <f t="shared" si="12"/>
        <v>650.99999999999955</v>
      </c>
    </row>
    <row r="312" spans="5:6" x14ac:dyDescent="0.25">
      <c r="E312" s="6">
        <v>320</v>
      </c>
      <c r="F312" s="39">
        <f t="shared" si="12"/>
        <v>652.99999999999955</v>
      </c>
    </row>
    <row r="313" spans="5:6" x14ac:dyDescent="0.25">
      <c r="E313" s="6">
        <v>321</v>
      </c>
      <c r="F313" s="39">
        <f t="shared" si="12"/>
        <v>654.99999999999955</v>
      </c>
    </row>
    <row r="314" spans="5:6" x14ac:dyDescent="0.25">
      <c r="E314" s="6">
        <v>322</v>
      </c>
      <c r="F314" s="39">
        <f t="shared" si="12"/>
        <v>656.99999999999955</v>
      </c>
    </row>
    <row r="315" spans="5:6" x14ac:dyDescent="0.25">
      <c r="E315" s="6">
        <v>323</v>
      </c>
      <c r="F315" s="39">
        <f t="shared" si="12"/>
        <v>658.99999999999955</v>
      </c>
    </row>
    <row r="316" spans="5:6" x14ac:dyDescent="0.25">
      <c r="E316" s="6">
        <v>324</v>
      </c>
      <c r="F316" s="39">
        <f t="shared" si="12"/>
        <v>660.99999999999955</v>
      </c>
    </row>
    <row r="317" spans="5:6" x14ac:dyDescent="0.25">
      <c r="E317" s="6">
        <v>325</v>
      </c>
      <c r="F317" s="39">
        <f t="shared" si="12"/>
        <v>662.99999999999955</v>
      </c>
    </row>
    <row r="318" spans="5:6" x14ac:dyDescent="0.25">
      <c r="E318" s="6">
        <v>326</v>
      </c>
      <c r="F318" s="39">
        <f t="shared" si="12"/>
        <v>664.99999999999955</v>
      </c>
    </row>
    <row r="319" spans="5:6" x14ac:dyDescent="0.25">
      <c r="E319" s="6">
        <v>327</v>
      </c>
      <c r="F319" s="39">
        <f t="shared" si="12"/>
        <v>666.99999999999955</v>
      </c>
    </row>
    <row r="320" spans="5:6" x14ac:dyDescent="0.25">
      <c r="E320" s="6">
        <v>328</v>
      </c>
      <c r="F320" s="39">
        <f t="shared" si="12"/>
        <v>668.99999999999955</v>
      </c>
    </row>
    <row r="321" spans="5:6" x14ac:dyDescent="0.25">
      <c r="E321" s="6">
        <v>329</v>
      </c>
      <c r="F321" s="39">
        <f t="shared" si="12"/>
        <v>670.99999999999955</v>
      </c>
    </row>
    <row r="322" spans="5:6" x14ac:dyDescent="0.25">
      <c r="E322" s="6">
        <v>330</v>
      </c>
      <c r="F322" s="39">
        <f t="shared" si="12"/>
        <v>672.99999999999955</v>
      </c>
    </row>
    <row r="323" spans="5:6" x14ac:dyDescent="0.25">
      <c r="E323" s="6">
        <v>331</v>
      </c>
      <c r="F323" s="39">
        <f t="shared" si="12"/>
        <v>674.99999999999955</v>
      </c>
    </row>
    <row r="324" spans="5:6" x14ac:dyDescent="0.25">
      <c r="E324" s="6">
        <v>332</v>
      </c>
      <c r="F324" s="39">
        <f t="shared" si="12"/>
        <v>676.99999999999955</v>
      </c>
    </row>
    <row r="325" spans="5:6" x14ac:dyDescent="0.25">
      <c r="E325" s="6">
        <v>333</v>
      </c>
      <c r="F325" s="39">
        <f t="shared" si="12"/>
        <v>678.99999999999955</v>
      </c>
    </row>
  </sheetData>
  <sheetProtection algorithmName="SHA-512" hashValue="Pcbb3V9b4M1aaBay9BfsQ+uBXthr/smimQTJXgEMqAF0vA3FX0xigXiNnBCH/gtfPHTqYyesDq44T5/RpGtdlg==" saltValue="kcmwfYtepPYq4GZtPNr1VA==" spinCount="100000" sheet="1" formatRows="0"/>
  <sortState ref="M7:N17">
    <sortCondition ref="M7:M17"/>
  </sortState>
  <customSheetViews>
    <customSheetView guid="{B1A9DF0D-440C-4435-ADFB-79A992102039}" fitToPage="1">
      <selection activeCell="B1" sqref="B1"/>
      <pageMargins left="0.70866141732283472" right="0.59055118110236227" top="0.6692913385826772" bottom="0.47244094488188981" header="0.31496062992125984" footer="0.31496062992125984"/>
      <pageSetup paperSize="9" scale="70" fitToHeight="0" orientation="portrait" r:id="rId1"/>
    </customSheetView>
  </customSheetViews>
  <pageMargins left="0.70866141732283472" right="0.59055118110236227" top="0.6692913385826772" bottom="0.47244094488188981" header="0.31496062992125984" footer="0.31496062992125984"/>
  <pageSetup paperSize="9" scale="70"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S93"/>
  <sheetViews>
    <sheetView showGridLines="0" showZeros="0" zoomScaleNormal="100" workbookViewId="0">
      <selection activeCell="B7" sqref="B7"/>
    </sheetView>
  </sheetViews>
  <sheetFormatPr baseColWidth="10" defaultRowHeight="15" zeroHeight="1" x14ac:dyDescent="0.25"/>
  <cols>
    <col min="1" max="1" width="1.28515625" customWidth="1"/>
    <col min="4" max="4" width="10.140625" customWidth="1"/>
    <col min="5" max="5" width="9.7109375" customWidth="1"/>
    <col min="6" max="6" width="7.85546875" customWidth="1"/>
    <col min="7" max="7" width="9.5703125" customWidth="1"/>
    <col min="8" max="8" width="10.7109375" customWidth="1"/>
    <col min="9" max="9" width="6.42578125" customWidth="1"/>
    <col min="10" max="10" width="4.42578125" customWidth="1"/>
    <col min="11" max="11" width="3.28515625" customWidth="1"/>
    <col min="12" max="12" width="12.5703125" customWidth="1"/>
    <col min="16" max="16" width="5.85546875" customWidth="1"/>
    <col min="17" max="17" width="4.7109375" customWidth="1"/>
    <col min="18" max="18" width="7.7109375" bestFit="1" customWidth="1"/>
  </cols>
  <sheetData>
    <row r="1" spans="1:19" ht="23.25" x14ac:dyDescent="0.35">
      <c r="B1" s="384" t="s">
        <v>247</v>
      </c>
      <c r="C1" s="37"/>
      <c r="D1" s="37"/>
      <c r="E1" s="37"/>
      <c r="F1" s="37"/>
      <c r="G1" s="37"/>
      <c r="H1" s="799" t="s">
        <v>355</v>
      </c>
      <c r="I1" s="799"/>
      <c r="J1" s="799"/>
      <c r="K1" s="352"/>
      <c r="S1" s="95" t="str">
        <f>CI!S1</f>
        <v>Konti24</v>
      </c>
    </row>
    <row r="2" spans="1:19" ht="26.25" x14ac:dyDescent="0.4">
      <c r="A2" s="21"/>
      <c r="B2" s="258" t="s">
        <v>21</v>
      </c>
      <c r="K2" s="352"/>
    </row>
    <row r="3" spans="1:19" ht="17.25" x14ac:dyDescent="0.3">
      <c r="B3" s="259" t="s">
        <v>126</v>
      </c>
      <c r="E3" s="260" t="str">
        <f>" .. ab dem Frühjahr 202"&amp;RIGHT(H1,1)-1</f>
        <v xml:space="preserve"> .. ab dem Frühjahr 2024</v>
      </c>
      <c r="H3" s="252"/>
      <c r="K3" s="352"/>
    </row>
    <row r="4" spans="1:19" ht="9.75" customHeight="1" x14ac:dyDescent="0.25">
      <c r="K4" s="352"/>
    </row>
    <row r="5" spans="1:19" x14ac:dyDescent="0.25">
      <c r="K5" s="352"/>
    </row>
    <row r="6" spans="1:19" ht="18.75" x14ac:dyDescent="0.3">
      <c r="A6" s="3"/>
      <c r="B6" s="10" t="s">
        <v>0</v>
      </c>
      <c r="C6" s="80" t="s">
        <v>1</v>
      </c>
      <c r="D6" s="4"/>
      <c r="G6" s="51" t="str">
        <f>IF(L6&lt;&gt;C7,L6,"")</f>
        <v/>
      </c>
      <c r="K6" s="352"/>
      <c r="L6" s="50" t="str">
        <f>LOOKUP(B7,BasisP!M6:M18,BasisP!N6:N18)</f>
        <v>PTS  . . .</v>
      </c>
    </row>
    <row r="7" spans="1:19" ht="15.75" x14ac:dyDescent="0.25">
      <c r="B7" s="82"/>
      <c r="C7" s="81" t="str">
        <f>L6</f>
        <v>PTS  . . .</v>
      </c>
      <c r="J7" s="341">
        <v>4</v>
      </c>
      <c r="K7" s="352"/>
    </row>
    <row r="8" spans="1:19" x14ac:dyDescent="0.25">
      <c r="K8" s="352"/>
    </row>
    <row r="9" spans="1:19" x14ac:dyDescent="0.25">
      <c r="K9" s="352"/>
    </row>
    <row r="10" spans="1:19" ht="15.75" customHeight="1" x14ac:dyDescent="0.25">
      <c r="B10" s="9" t="s">
        <v>9</v>
      </c>
      <c r="C10" s="1" t="s">
        <v>10</v>
      </c>
      <c r="H10" s="800" t="s">
        <v>26</v>
      </c>
      <c r="K10" s="352"/>
    </row>
    <row r="11" spans="1:19" ht="21" x14ac:dyDescent="0.35">
      <c r="A11" s="8"/>
      <c r="B11" s="4" t="s">
        <v>2</v>
      </c>
      <c r="C11" s="5" t="s">
        <v>3</v>
      </c>
      <c r="D11" s="5" t="s">
        <v>4</v>
      </c>
      <c r="E11" s="5" t="s">
        <v>5</v>
      </c>
      <c r="G11" s="5" t="s">
        <v>6</v>
      </c>
      <c r="H11" s="801"/>
      <c r="K11" s="352"/>
    </row>
    <row r="12" spans="1:19" ht="18.75" x14ac:dyDescent="0.3">
      <c r="A12" s="3"/>
      <c r="B12" s="44" t="s">
        <v>25</v>
      </c>
      <c r="C12" s="45"/>
      <c r="D12" s="46"/>
      <c r="E12" s="46"/>
      <c r="G12" s="46"/>
      <c r="H12" s="47"/>
      <c r="K12" s="352"/>
    </row>
    <row r="13" spans="1:19" x14ac:dyDescent="0.25">
      <c r="G13" s="33">
        <v>0.3</v>
      </c>
      <c r="K13" s="352"/>
    </row>
    <row r="14" spans="1:19" x14ac:dyDescent="0.25">
      <c r="K14" s="352"/>
      <c r="L14" s="23" t="str">
        <f>RIGHT(D16,4)</f>
        <v>23,6</v>
      </c>
    </row>
    <row r="15" spans="1:19" ht="18.75" x14ac:dyDescent="0.3">
      <c r="A15" s="3"/>
      <c r="B15" s="11" t="s">
        <v>27</v>
      </c>
      <c r="K15" s="352"/>
    </row>
    <row r="16" spans="1:19" s="22" customFormat="1" x14ac:dyDescent="0.25">
      <c r="A16" s="63"/>
      <c r="C16" s="60">
        <f>IF(C12&gt;0,INT(((C12+(G12*G13))/(RIGHT(D16,4)+0.01))+1),0)</f>
        <v>0</v>
      </c>
      <c r="D16" s="70" t="s">
        <v>43</v>
      </c>
      <c r="G16" s="61">
        <f>LOOKUP(G12,BasisP!H1:H223,BasisP!J1:J223)</f>
        <v>0</v>
      </c>
      <c r="H16" s="62">
        <f>LOOKUP(SUM(H12,G12),BasisP!H1:H223,BasisP!J1:J223)-G16</f>
        <v>0</v>
      </c>
      <c r="K16" s="353"/>
      <c r="L16" s="92" t="s">
        <v>42</v>
      </c>
    </row>
    <row r="17" spans="1:12" ht="8.25" customHeight="1" x14ac:dyDescent="0.25">
      <c r="K17" s="352"/>
    </row>
    <row r="18" spans="1:12" ht="15.75" customHeight="1" x14ac:dyDescent="0.25">
      <c r="A18" s="52"/>
      <c r="B18" s="53" t="s">
        <v>17</v>
      </c>
      <c r="C18" s="54">
        <f>C16</f>
        <v>0</v>
      </c>
      <c r="D18" s="44" t="s">
        <v>18</v>
      </c>
      <c r="E18" s="58">
        <f>IF(K44=0,,".. und ")</f>
        <v>0</v>
      </c>
      <c r="F18" s="59">
        <f>K44</f>
        <v>0</v>
      </c>
      <c r="G18" s="71">
        <f>IF(K44=0,,IF(K44&lt;0," WENIGER in Absprache mit Präs/3"," ZUSÄTZLICH laut Genehmigung von"))</f>
        <v>0</v>
      </c>
      <c r="H18" s="72"/>
      <c r="I18" s="72"/>
      <c r="J18" s="72"/>
      <c r="K18" s="352"/>
      <c r="L18" s="23">
        <f>IF(C18&gt;0,C18+K44,)</f>
        <v>0</v>
      </c>
    </row>
    <row r="19" spans="1:12" ht="15.75" x14ac:dyDescent="0.25">
      <c r="A19" s="52"/>
      <c r="C19" s="55" t="str">
        <f>IF(D19&lt;&gt;L18,"..und schulautonom: ","..und tatsächlich: ")</f>
        <v xml:space="preserve">..und tatsächlich: </v>
      </c>
      <c r="D19" s="56">
        <f>L18</f>
        <v>0</v>
      </c>
      <c r="E19" s="57" t="s">
        <v>45</v>
      </c>
      <c r="G19" s="72"/>
      <c r="H19" s="72"/>
      <c r="I19" s="72"/>
      <c r="J19" s="73">
        <f>IF(K44&gt;0," Präs/3",)</f>
        <v>0</v>
      </c>
      <c r="K19" s="352"/>
    </row>
    <row r="20" spans="1:12" ht="23.25" x14ac:dyDescent="0.35">
      <c r="A20" s="216"/>
      <c r="E20" s="97">
        <f>IF(C12&gt;0,C12/D19,)</f>
        <v>0</v>
      </c>
      <c r="F20" s="98">
        <f>IF(C12&gt;0,"SuS im Durchschnitt",)</f>
        <v>0</v>
      </c>
      <c r="K20" s="352"/>
    </row>
    <row r="21" spans="1:12" ht="23.25" x14ac:dyDescent="0.35">
      <c r="A21" s="214"/>
      <c r="B21" s="213" t="s">
        <v>8</v>
      </c>
      <c r="C21" s="212"/>
      <c r="D21" s="215" t="s">
        <v>96</v>
      </c>
      <c r="E21" s="212"/>
      <c r="F21" s="212"/>
      <c r="G21" s="212"/>
      <c r="H21" s="212"/>
      <c r="I21" s="212"/>
      <c r="J21" s="212"/>
      <c r="K21" s="352"/>
      <c r="L21" s="599" t="s">
        <v>19</v>
      </c>
    </row>
    <row r="22" spans="1:12" ht="21" x14ac:dyDescent="0.35">
      <c r="A22" s="8"/>
      <c r="B22" s="4"/>
      <c r="C22" s="12" t="s">
        <v>11</v>
      </c>
      <c r="D22" s="5" t="s">
        <v>4</v>
      </c>
      <c r="E22" s="68" t="s">
        <v>5</v>
      </c>
      <c r="H22" s="377">
        <f>IF(L50&lt;&gt;0,"Abzug wg IT-Einrechnung:",)</f>
        <v>0</v>
      </c>
      <c r="K22" s="352"/>
    </row>
    <row r="23" spans="1:12" ht="15.75" x14ac:dyDescent="0.25">
      <c r="A23" s="52"/>
      <c r="B23" s="26"/>
      <c r="C23" s="64">
        <f>LOOKUP(C12,BasisP!E1:E325,BasisP!F1:F325)</f>
        <v>0</v>
      </c>
      <c r="D23" s="84">
        <f>IF(D12&gt;25,40,IF(D12&gt;7,20,IF(D12&gt;0,6,)))</f>
        <v>0</v>
      </c>
      <c r="E23" s="67">
        <f>IF(E12&gt;7,"bitte einplanen!",)</f>
        <v>0</v>
      </c>
      <c r="H23" s="376">
        <f>IF(L50&gt;0,-L50,)</f>
        <v>0</v>
      </c>
      <c r="I23" s="2"/>
      <c r="J23" s="2"/>
      <c r="K23" s="352"/>
    </row>
    <row r="24" spans="1:12" ht="15" customHeight="1" x14ac:dyDescent="0.25">
      <c r="A24" s="52"/>
      <c r="B24" s="802" t="str">
        <f>IF(C23&gt;0,IF(C12&lt;BasisP!A3,"mit "&amp;BasisP!C2&amp;" beginnend","von "&amp;BasisP!C2&amp;" beginnend 
degressiv"&amp;IF(C12&gt;BasisP!A4," über "&amp;TEXT(BasisP!C3,"0,00")&amp;" bis "," auf ")&amp;TEXT(L25,"0,00")),"")</f>
        <v/>
      </c>
      <c r="C24" s="803"/>
      <c r="D24" s="69" t="str">
        <f>IF(D23&gt;19,"DFöKL !",IF(D23=6,"DFöKurs"," "))</f>
        <v xml:space="preserve"> </v>
      </c>
      <c r="E24" s="804" t="str">
        <f>IF(E23&gt;0,"Zur Sprachförderung sind gezielte Maßnahmen im verfügbaren Stundenkontingent zu setzen","")</f>
        <v/>
      </c>
      <c r="F24" s="804"/>
      <c r="G24" s="804"/>
      <c r="H24" s="804"/>
      <c r="I24" s="804"/>
      <c r="K24" s="352"/>
      <c r="L24" s="93" t="s">
        <v>220</v>
      </c>
    </row>
    <row r="25" spans="1:12" ht="15.75" x14ac:dyDescent="0.25">
      <c r="A25" s="52"/>
      <c r="B25" s="802"/>
      <c r="C25" s="802"/>
      <c r="E25" s="804"/>
      <c r="F25" s="804"/>
      <c r="G25" s="804"/>
      <c r="H25" s="804"/>
      <c r="I25" s="804"/>
      <c r="K25" s="352"/>
      <c r="L25" s="88">
        <f>LOOKUP(C12,BasisP!A2:A4,BasisP!C2:C4)</f>
        <v>2.5499999999999998</v>
      </c>
    </row>
    <row r="26" spans="1:12" ht="15.75" x14ac:dyDescent="0.25">
      <c r="A26" s="52"/>
      <c r="D26" s="12" t="s">
        <v>57</v>
      </c>
      <c r="E26" s="35">
        <f>ROUND(SUM(C23,H23),2)</f>
        <v>0</v>
      </c>
      <c r="F26" s="96" t="s">
        <v>50</v>
      </c>
      <c r="K26" s="352"/>
    </row>
    <row r="27" spans="1:12" ht="15.75" x14ac:dyDescent="0.25">
      <c r="A27" s="52"/>
      <c r="D27" s="85">
        <f>IF(D23&gt;6,"Zusatz-Konti für DFöKL",)</f>
        <v>0</v>
      </c>
      <c r="E27" s="86">
        <f>IF(D23&gt;6,D23-6,)</f>
        <v>0</v>
      </c>
      <c r="F27" s="87" t="str">
        <f>IF(E27&gt;0,"Wochenstunden","")</f>
        <v/>
      </c>
      <c r="K27" s="352"/>
      <c r="L27" s="92" t="s">
        <v>56</v>
      </c>
    </row>
    <row r="28" spans="1:12" ht="15.75" x14ac:dyDescent="0.25">
      <c r="A28" s="52"/>
      <c r="D28" s="15" t="s">
        <v>14</v>
      </c>
      <c r="E28" s="36">
        <f>H16</f>
        <v>0</v>
      </c>
      <c r="F28" s="14" t="s">
        <v>44</v>
      </c>
      <c r="K28" s="352"/>
    </row>
    <row r="29" spans="1:12" ht="15.75" x14ac:dyDescent="0.25">
      <c r="A29" s="52"/>
      <c r="D29" s="19" t="s">
        <v>15</v>
      </c>
      <c r="E29" s="378">
        <f>ROUNDUP(SUM(E26:E28),1)</f>
        <v>0</v>
      </c>
      <c r="K29" s="352"/>
    </row>
    <row r="30" spans="1:12" ht="15.75" x14ac:dyDescent="0.25">
      <c r="A30" s="52"/>
      <c r="D30" s="12" t="s">
        <v>52</v>
      </c>
      <c r="E30" s="27">
        <f>CEILING(G16,0.5)</f>
        <v>0</v>
      </c>
      <c r="F30" s="31" t="str">
        <f>IF(E30&gt;0," ohne Stunden der schulischen Assistenz","")</f>
        <v/>
      </c>
      <c r="K30" s="352"/>
    </row>
    <row r="31" spans="1:12" ht="15.75" hidden="1" x14ac:dyDescent="0.25">
      <c r="A31" s="52"/>
      <c r="D31" s="12"/>
      <c r="E31" s="28"/>
      <c r="F31" s="31" t="s">
        <v>256</v>
      </c>
      <c r="K31" s="352"/>
    </row>
    <row r="32" spans="1:12" ht="5.25" customHeight="1" thickBot="1" x14ac:dyDescent="0.3">
      <c r="E32" s="4"/>
      <c r="K32" s="352"/>
    </row>
    <row r="33" spans="1:13" ht="18.75" thickTop="1" thickBot="1" x14ac:dyDescent="0.35">
      <c r="A33" s="65"/>
      <c r="D33" s="17" t="s">
        <v>16</v>
      </c>
      <c r="E33" s="29">
        <f>ROUND(SUM(E29:E32),1)</f>
        <v>0</v>
      </c>
      <c r="F33" s="16" t="s">
        <v>51</v>
      </c>
      <c r="K33" s="352"/>
    </row>
    <row r="34" spans="1:13" ht="5.25" customHeight="1" thickTop="1" x14ac:dyDescent="0.25">
      <c r="K34" s="352"/>
    </row>
    <row r="35" spans="1:13" hidden="1" x14ac:dyDescent="0.25">
      <c r="E35" s="18" t="s">
        <v>55</v>
      </c>
      <c r="F35" s="66"/>
      <c r="G35" s="83" t="str">
        <f>IF(F35&gt;0,"..kommen von der PTS Bregenz","..gehen an die PTS Lauterach")</f>
        <v>..gehen an die PTS Lauterach</v>
      </c>
      <c r="K35" s="352"/>
      <c r="L35" s="94" t="s">
        <v>54</v>
      </c>
    </row>
    <row r="36" spans="1:13" ht="15.75" x14ac:dyDescent="0.25">
      <c r="A36" s="52"/>
      <c r="E36" s="89">
        <f>IF(F36&lt;&gt;0,"Weiters wegen geänderter Klassenzahl:",)</f>
        <v>0</v>
      </c>
      <c r="F36" s="238">
        <f>L37</f>
        <v>0</v>
      </c>
      <c r="G36" s="798">
        <f>IF(L37&lt;0,"..als Reduktion wegen eingerichteter Mehrklassen",IF(L37&gt;0,"..wegen Unterschreitung der möglichen Klassenzahl",))</f>
        <v>0</v>
      </c>
      <c r="H36" s="798"/>
      <c r="I36" s="798"/>
      <c r="J36" s="798"/>
      <c r="K36" s="352"/>
      <c r="L36" s="93" t="s">
        <v>20</v>
      </c>
    </row>
    <row r="37" spans="1:13" x14ac:dyDescent="0.25">
      <c r="F37" s="24">
        <f>IF(OR(F35&lt;&gt;0,F36&lt;&gt;0),SUM(E33,F35,F36),)</f>
        <v>0</v>
      </c>
      <c r="G37" s="798"/>
      <c r="H37" s="798"/>
      <c r="I37" s="798"/>
      <c r="J37" s="798"/>
      <c r="K37" s="352"/>
      <c r="L37" s="23">
        <f>IF(AND(L18&lt;8,D19&gt;7),(L18*1.5)-18,IF(AND(D19&lt;&gt;L18,MIN(D19,L18)&lt;M37),(MIN(D19,M37)-MIN(L18,M37))*-1.5,))</f>
        <v>0</v>
      </c>
      <c r="M37" s="32">
        <v>12</v>
      </c>
    </row>
    <row r="38" spans="1:13" ht="18.75" x14ac:dyDescent="0.3">
      <c r="A38" s="234"/>
      <c r="B38" s="235" t="s">
        <v>101</v>
      </c>
      <c r="C38" s="209" t="s">
        <v>60</v>
      </c>
      <c r="D38" s="210"/>
      <c r="E38" s="210"/>
      <c r="F38" s="236"/>
      <c r="G38" s="237" t="s">
        <v>102</v>
      </c>
      <c r="H38" s="236"/>
      <c r="I38" s="232"/>
      <c r="J38" s="240">
        <f>E40</f>
        <v>0</v>
      </c>
      <c r="K38" s="352"/>
    </row>
    <row r="39" spans="1:13" ht="15.75" x14ac:dyDescent="0.25">
      <c r="A39" s="52"/>
      <c r="B39" s="75" t="s">
        <v>48</v>
      </c>
      <c r="K39" s="352"/>
      <c r="L39" s="92" t="s">
        <v>53</v>
      </c>
    </row>
    <row r="40" spans="1:13" ht="15.75" x14ac:dyDescent="0.25">
      <c r="A40" s="52"/>
      <c r="D40" s="20" t="s">
        <v>49</v>
      </c>
      <c r="E40" s="241">
        <f>IF(GTS!A29&gt;0,GTS!A28,GTS!A27)</f>
        <v>0</v>
      </c>
      <c r="F40" s="77"/>
      <c r="G40" s="77"/>
      <c r="H40" s="78" t="s">
        <v>47</v>
      </c>
      <c r="I40" s="242">
        <f>GTS!C6</f>
        <v>0</v>
      </c>
      <c r="J40" s="74" t="s">
        <v>46</v>
      </c>
      <c r="K40" s="352"/>
      <c r="L40" s="243">
        <f>IF(E40=0,,"..die ILZ-Stunden sind *0,5 einbezogen")</f>
        <v>0</v>
      </c>
    </row>
    <row r="41" spans="1:13" ht="18.75" x14ac:dyDescent="0.3">
      <c r="A41" s="3"/>
      <c r="B41" s="76" t="s">
        <v>251</v>
      </c>
      <c r="D41" s="77"/>
      <c r="E41" s="793">
        <f>IF(SUM(E39:E40)=0,,SUM(E39:E40,E33:F36))</f>
        <v>0</v>
      </c>
      <c r="F41" s="793"/>
      <c r="G41" s="79"/>
      <c r="H41" s="79"/>
      <c r="I41" s="79"/>
      <c r="J41" s="79"/>
      <c r="K41" s="352"/>
    </row>
    <row r="42" spans="1:13" ht="18.75" x14ac:dyDescent="0.3">
      <c r="A42" s="3"/>
      <c r="B42" s="792"/>
      <c r="C42" s="792"/>
      <c r="D42" s="792"/>
      <c r="E42" s="792"/>
      <c r="F42" s="792"/>
      <c r="G42" s="792"/>
      <c r="H42" s="792"/>
      <c r="I42" s="792"/>
      <c r="J42" s="792"/>
      <c r="K42" s="352"/>
    </row>
    <row r="43" spans="1:13" ht="18.75" x14ac:dyDescent="0.3">
      <c r="A43" s="3"/>
      <c r="B43" s="792"/>
      <c r="C43" s="792"/>
      <c r="D43" s="792"/>
      <c r="E43" s="792"/>
      <c r="F43" s="792"/>
      <c r="G43" s="792"/>
      <c r="H43" s="792"/>
      <c r="I43" s="792"/>
      <c r="J43" s="792"/>
      <c r="K43" s="352"/>
    </row>
    <row r="44" spans="1:13" ht="18.75" x14ac:dyDescent="0.3">
      <c r="A44" s="3"/>
      <c r="B44" s="792"/>
      <c r="C44" s="792"/>
      <c r="D44" s="792"/>
      <c r="E44" s="792"/>
      <c r="F44" s="792"/>
      <c r="G44" s="792"/>
      <c r="H44" s="792"/>
      <c r="I44" s="792"/>
      <c r="J44" s="792"/>
      <c r="K44" s="354"/>
      <c r="L44" s="34">
        <f>IF(K44&lt;&gt;0," KL genehmigt durch BilDi",)</f>
        <v>0</v>
      </c>
    </row>
    <row r="45" spans="1:13" ht="10.5" customHeight="1" x14ac:dyDescent="0.25">
      <c r="K45" s="352"/>
    </row>
    <row r="46" spans="1:13" ht="18.75" x14ac:dyDescent="0.3">
      <c r="A46" s="211"/>
      <c r="B46" s="209" t="s">
        <v>97</v>
      </c>
      <c r="C46" s="212"/>
      <c r="D46" s="210" t="s">
        <v>98</v>
      </c>
      <c r="E46" s="212"/>
      <c r="F46" s="212"/>
      <c r="G46" s="212"/>
      <c r="H46" s="212"/>
      <c r="I46" s="212"/>
      <c r="J46" s="212"/>
      <c r="K46" s="352"/>
      <c r="L46" s="239">
        <f>LOOKUP(B7,BasisP!M6:M18,BasisP!L6:L18)</f>
        <v>0</v>
      </c>
    </row>
    <row r="47" spans="1:13" ht="6" customHeight="1" x14ac:dyDescent="0.25">
      <c r="A47" s="93"/>
      <c r="B47" s="93"/>
      <c r="K47" s="352"/>
    </row>
    <row r="48" spans="1:13" ht="15.75" x14ac:dyDescent="0.25">
      <c r="A48" s="217"/>
      <c r="B48" s="93"/>
      <c r="D48" s="218" t="s">
        <v>99</v>
      </c>
      <c r="E48" s="219"/>
      <c r="F48" s="220" t="s">
        <v>100</v>
      </c>
      <c r="G48" s="221"/>
      <c r="H48" s="222"/>
      <c r="I48" s="222"/>
      <c r="J48" s="222"/>
      <c r="K48" s="323"/>
      <c r="L48" s="223">
        <f>IF(L46&gt;0,,LOOKUP(E48,BasisP!L22:L51,BasisP!M22:M51))</f>
        <v>0</v>
      </c>
    </row>
    <row r="49" spans="1:15" ht="15.75" x14ac:dyDescent="0.25">
      <c r="A49" s="217"/>
      <c r="B49" s="93"/>
      <c r="D49" s="224"/>
      <c r="E49" s="225" t="str">
        <f>IF(E48&gt;0,"Das mögliche Ausmaß beträgt: "," ")</f>
        <v xml:space="preserve"> </v>
      </c>
      <c r="F49" s="226" t="str">
        <f>IF(AND(E48&gt;5,L46=0)," maximal  "&amp;TEXT(L48,"0,0")&amp;"  für die umfassende Betreuung",IF(E48&gt;0,"nichts möglich"," "))</f>
        <v xml:space="preserve"> </v>
      </c>
      <c r="G49" s="227"/>
      <c r="H49" s="224"/>
      <c r="I49" s="224"/>
      <c r="K49" s="352"/>
      <c r="L49" s="221">
        <f>IF(L48&gt;=2.5,0.1,)+L48</f>
        <v>0</v>
      </c>
    </row>
    <row r="50" spans="1:15" ht="15.75" x14ac:dyDescent="0.25">
      <c r="A50" s="217"/>
      <c r="B50" s="93"/>
      <c r="D50" s="228"/>
      <c r="E50" s="229"/>
      <c r="F50" s="222"/>
      <c r="G50" s="230" t="str">
        <f>IF(L48&gt;0,"Die tatsächl. Betreuung berechtigt als LV-Einrechnung: ","")</f>
        <v/>
      </c>
      <c r="H50" s="231" t="str">
        <f>IF(L48&gt;0,L48," ")</f>
        <v xml:space="preserve"> </v>
      </c>
      <c r="I50" s="221" t="str">
        <f>IF(H50&lt;&gt;" ","  wöchentlich","")</f>
        <v/>
      </c>
      <c r="K50" s="352"/>
      <c r="L50" s="93">
        <f>IF(AND(H50&lt;&gt;" ",H50&gt;L48),H50-L48,)</f>
        <v>0</v>
      </c>
      <c r="M50" s="22">
        <f>IF(L49&gt;L48," um max. 0,1 darf erhöht werden ..zulasten des Unterr.-Kontingentes",)</f>
        <v>0</v>
      </c>
    </row>
    <row r="51" spans="1:15" ht="11.25" customHeight="1" x14ac:dyDescent="0.25">
      <c r="A51" s="93"/>
      <c r="B51" s="232"/>
      <c r="K51" s="352"/>
    </row>
    <row r="52" spans="1:15" ht="15.75" x14ac:dyDescent="0.25">
      <c r="A52" s="217"/>
      <c r="B52" s="261"/>
      <c r="C52" s="262" t="s">
        <v>127</v>
      </c>
      <c r="D52" s="263" t="s">
        <v>128</v>
      </c>
      <c r="F52" s="229"/>
      <c r="G52" s="229"/>
      <c r="H52" s="264"/>
      <c r="I52" s="221" t="str">
        <f>IF(H52&gt;0,"  wöchentlich","")</f>
        <v/>
      </c>
      <c r="K52" s="352"/>
      <c r="L52" s="267">
        <f>SUBTOTAL(102,H50:H52)</f>
        <v>0</v>
      </c>
    </row>
    <row r="53" spans="1:15" x14ac:dyDescent="0.25">
      <c r="A53" s="93"/>
      <c r="B53" s="232"/>
      <c r="I53" s="265">
        <f>IF(OR(L53=0,L52&lt;2),,TEXT(L53,"0,0")&amp;" in Summe")</f>
        <v>0</v>
      </c>
      <c r="K53" s="352"/>
      <c r="L53" s="266">
        <f>SUM(H43:H52)</f>
        <v>0</v>
      </c>
      <c r="M53" s="246" t="str">
        <f>LOOKUP(B7,BasisP!M6:M18,BasisP!P6:P18)</f>
        <v>Altr.</v>
      </c>
      <c r="N53" s="246">
        <f>L46</f>
        <v>0</v>
      </c>
    </row>
    <row r="54" spans="1:15" ht="6" customHeight="1" x14ac:dyDescent="0.25">
      <c r="K54" s="352"/>
    </row>
    <row r="55" spans="1:15" ht="15.75" x14ac:dyDescent="0.25">
      <c r="A55" s="93"/>
      <c r="B55" s="247" t="s">
        <v>105</v>
      </c>
      <c r="E55" s="44" t="s">
        <v>106</v>
      </c>
      <c r="F55" s="794" t="str">
        <f>IF(L46="angeschl.",M57,IF(M53="PD",M56,M55))</f>
        <v xml:space="preserve"> ist im Altrecht angestellt (meist L2a2)</v>
      </c>
      <c r="G55" s="795"/>
      <c r="H55" s="795"/>
      <c r="I55" s="795"/>
      <c r="J55" s="796"/>
      <c r="K55" s="352"/>
      <c r="L55" s="351" t="str">
        <f>LOOKUP(F55,M55:M57,N55:N57)</f>
        <v>a</v>
      </c>
      <c r="M55" s="248" t="s">
        <v>107</v>
      </c>
      <c r="N55" s="248" t="s">
        <v>108</v>
      </c>
    </row>
    <row r="56" spans="1:15" ht="7.5" customHeight="1" x14ac:dyDescent="0.25">
      <c r="A56" s="93"/>
      <c r="B56" s="93"/>
      <c r="K56" s="352"/>
      <c r="M56" s="248" t="s">
        <v>109</v>
      </c>
      <c r="N56" s="248" t="s">
        <v>110</v>
      </c>
    </row>
    <row r="57" spans="1:15" x14ac:dyDescent="0.25">
      <c r="A57" s="93"/>
      <c r="B57" s="249" t="s">
        <v>111</v>
      </c>
      <c r="D57" s="2" t="s">
        <v>112</v>
      </c>
      <c r="E57" s="250" t="s">
        <v>113</v>
      </c>
      <c r="F57" s="2"/>
      <c r="G57" s="2" t="s">
        <v>114</v>
      </c>
      <c r="K57" s="352"/>
      <c r="M57" s="248" t="s">
        <v>115</v>
      </c>
      <c r="N57" s="248" t="s">
        <v>116</v>
      </c>
      <c r="O57" s="251" t="s">
        <v>117</v>
      </c>
    </row>
    <row r="58" spans="1:15" x14ac:dyDescent="0.25">
      <c r="A58" s="93"/>
      <c r="B58" s="93"/>
      <c r="C58" s="252" t="s">
        <v>118</v>
      </c>
      <c r="D58" s="253">
        <f>IF(AND(L55="a",C12&gt;0),-2,)</f>
        <v>0</v>
      </c>
      <c r="E58" s="253">
        <f>-D19*1.5</f>
        <v>0</v>
      </c>
      <c r="F58" s="254"/>
      <c r="G58" s="254">
        <f>IF(OR(GTS!AK25=0,M53="PD",L55="b"),,-GTS!BD29*0.75)</f>
        <v>0</v>
      </c>
      <c r="I58" s="791">
        <f>IF(OR(M53="PD",L55="b"),,IF(SUM(D58:H58)&lt;-20,"-20 maximal",SUM(D58:H58)))</f>
        <v>0</v>
      </c>
      <c r="J58" s="791"/>
      <c r="K58" s="352"/>
    </row>
    <row r="59" spans="1:15" x14ac:dyDescent="0.25">
      <c r="A59" s="93"/>
      <c r="B59" s="93"/>
      <c r="C59" s="268" t="str">
        <f>IF(OR(M53&lt;&gt;"Altr.",L55="b",L46="angeschl."),,IF(SUM(D19,GTS!BD29/2)&gt;=8,"SchulleiterIn ist freigestellt!","Schulleit. mit Unterr.Verpflichtung"))</f>
        <v>Schulleit. mit Unterr.Verpflichtung</v>
      </c>
      <c r="G59" s="255">
        <f>IF(LEFT(G58,1)="?","siehe SOK",)</f>
        <v>0</v>
      </c>
      <c r="H59" s="790" t="str">
        <f>IF(AND(G59&gt;0,SUM(D58:H58)&gt;-20),"  noch ohne '? ..'  ",)&amp;IF(LEFT(C59,14)="Schulleit. mit",IF(G59&gt;0,"somit max. 
","somit verbleiben 
")&amp;20+I58&amp;" an wöch. Unterr.Verpfli",)</f>
        <v>somit verbleiben 
20 an wöch. Unterr.Verpfli</v>
      </c>
      <c r="I59" s="790"/>
      <c r="J59" s="790"/>
      <c r="K59" s="790"/>
      <c r="L59" s="256">
        <f>IF(AND(G59&gt;0,SUM(D58:H58)&gt;-20),"noch ohne '? ..'",)</f>
        <v>0</v>
      </c>
    </row>
    <row r="60" spans="1:15" ht="13.5" customHeight="1" x14ac:dyDescent="0.25">
      <c r="H60" s="790"/>
      <c r="I60" s="790"/>
      <c r="J60" s="790"/>
      <c r="K60" s="790"/>
    </row>
    <row r="61" spans="1:15" x14ac:dyDescent="0.25">
      <c r="A61" s="93"/>
      <c r="B61" s="93"/>
      <c r="C61" s="361" t="s">
        <v>119</v>
      </c>
      <c r="D61" s="362" t="s">
        <v>120</v>
      </c>
      <c r="K61" s="93"/>
      <c r="L61" s="246" t="s">
        <v>121</v>
      </c>
    </row>
    <row r="62" spans="1:15" ht="15.75" x14ac:dyDescent="0.25">
      <c r="A62" s="217"/>
      <c r="B62" s="93"/>
      <c r="J62" s="363" t="s">
        <v>122</v>
      </c>
      <c r="K62" s="352"/>
    </row>
    <row r="63" spans="1:15" ht="10.5" customHeight="1" x14ac:dyDescent="0.25">
      <c r="K63" s="352"/>
    </row>
    <row r="64" spans="1:15" ht="18.75" x14ac:dyDescent="0.3">
      <c r="A64" s="211"/>
      <c r="B64" s="209" t="s">
        <v>285</v>
      </c>
      <c r="C64" s="257"/>
      <c r="D64" s="210"/>
      <c r="E64" s="212"/>
      <c r="F64" s="212"/>
      <c r="G64" s="212"/>
      <c r="H64" s="212"/>
      <c r="I64" s="212"/>
      <c r="J64" s="212"/>
      <c r="K64" s="352"/>
    </row>
    <row r="65" spans="1:15" ht="10.5" customHeight="1" x14ac:dyDescent="0.25">
      <c r="K65" s="352"/>
    </row>
    <row r="66" spans="1:15" x14ac:dyDescent="0.25">
      <c r="B66" s="28"/>
      <c r="C66" s="30" t="s">
        <v>252</v>
      </c>
      <c r="I66" s="797">
        <f>IF(B66=0,,SUM(E37:E40,E33:F36,B66))</f>
        <v>0</v>
      </c>
      <c r="J66" s="797"/>
      <c r="K66" s="352"/>
    </row>
    <row r="67" spans="1:15" ht="10.5" customHeight="1" x14ac:dyDescent="0.25">
      <c r="K67" s="352"/>
    </row>
    <row r="68" spans="1:15" ht="18" customHeight="1" x14ac:dyDescent="0.25">
      <c r="B68" s="789" t="s">
        <v>286</v>
      </c>
      <c r="C68" s="789"/>
      <c r="D68" s="789"/>
      <c r="E68" s="789"/>
      <c r="F68" s="789"/>
      <c r="G68" s="789"/>
      <c r="H68" s="789"/>
      <c r="I68" s="789"/>
      <c r="J68" s="789"/>
      <c r="K68" s="352"/>
    </row>
    <row r="69" spans="1:15" ht="18" customHeight="1" x14ac:dyDescent="0.25">
      <c r="B69" s="789"/>
      <c r="C69" s="789"/>
      <c r="D69" s="789"/>
      <c r="E69" s="789"/>
      <c r="F69" s="789"/>
      <c r="G69" s="789"/>
      <c r="H69" s="789"/>
      <c r="I69" s="789"/>
      <c r="J69" s="789"/>
      <c r="K69" s="352"/>
    </row>
    <row r="70" spans="1:15" ht="18" customHeight="1" x14ac:dyDescent="0.25">
      <c r="B70" s="789"/>
      <c r="C70" s="789"/>
      <c r="D70" s="789"/>
      <c r="E70" s="789"/>
      <c r="F70" s="789"/>
      <c r="G70" s="789"/>
      <c r="H70" s="789"/>
      <c r="I70" s="789"/>
      <c r="J70" s="789"/>
      <c r="K70" s="354"/>
      <c r="L70" s="34"/>
    </row>
    <row r="71" spans="1:15" ht="10.5" customHeight="1" x14ac:dyDescent="0.25">
      <c r="K71" s="352"/>
    </row>
    <row r="72" spans="1:15" ht="18.75" x14ac:dyDescent="0.3">
      <c r="A72" s="415"/>
      <c r="B72" s="389" t="s">
        <v>123</v>
      </c>
      <c r="C72" s="390" t="s">
        <v>124</v>
      </c>
      <c r="D72" s="391"/>
      <c r="E72" s="392"/>
      <c r="F72" s="392"/>
      <c r="G72" s="392"/>
      <c r="H72" s="392"/>
      <c r="I72" s="392"/>
      <c r="J72" s="392"/>
      <c r="K72" s="352"/>
      <c r="L72" s="393" t="s">
        <v>253</v>
      </c>
      <c r="M72" s="392"/>
      <c r="N72" s="392"/>
      <c r="O72" s="394"/>
    </row>
    <row r="73" spans="1:15" ht="6" customHeight="1" x14ac:dyDescent="0.25">
      <c r="A73" s="93"/>
      <c r="B73" s="93"/>
      <c r="K73" s="352"/>
    </row>
    <row r="74" spans="1:15" x14ac:dyDescent="0.25">
      <c r="C74" s="252" t="s">
        <v>125</v>
      </c>
      <c r="D74" s="342">
        <f>Assistenz!L27</f>
        <v>0</v>
      </c>
      <c r="E74" t="str">
        <f>" Wochenstunden"&amp;IF(D74&gt;0," für Assistenzleistungen",)&amp;IF(Assistenz!I26&gt;0," (incl. GTS)",)</f>
        <v xml:space="preserve"> Wochenstunden</v>
      </c>
      <c r="K74" s="352"/>
      <c r="L74" s="395" t="s">
        <v>254</v>
      </c>
    </row>
    <row r="75" spans="1:15" x14ac:dyDescent="0.25">
      <c r="D75" s="410">
        <f>Assistenz!L28</f>
        <v>0</v>
      </c>
      <c r="E75">
        <f>IF(Assistenz!L28&gt;0," durch SAF-Personal",)</f>
        <v>0</v>
      </c>
      <c r="K75" s="352"/>
    </row>
    <row r="76" spans="1:15" x14ac:dyDescent="0.25">
      <c r="D76" s="410">
        <f>Assistenz!L29</f>
        <v>0</v>
      </c>
      <c r="E76">
        <f>IF(Assistenz!L29&gt;0," durch entsprechendes Lehrpersonal",)</f>
        <v>0</v>
      </c>
      <c r="K76" s="352"/>
    </row>
    <row r="77" spans="1:15" x14ac:dyDescent="0.25">
      <c r="D77" s="411">
        <f>IF(SUM(D75:D76)&lt;&gt;D74,"Hier liegt ein Fehler im Tabellenblatt &lt;Assistenz&gt; vor!",)</f>
        <v>0</v>
      </c>
      <c r="K77" s="352"/>
    </row>
    <row r="78" spans="1:15" ht="18.75" x14ac:dyDescent="0.3">
      <c r="A78" s="234"/>
      <c r="B78" s="344"/>
      <c r="C78" s="345" t="s">
        <v>157</v>
      </c>
      <c r="D78" s="346"/>
      <c r="E78" s="346"/>
      <c r="F78" s="346"/>
      <c r="G78" s="346"/>
      <c r="H78" s="346"/>
      <c r="I78" s="347" t="s">
        <v>158</v>
      </c>
      <c r="J78" s="346"/>
      <c r="K78" s="352"/>
    </row>
    <row r="79" spans="1:15" ht="6" customHeight="1" x14ac:dyDescent="0.25">
      <c r="A79" s="93"/>
      <c r="B79" s="93"/>
      <c r="K79" s="352"/>
    </row>
    <row r="80" spans="1:15" x14ac:dyDescent="0.25">
      <c r="B80" s="348" t="s">
        <v>159</v>
      </c>
      <c r="K80" s="352"/>
    </row>
    <row r="81" spans="1:11" ht="15.75" x14ac:dyDescent="0.25">
      <c r="A81" s="52"/>
      <c r="C81" s="349" t="s">
        <v>160</v>
      </c>
      <c r="D81" s="28"/>
      <c r="E81" s="96" t="s">
        <v>163</v>
      </c>
      <c r="G81" s="350"/>
      <c r="H81" s="96" t="s">
        <v>161</v>
      </c>
      <c r="K81" s="352"/>
    </row>
    <row r="82" spans="1:11" x14ac:dyDescent="0.25">
      <c r="D82" t="s">
        <v>162</v>
      </c>
      <c r="K82" s="352"/>
    </row>
    <row r="83" spans="1:11" ht="6" customHeight="1" x14ac:dyDescent="0.25">
      <c r="A83" s="93"/>
      <c r="B83" s="93"/>
      <c r="K83" s="352"/>
    </row>
    <row r="84" spans="1:11" ht="15.75" x14ac:dyDescent="0.25">
      <c r="A84" s="52"/>
      <c r="B84" s="357" t="s">
        <v>164</v>
      </c>
      <c r="C84" s="355" t="s">
        <v>165</v>
      </c>
      <c r="D84" s="356"/>
      <c r="E84" s="96" t="s">
        <v>166</v>
      </c>
      <c r="K84" s="352"/>
    </row>
    <row r="85" spans="1:11" ht="44.25" customHeight="1" x14ac:dyDescent="0.25">
      <c r="A85" s="93"/>
      <c r="B85" s="93"/>
      <c r="K85" s="352"/>
    </row>
    <row r="86" spans="1:11" ht="15.75" x14ac:dyDescent="0.25">
      <c r="A86" s="365"/>
      <c r="B86" s="364" t="s">
        <v>168</v>
      </c>
      <c r="K86" s="352"/>
    </row>
    <row r="87" spans="1:11" x14ac:dyDescent="0.25"/>
    <row r="88" spans="1:11" x14ac:dyDescent="0.25"/>
    <row r="89" spans="1:11" x14ac:dyDescent="0.25"/>
    <row r="90" spans="1:11" x14ac:dyDescent="0.25"/>
    <row r="91" spans="1:11" x14ac:dyDescent="0.25"/>
    <row r="92" spans="1:11" x14ac:dyDescent="0.25"/>
    <row r="93" spans="1:11" x14ac:dyDescent="0.25"/>
  </sheetData>
  <sheetProtection algorithmName="SHA-512" hashValue="kjKrL46PC0RwALd/+PBFmtPW7vxo0C7tIP935PzPqkuyYRztlj0PbhuNWQJ86ecoeua+kX2ayPqbTgBtyZYkWA==" saltValue="bXIsK1YizfiIPDLoFJFRDw==" spinCount="100000" sheet="1" formatRows="0"/>
  <customSheetViews>
    <customSheetView guid="{B1A9DF0D-440C-4435-ADFB-79A992102039}" showGridLines="0" zeroValues="0" hiddenRows="1" topLeftCell="A49">
      <selection activeCell="B7" sqref="B7"/>
      <rowBreaks count="1" manualBreakCount="1">
        <brk id="44" max="16383" man="1"/>
      </rowBreaks>
      <pageMargins left="0.6692913385826772" right="0.51181102362204722" top="0.59055118110236227" bottom="0.43307086614173229" header="0.31496062992125984" footer="0.31496062992125984"/>
      <printOptions horizontalCentered="1"/>
      <pageSetup paperSize="9" scale="110" orientation="portrait" r:id="rId1"/>
      <headerFooter scaleWithDoc="0">
        <oddFooter>&amp;C&amp;5&amp;Z&amp;11&amp;F&amp;R&amp;D</oddFooter>
      </headerFooter>
    </customSheetView>
  </customSheetViews>
  <mergeCells count="12">
    <mergeCell ref="G36:J37"/>
    <mergeCell ref="H1:J1"/>
    <mergeCell ref="H10:H11"/>
    <mergeCell ref="B24:C25"/>
    <mergeCell ref="E24:I25"/>
    <mergeCell ref="B68:J70"/>
    <mergeCell ref="H59:K60"/>
    <mergeCell ref="I58:J58"/>
    <mergeCell ref="B42:J44"/>
    <mergeCell ref="E41:F41"/>
    <mergeCell ref="F55:J55"/>
    <mergeCell ref="I66:J66"/>
  </mergeCells>
  <conditionalFormatting sqref="D24">
    <cfRule type="cellIs" dxfId="124" priority="37" operator="notEqual">
      <formula>" "</formula>
    </cfRule>
  </conditionalFormatting>
  <conditionalFormatting sqref="E31">
    <cfRule type="cellIs" dxfId="123" priority="36" operator="notEqual">
      <formula>0</formula>
    </cfRule>
  </conditionalFormatting>
  <conditionalFormatting sqref="F18">
    <cfRule type="cellIs" dxfId="122" priority="32" operator="notEqual">
      <formula>0</formula>
    </cfRule>
  </conditionalFormatting>
  <conditionalFormatting sqref="F35">
    <cfRule type="cellIs" dxfId="121" priority="31" operator="notEqual">
      <formula>0</formula>
    </cfRule>
  </conditionalFormatting>
  <conditionalFormatting sqref="E23">
    <cfRule type="cellIs" dxfId="120" priority="30" operator="greaterThan">
      <formula>0</formula>
    </cfRule>
  </conditionalFormatting>
  <conditionalFormatting sqref="D23">
    <cfRule type="cellIs" dxfId="119" priority="28" operator="greaterThan">
      <formula>0</formula>
    </cfRule>
  </conditionalFormatting>
  <conditionalFormatting sqref="F49">
    <cfRule type="cellIs" dxfId="118" priority="26" stopIfTrue="1" operator="equal">
      <formula>" "</formula>
    </cfRule>
  </conditionalFormatting>
  <conditionalFormatting sqref="F36">
    <cfRule type="cellIs" dxfId="117" priority="24" operator="notEqual">
      <formula>0</formula>
    </cfRule>
  </conditionalFormatting>
  <conditionalFormatting sqref="F58:G58">
    <cfRule type="cellIs" dxfId="116" priority="22" operator="lessThan">
      <formula>0</formula>
    </cfRule>
  </conditionalFormatting>
  <conditionalFormatting sqref="D74">
    <cfRule type="cellIs" dxfId="115" priority="20" operator="notEqual">
      <formula>0</formula>
    </cfRule>
  </conditionalFormatting>
  <conditionalFormatting sqref="H50">
    <cfRule type="expression" dxfId="114" priority="18">
      <formula>$L$50=0.1</formula>
    </cfRule>
    <cfRule type="cellIs" dxfId="113" priority="19" stopIfTrue="1" operator="notEqual">
      <formula>" "</formula>
    </cfRule>
  </conditionalFormatting>
  <conditionalFormatting sqref="H52">
    <cfRule type="cellIs" dxfId="112" priority="15" operator="lessThan">
      <formula>0</formula>
    </cfRule>
    <cfRule type="cellIs" dxfId="111" priority="17" stopIfTrue="1" operator="greaterThan">
      <formula>0</formula>
    </cfRule>
  </conditionalFormatting>
  <conditionalFormatting sqref="D52">
    <cfRule type="expression" dxfId="110" priority="16">
      <formula>$H$52&lt;&gt;0</formula>
    </cfRule>
  </conditionalFormatting>
  <conditionalFormatting sqref="G58">
    <cfRule type="cellIs" dxfId="109" priority="23" operator="greaterThan">
      <formula>0</formula>
    </cfRule>
  </conditionalFormatting>
  <conditionalFormatting sqref="G59">
    <cfRule type="cellIs" dxfId="108" priority="14" operator="notEqual">
      <formula>0</formula>
    </cfRule>
  </conditionalFormatting>
  <conditionalFormatting sqref="D81">
    <cfRule type="cellIs" dxfId="107" priority="12" operator="notEqual">
      <formula>0</formula>
    </cfRule>
  </conditionalFormatting>
  <conditionalFormatting sqref="G81">
    <cfRule type="cellIs" dxfId="106" priority="11" operator="notEqual">
      <formula>0</formula>
    </cfRule>
  </conditionalFormatting>
  <conditionalFormatting sqref="I58 B57:G59">
    <cfRule type="expression" dxfId="105" priority="111">
      <formula>$L$55="b"</formula>
    </cfRule>
  </conditionalFormatting>
  <conditionalFormatting sqref="C61:J62">
    <cfRule type="expression" dxfId="104" priority="113">
      <formula>$L$55&lt;&gt;"b"</formula>
    </cfRule>
  </conditionalFormatting>
  <conditionalFormatting sqref="H23">
    <cfRule type="cellIs" dxfId="103" priority="8" operator="notEqual">
      <formula>0</formula>
    </cfRule>
  </conditionalFormatting>
  <conditionalFormatting sqref="B66">
    <cfRule type="cellIs" dxfId="102" priority="7" operator="notEqual">
      <formula>0</formula>
    </cfRule>
  </conditionalFormatting>
  <conditionalFormatting sqref="D75">
    <cfRule type="expression" dxfId="101" priority="6">
      <formula>SUM($D$75:$D$76)&lt;&gt;$D$74</formula>
    </cfRule>
  </conditionalFormatting>
  <conditionalFormatting sqref="D75">
    <cfRule type="cellIs" dxfId="100" priority="5" operator="greaterThan">
      <formula>0</formula>
    </cfRule>
  </conditionalFormatting>
  <conditionalFormatting sqref="D76">
    <cfRule type="expression" dxfId="99" priority="1">
      <formula>SUM($D$75:$D$76)&lt;&gt;$D$74</formula>
    </cfRule>
  </conditionalFormatting>
  <dataValidations count="10">
    <dataValidation type="whole" allowBlank="1" showInputMessage="1" showErrorMessage="1" prompt="Bitte eine gültige Zahl zwischen 801000 und 804999 eingeben" sqref="B7">
      <formula1>801000</formula1>
      <formula2>804999</formula2>
    </dataValidation>
    <dataValidation type="whole" allowBlank="1" showInputMessage="1" showErrorMessage="1" sqref="D12:E12 G12:H12">
      <formula1>0</formula1>
      <formula2>333</formula2>
    </dataValidation>
    <dataValidation type="whole" allowBlank="1" showInputMessage="1" showErrorMessage="1" sqref="C12">
      <formula1>0</formula1>
      <formula2>555</formula2>
    </dataValidation>
    <dataValidation type="whole" allowBlank="1" showInputMessage="1" showErrorMessage="1" sqref="D19">
      <formula1>0</formula1>
      <formula2>33</formula2>
    </dataValidation>
    <dataValidation type="whole" allowBlank="1" showInputMessage="1" showErrorMessage="1" error="bitte Ganzzahl eingeben!" prompt="zu zählen sind PC u. Laptop im Unterricht, auch interaktive Tafeln;_x000a_Nicht aber Server, PC für Verwaltung und Lehrer(-Vorbereitung) .." sqref="E48">
      <formula1>1</formula1>
      <formula2>222</formula2>
    </dataValidation>
    <dataValidation type="decimal" allowBlank="1" showInputMessage="1" showErrorMessage="1" error="soviel gibt es nicht !!" sqref="H50">
      <formula1>-5</formula1>
      <formula2>L49</formula2>
    </dataValidation>
    <dataValidation type="list" allowBlank="1" showInputMessage="1" showErrorMessage="1" sqref="F55:J55">
      <formula1>$M$55:$M$57</formula1>
    </dataValidation>
    <dataValidation type="list" allowBlank="1" showDropDown="1" showInputMessage="1" showErrorMessage="1" prompt="Bitte &quot;X&quot; eingeben bei Zutreffen" sqref="D84">
      <formula1>"X,x"</formula1>
    </dataValidation>
    <dataValidation allowBlank="1" showInputMessage="1" showErrorMessage="1" prompt="Mit der Tabulator-Taste sind die zu bearbeitenden bzw änderbaren Zellen gut erreichbar.." sqref="B4"/>
    <dataValidation allowBlank="1" showInputMessage="1" showErrorMessage="1" prompt="Hier sind regionale/landesweite Tätigkeiten anzuführen (zB IT-Regionalbetreuung), _x000a_nicht jedoch, was durch eigene Lehrpersonen an einer anderen Schule (aus deren eigenen Einrechnungsstunden) übernommen wird. " sqref="D52"/>
  </dataValidations>
  <printOptions horizontalCentered="1"/>
  <pageMargins left="0.6692913385826772" right="0.51181102362204722" top="0.59055118110236227" bottom="0.43307086614173229" header="0.31496062992125984" footer="0.31496062992125984"/>
  <pageSetup paperSize="9" scale="110" orientation="portrait" r:id="rId2"/>
  <headerFooter scaleWithDoc="0">
    <oddFooter>&amp;C&amp;5&amp;Z&amp;11&amp;F&amp;R&amp;D</oddFooter>
  </headerFooter>
  <rowBreaks count="1" manualBreakCount="1">
    <brk id="44" max="16383" man="1"/>
  </rowBreaks>
  <drawing r:id="rId3"/>
  <extLst>
    <ext xmlns:x14="http://schemas.microsoft.com/office/spreadsheetml/2009/9/main" uri="{78C0D931-6437-407d-A8EE-F0AAD7539E65}">
      <x14:conditionalFormattings>
        <x14:conditionalFormatting xmlns:xm="http://schemas.microsoft.com/office/excel/2006/main">
          <x14:cfRule type="expression" priority="2" id="{80A95EC5-827A-4CB0-8DBD-A9C9B8C536BB}">
            <xm:f>Assistenz!L29</xm:f>
            <x14:dxf>
              <border>
                <left style="hair">
                  <color auto="1"/>
                </left>
                <right style="hair">
                  <color auto="1"/>
                </right>
                <top style="hair">
                  <color auto="1"/>
                </top>
                <bottom style="hair">
                  <color auto="1"/>
                </bottom>
                <vertical/>
                <horizontal/>
              </border>
            </x14:dxf>
          </x14:cfRule>
          <xm:sqref>D76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8" tint="0.59999389629810485"/>
    <pageSetUpPr fitToPage="1"/>
  </sheetPr>
  <dimension ref="A1:BN56"/>
  <sheetViews>
    <sheetView showGridLines="0" showZeros="0" zoomScaleNormal="100" workbookViewId="0">
      <selection activeCell="J5" sqref="J5:K5"/>
    </sheetView>
  </sheetViews>
  <sheetFormatPr baseColWidth="10" defaultColWidth="0" defaultRowHeight="15" zeroHeight="1" x14ac:dyDescent="0.25"/>
  <cols>
    <col min="1" max="2" width="7.5703125" style="100" customWidth="1"/>
    <col min="3" max="3" width="5.140625" style="100" hidden="1" customWidth="1"/>
    <col min="4" max="4" width="7.140625" style="100" customWidth="1"/>
    <col min="5" max="6" width="6.5703125" style="100" customWidth="1"/>
    <col min="7" max="9" width="6" style="100" customWidth="1"/>
    <col min="10" max="10" width="1.85546875" style="100" customWidth="1"/>
    <col min="11" max="12" width="6.5703125" style="100" customWidth="1"/>
    <col min="13" max="15" width="6" style="100" customWidth="1"/>
    <col min="16" max="16" width="3" style="100" customWidth="1"/>
    <col min="17" max="18" width="6.5703125" style="100" customWidth="1"/>
    <col min="19" max="21" width="6" style="100" customWidth="1"/>
    <col min="22" max="22" width="1.85546875" style="100" customWidth="1"/>
    <col min="23" max="24" width="6.5703125" style="100" customWidth="1"/>
    <col min="25" max="27" width="6" style="100" customWidth="1"/>
    <col min="28" max="28" width="3" style="100" customWidth="1"/>
    <col min="29" max="30" width="6.5703125" style="100" customWidth="1"/>
    <col min="31" max="33" width="6" style="100" customWidth="1"/>
    <col min="34" max="34" width="3" style="100" customWidth="1"/>
    <col min="35" max="35" width="3" style="100" hidden="1" customWidth="1"/>
    <col min="36" max="45" width="5" style="100" hidden="1" customWidth="1"/>
    <col min="46" max="46" width="5.140625" style="419" hidden="1" customWidth="1"/>
    <col min="47" max="47" width="4.5703125" style="419" hidden="1" customWidth="1"/>
    <col min="48" max="48" width="4.28515625" style="419" hidden="1" customWidth="1"/>
    <col min="49" max="49" width="3.7109375" style="419" hidden="1" customWidth="1"/>
    <col min="50" max="50" width="4.5703125" style="419" hidden="1" customWidth="1"/>
    <col min="51" max="51" width="4" style="419" hidden="1" customWidth="1"/>
    <col min="52" max="52" width="4.85546875" style="419" hidden="1" customWidth="1"/>
    <col min="53" max="53" width="4.28515625" style="419" hidden="1" customWidth="1"/>
    <col min="54" max="54" width="4.7109375" style="419" hidden="1" customWidth="1"/>
    <col min="55" max="55" width="4.140625" style="419" hidden="1" customWidth="1"/>
    <col min="56" max="56" width="5.140625" style="419" hidden="1" customWidth="1"/>
    <col min="57" max="57" width="4.5703125" style="419" hidden="1" customWidth="1"/>
    <col min="58" max="58" width="4.28515625" style="419" hidden="1" customWidth="1"/>
    <col min="59" max="59" width="3.7109375" style="419" hidden="1" customWidth="1"/>
    <col min="60" max="60" width="4.5703125" style="419" hidden="1" customWidth="1"/>
    <col min="61" max="61" width="4" style="419" hidden="1" customWidth="1"/>
    <col min="62" max="62" width="4.85546875" style="419" hidden="1" customWidth="1"/>
    <col min="63" max="63" width="4.28515625" style="419" hidden="1" customWidth="1"/>
    <col min="64" max="64" width="4.7109375" style="419" hidden="1" customWidth="1"/>
    <col min="65" max="65" width="4.140625" style="419" hidden="1" customWidth="1"/>
    <col min="66" max="66" width="11.42578125" style="419" hidden="1" customWidth="1"/>
    <col min="67" max="16384" width="0" style="419" hidden="1"/>
  </cols>
  <sheetData>
    <row r="1" spans="1:66" ht="31.5" x14ac:dyDescent="0.5">
      <c r="A1" s="99" t="s">
        <v>60</v>
      </c>
      <c r="Q1" s="101" t="s">
        <v>61</v>
      </c>
      <c r="R1" s="418" t="str">
        <f>Konti_PTS!C7</f>
        <v>PTS  . . .</v>
      </c>
      <c r="AF1" s="360" t="str">
        <f>"Bedarfsplanung für 20"&amp;RIGHT(Konti_PTS!H1,5)</f>
        <v>Bedarfsplanung für 2024/25</v>
      </c>
      <c r="AG1" s="360"/>
      <c r="AL1" s="102">
        <v>10</v>
      </c>
      <c r="AM1" s="103">
        <v>20</v>
      </c>
      <c r="AN1" s="104" t="s">
        <v>62</v>
      </c>
      <c r="AO1" s="102" t="s">
        <v>63</v>
      </c>
    </row>
    <row r="2" spans="1:66" ht="11.25" customHeight="1" x14ac:dyDescent="0.25">
      <c r="AL2" s="107">
        <v>4</v>
      </c>
      <c r="AM2" s="103">
        <v>7</v>
      </c>
      <c r="AN2" s="102">
        <v>3</v>
      </c>
      <c r="AO2" s="108">
        <v>2</v>
      </c>
    </row>
    <row r="3" spans="1:66" ht="13.5" customHeight="1" x14ac:dyDescent="0.25">
      <c r="A3" s="106"/>
      <c r="R3" s="419"/>
      <c r="V3" s="109" t="s">
        <v>64</v>
      </c>
      <c r="W3" s="110" t="s">
        <v>65</v>
      </c>
      <c r="AL3" s="102">
        <v>25</v>
      </c>
      <c r="AM3" s="108">
        <v>0</v>
      </c>
      <c r="AN3" s="103">
        <v>0.4</v>
      </c>
      <c r="AO3" s="104">
        <f>SUM(AN2:AO2)</f>
        <v>5</v>
      </c>
    </row>
    <row r="4" spans="1:66" ht="15.75" thickBot="1" x14ac:dyDescent="0.3">
      <c r="D4" s="111" t="s">
        <v>167</v>
      </c>
      <c r="Q4" s="419"/>
      <c r="R4" s="419"/>
      <c r="S4" s="420" t="s">
        <v>66</v>
      </c>
      <c r="T4" s="112"/>
      <c r="U4" s="112"/>
      <c r="V4" s="113" t="s">
        <v>67</v>
      </c>
      <c r="AL4" s="102"/>
      <c r="AM4" s="108">
        <v>2</v>
      </c>
      <c r="AN4" s="103">
        <v>0.62</v>
      </c>
      <c r="AO4" s="102"/>
    </row>
    <row r="5" spans="1:66" ht="20.25" thickTop="1" thickBot="1" x14ac:dyDescent="0.35">
      <c r="A5" s="114"/>
      <c r="H5" s="115" t="s">
        <v>90</v>
      </c>
      <c r="I5" s="115"/>
      <c r="J5" s="829"/>
      <c r="K5" s="830"/>
      <c r="L5" s="116" t="s">
        <v>68</v>
      </c>
      <c r="M5" s="117"/>
      <c r="N5" s="118" t="str">
        <f>IF(M5&lt;0," an anderer Schule", IF(M5&gt;0," von anderer Schule"," an/von anderer Schule"))</f>
        <v xml:space="preserve"> an/von anderer Schule</v>
      </c>
      <c r="O5" s="118"/>
      <c r="Q5" s="419"/>
      <c r="R5" s="419"/>
      <c r="S5" s="119">
        <f>IF(M5&lt;&gt;0,"= "&amp;C6,)</f>
        <v>0</v>
      </c>
      <c r="AL5" s="102"/>
      <c r="AM5" s="108">
        <v>3</v>
      </c>
      <c r="AN5" s="103">
        <v>0.84</v>
      </c>
      <c r="AO5" s="102"/>
    </row>
    <row r="6" spans="1:66" ht="19.5" thickTop="1" x14ac:dyDescent="0.3">
      <c r="A6" s="114"/>
      <c r="C6" s="421">
        <f>SUM(J5,M5)</f>
        <v>0</v>
      </c>
      <c r="P6" s="101">
        <f>IF(AO7&gt;0,"daher sind bei pr3 wöchentlich höchstens ",)</f>
        <v>0</v>
      </c>
      <c r="Q6" s="120">
        <f>IF(AO7&gt;0,AO7,)</f>
        <v>0</v>
      </c>
      <c r="R6" s="121">
        <f>ROUNDUP($AO7*0.84,1)</f>
        <v>0</v>
      </c>
      <c r="S6" s="121">
        <f>ROUNDUP($AO7*0.62,1)</f>
        <v>0</v>
      </c>
      <c r="T6" s="122">
        <f>ROUNDUP($AO7*0.4,1)</f>
        <v>0</v>
      </c>
      <c r="U6" s="422"/>
      <c r="V6" s="100">
        <f>IF(AO7&gt;0," Wochenstunden über die Lehrerbesoldung abrechenbar,",)</f>
        <v>0</v>
      </c>
      <c r="AL6" s="102"/>
      <c r="AM6" s="123">
        <v>4</v>
      </c>
      <c r="AN6" s="124">
        <v>1</v>
      </c>
    </row>
    <row r="7" spans="1:66" x14ac:dyDescent="0.25">
      <c r="A7" s="106"/>
      <c r="Q7" s="125">
        <f>IF(AO7&gt;0,"bei Lernzeiten an ..  4 od. 5, ",)</f>
        <v>0</v>
      </c>
      <c r="R7" s="126">
        <f>IF(AO7&gt;0,"an 3,",)</f>
        <v>0</v>
      </c>
      <c r="S7" s="126">
        <f>IF(AO7&gt;0,"an 2,",)</f>
        <v>0</v>
      </c>
      <c r="T7" s="127">
        <f>IF(AO7&gt;0," oder lediglich an 1 Tag(en) pro Woche.",)</f>
        <v>0</v>
      </c>
      <c r="U7" s="423"/>
      <c r="AL7" s="102">
        <v>40</v>
      </c>
      <c r="AN7" s="128">
        <f>ROUNDUP(LOOKUP(AL26,AM3:AM6,AN3:AN6)*AO7,1)</f>
        <v>0</v>
      </c>
      <c r="AO7" s="129">
        <f>IF(C6&lt;AM2,,IF(C6&lt;AL7,LOOKUP(C6,AN8:AN11,AO8:AO11),ROUNDDOWN(C6/AL$1,0)*AN$2+ROUNDDOWN(C6/AM$1,0)*AO$2))</f>
        <v>0</v>
      </c>
      <c r="AP7" s="130">
        <f>IF(C6&gt;=AM1,MAX(ROUNDDOWN(C6/AM1,0),ROUNDUP(C6/AL3,0)),IF(C6&gt;=AM2,1,))</f>
        <v>0</v>
      </c>
    </row>
    <row r="8" spans="1:66" ht="15.75" x14ac:dyDescent="0.25">
      <c r="A8" s="131" t="s">
        <v>91</v>
      </c>
      <c r="AN8" s="132">
        <v>0</v>
      </c>
      <c r="AO8" s="133">
        <f>AO3</f>
        <v>5</v>
      </c>
    </row>
    <row r="9" spans="1:66" ht="6.75" customHeight="1" x14ac:dyDescent="0.25">
      <c r="A9" s="106"/>
      <c r="AN9" s="132">
        <v>18</v>
      </c>
      <c r="AO9" s="133">
        <f>AO8*1.6</f>
        <v>8</v>
      </c>
    </row>
    <row r="10" spans="1:66" ht="21" customHeight="1" x14ac:dyDescent="0.35">
      <c r="A10" s="134"/>
      <c r="D10" s="135" t="s">
        <v>69</v>
      </c>
      <c r="E10" s="424"/>
      <c r="F10" s="822" t="s">
        <v>70</v>
      </c>
      <c r="G10" s="822"/>
      <c r="H10" s="425"/>
      <c r="I10" s="819" t="s">
        <v>258</v>
      </c>
      <c r="J10" s="426"/>
      <c r="K10" s="424"/>
      <c r="L10" s="822" t="s">
        <v>71</v>
      </c>
      <c r="M10" s="822"/>
      <c r="N10" s="425"/>
      <c r="O10" s="819" t="s">
        <v>258</v>
      </c>
      <c r="P10" s="426"/>
      <c r="Q10" s="424"/>
      <c r="R10" s="822" t="s">
        <v>72</v>
      </c>
      <c r="S10" s="822"/>
      <c r="T10" s="425"/>
      <c r="U10" s="819" t="s">
        <v>258</v>
      </c>
      <c r="V10" s="426"/>
      <c r="W10" s="424"/>
      <c r="X10" s="822" t="s">
        <v>73</v>
      </c>
      <c r="Y10" s="822"/>
      <c r="Z10" s="425"/>
      <c r="AA10" s="819" t="s">
        <v>258</v>
      </c>
      <c r="AB10" s="426"/>
      <c r="AC10" s="424"/>
      <c r="AD10" s="822" t="s">
        <v>74</v>
      </c>
      <c r="AE10" s="822"/>
      <c r="AF10" s="425"/>
      <c r="AG10" s="819" t="s">
        <v>258</v>
      </c>
      <c r="AH10" s="426"/>
      <c r="AN10" s="132">
        <v>24</v>
      </c>
      <c r="AO10" s="133">
        <f>AO8*2</f>
        <v>10</v>
      </c>
    </row>
    <row r="11" spans="1:66" ht="15" customHeight="1" x14ac:dyDescent="0.25">
      <c r="A11" s="823" t="s">
        <v>75</v>
      </c>
      <c r="B11" s="824"/>
      <c r="C11" s="136"/>
      <c r="D11" s="136"/>
      <c r="E11" s="427" t="s">
        <v>76</v>
      </c>
      <c r="F11" s="428"/>
      <c r="G11" s="808" t="s">
        <v>259</v>
      </c>
      <c r="H11" s="809"/>
      <c r="I11" s="820"/>
      <c r="J11" s="419"/>
      <c r="K11" s="427" t="s">
        <v>76</v>
      </c>
      <c r="L11" s="429"/>
      <c r="M11" s="808" t="s">
        <v>259</v>
      </c>
      <c r="N11" s="809"/>
      <c r="O11" s="820"/>
      <c r="P11" s="419"/>
      <c r="Q11" s="427" t="s">
        <v>76</v>
      </c>
      <c r="R11" s="429"/>
      <c r="S11" s="808" t="s">
        <v>259</v>
      </c>
      <c r="T11" s="809"/>
      <c r="U11" s="820"/>
      <c r="V11" s="419"/>
      <c r="W11" s="427" t="s">
        <v>76</v>
      </c>
      <c r="X11" s="429"/>
      <c r="Y11" s="808" t="s">
        <v>259</v>
      </c>
      <c r="Z11" s="809"/>
      <c r="AA11" s="820"/>
      <c r="AB11" s="419"/>
      <c r="AC11" s="427" t="s">
        <v>76</v>
      </c>
      <c r="AD11" s="429"/>
      <c r="AE11" s="808" t="s">
        <v>259</v>
      </c>
      <c r="AF11" s="809"/>
      <c r="AG11" s="820"/>
      <c r="AH11" s="419"/>
      <c r="AN11" s="132">
        <v>30</v>
      </c>
      <c r="AO11" s="133">
        <f>AO8*2.6</f>
        <v>13</v>
      </c>
    </row>
    <row r="12" spans="1:66" ht="15" customHeight="1" x14ac:dyDescent="0.25">
      <c r="A12" s="825"/>
      <c r="B12" s="826"/>
      <c r="C12" s="136"/>
      <c r="D12" s="136"/>
      <c r="E12" s="430" t="s">
        <v>77</v>
      </c>
      <c r="F12" s="431" t="s">
        <v>77</v>
      </c>
      <c r="G12" s="810"/>
      <c r="H12" s="811"/>
      <c r="I12" s="820"/>
      <c r="J12" s="419"/>
      <c r="K12" s="430" t="s">
        <v>77</v>
      </c>
      <c r="L12" s="432" t="s">
        <v>77</v>
      </c>
      <c r="M12" s="810"/>
      <c r="N12" s="811"/>
      <c r="O12" s="820"/>
      <c r="P12" s="419"/>
      <c r="Q12" s="430" t="s">
        <v>77</v>
      </c>
      <c r="R12" s="432" t="s">
        <v>77</v>
      </c>
      <c r="S12" s="810"/>
      <c r="T12" s="811"/>
      <c r="U12" s="820"/>
      <c r="V12" s="419"/>
      <c r="W12" s="430" t="s">
        <v>77</v>
      </c>
      <c r="X12" s="432" t="s">
        <v>77</v>
      </c>
      <c r="Y12" s="810"/>
      <c r="Z12" s="811"/>
      <c r="AA12" s="820"/>
      <c r="AB12" s="419"/>
      <c r="AC12" s="430" t="s">
        <v>77</v>
      </c>
      <c r="AD12" s="432" t="s">
        <v>77</v>
      </c>
      <c r="AE12" s="810"/>
      <c r="AF12" s="811"/>
      <c r="AG12" s="820"/>
      <c r="AH12" s="419"/>
      <c r="AJ12" s="137">
        <v>3.4722222222222224E-2</v>
      </c>
      <c r="AK12" s="137">
        <v>0.66666666666666663</v>
      </c>
      <c r="AL12" s="138">
        <v>0.625</v>
      </c>
      <c r="AT12" s="812" t="s">
        <v>260</v>
      </c>
      <c r="AU12" s="812"/>
      <c r="AV12" s="812"/>
      <c r="AW12" s="812"/>
      <c r="AX12" s="812"/>
      <c r="AY12" s="812"/>
      <c r="AZ12" s="812"/>
      <c r="BA12" s="812"/>
      <c r="BB12" s="812"/>
      <c r="BC12" s="812"/>
      <c r="BD12" s="813" t="s">
        <v>261</v>
      </c>
      <c r="BE12" s="813"/>
      <c r="BF12" s="813"/>
      <c r="BG12" s="813"/>
      <c r="BH12" s="813"/>
      <c r="BI12" s="813"/>
      <c r="BJ12" s="813"/>
      <c r="BK12" s="813"/>
      <c r="BL12" s="813"/>
      <c r="BM12" s="813"/>
      <c r="BN12" s="480">
        <v>25</v>
      </c>
    </row>
    <row r="13" spans="1:66" x14ac:dyDescent="0.25">
      <c r="A13" s="139" t="s">
        <v>78</v>
      </c>
      <c r="B13" s="140" t="s">
        <v>79</v>
      </c>
      <c r="C13" s="141"/>
      <c r="D13" s="141"/>
      <c r="E13" s="433" t="s">
        <v>80</v>
      </c>
      <c r="F13" s="434" t="s">
        <v>81</v>
      </c>
      <c r="G13" s="435" t="s">
        <v>80</v>
      </c>
      <c r="H13" s="436" t="s">
        <v>81</v>
      </c>
      <c r="I13" s="821"/>
      <c r="J13" s="419"/>
      <c r="K13" s="433" t="s">
        <v>80</v>
      </c>
      <c r="L13" s="434" t="s">
        <v>81</v>
      </c>
      <c r="M13" s="435" t="s">
        <v>80</v>
      </c>
      <c r="N13" s="436" t="s">
        <v>81</v>
      </c>
      <c r="O13" s="821"/>
      <c r="P13" s="419"/>
      <c r="Q13" s="433" t="s">
        <v>80</v>
      </c>
      <c r="R13" s="434" t="s">
        <v>81</v>
      </c>
      <c r="S13" s="435" t="s">
        <v>80</v>
      </c>
      <c r="T13" s="436" t="s">
        <v>81</v>
      </c>
      <c r="U13" s="821"/>
      <c r="V13" s="419"/>
      <c r="W13" s="433" t="s">
        <v>80</v>
      </c>
      <c r="X13" s="434" t="s">
        <v>81</v>
      </c>
      <c r="Y13" s="435" t="s">
        <v>80</v>
      </c>
      <c r="Z13" s="436" t="s">
        <v>81</v>
      </c>
      <c r="AA13" s="821"/>
      <c r="AB13" s="419"/>
      <c r="AC13" s="433" t="s">
        <v>80</v>
      </c>
      <c r="AD13" s="434" t="s">
        <v>81</v>
      </c>
      <c r="AE13" s="435" t="s">
        <v>80</v>
      </c>
      <c r="AF13" s="436" t="s">
        <v>81</v>
      </c>
      <c r="AG13" s="821"/>
      <c r="AH13" s="419"/>
      <c r="AT13" s="437" t="s">
        <v>262</v>
      </c>
      <c r="AU13" s="437" t="s">
        <v>263</v>
      </c>
      <c r="AV13" s="438" t="s">
        <v>264</v>
      </c>
      <c r="AW13" s="438" t="s">
        <v>265</v>
      </c>
      <c r="AX13" s="438" t="s">
        <v>266</v>
      </c>
      <c r="AY13" s="438" t="s">
        <v>267</v>
      </c>
      <c r="AZ13" s="438" t="s">
        <v>268</v>
      </c>
      <c r="BA13" s="438" t="s">
        <v>269</v>
      </c>
      <c r="BB13" s="438" t="s">
        <v>270</v>
      </c>
      <c r="BC13" s="438" t="s">
        <v>271</v>
      </c>
      <c r="BD13" s="439" t="s">
        <v>262</v>
      </c>
      <c r="BE13" s="439" t="s">
        <v>263</v>
      </c>
      <c r="BF13" s="440" t="s">
        <v>264</v>
      </c>
      <c r="BG13" s="440" t="s">
        <v>265</v>
      </c>
      <c r="BH13" s="440" t="s">
        <v>266</v>
      </c>
      <c r="BI13" s="440" t="s">
        <v>267</v>
      </c>
      <c r="BJ13" s="440" t="s">
        <v>268</v>
      </c>
      <c r="BK13" s="440" t="s">
        <v>269</v>
      </c>
      <c r="BL13" s="440" t="s">
        <v>270</v>
      </c>
      <c r="BM13" s="440" t="s">
        <v>271</v>
      </c>
      <c r="BN13" s="480" t="s">
        <v>287</v>
      </c>
    </row>
    <row r="14" spans="1:66" ht="18" x14ac:dyDescent="0.25">
      <c r="A14" s="441"/>
      <c r="B14" s="188">
        <f>IF(A14&gt;0,A14+$AJ$12,)</f>
        <v>0</v>
      </c>
      <c r="C14" s="189">
        <f t="shared" ref="C14:C23" si="0">ROUND((B14-A14)*24*60,1)</f>
        <v>0</v>
      </c>
      <c r="D14" s="189">
        <f t="shared" ref="D14:D23" si="1">IF(A14&gt;0,"= "&amp;C14&amp;" min",)</f>
        <v>0</v>
      </c>
      <c r="E14" s="190"/>
      <c r="F14" s="191"/>
      <c r="G14" s="442">
        <f t="shared" ref="G14:H23" si="2">AT14</f>
        <v>0</v>
      </c>
      <c r="H14" s="443">
        <f t="shared" si="2"/>
        <v>0</v>
      </c>
      <c r="I14" s="444">
        <f t="shared" ref="I14:I23" si="3">G14*$C14/50+H14*$C14/50*0.5</f>
        <v>0</v>
      </c>
      <c r="J14" s="192"/>
      <c r="K14" s="190"/>
      <c r="L14" s="191"/>
      <c r="M14" s="442">
        <f t="shared" ref="M14:N23" si="4">AV14</f>
        <v>0</v>
      </c>
      <c r="N14" s="443">
        <f t="shared" si="4"/>
        <v>0</v>
      </c>
      <c r="O14" s="444">
        <f t="shared" ref="O14:O23" si="5">M14*$C14/50+N14*$C14/50*0.5</f>
        <v>0</v>
      </c>
      <c r="P14" s="193"/>
      <c r="Q14" s="190"/>
      <c r="R14" s="191"/>
      <c r="S14" s="442">
        <f t="shared" ref="S14:T23" si="6">AX14</f>
        <v>0</v>
      </c>
      <c r="T14" s="443">
        <f t="shared" si="6"/>
        <v>0</v>
      </c>
      <c r="U14" s="444">
        <f t="shared" ref="U14:U23" si="7">S14*$C14/50+T14*$C14/50*0.5</f>
        <v>0</v>
      </c>
      <c r="V14" s="193"/>
      <c r="W14" s="190"/>
      <c r="X14" s="191"/>
      <c r="Y14" s="442">
        <f t="shared" ref="Y14:Z23" si="8">AZ14</f>
        <v>0</v>
      </c>
      <c r="Z14" s="443">
        <f t="shared" si="8"/>
        <v>0</v>
      </c>
      <c r="AA14" s="444">
        <f t="shared" ref="AA14:AA23" si="9">Y14*$C14/50+Z14*$C14/50*0.5</f>
        <v>0</v>
      </c>
      <c r="AB14" s="193"/>
      <c r="AC14" s="190"/>
      <c r="AD14" s="191"/>
      <c r="AE14" s="442">
        <f t="shared" ref="AE14:AF23" si="10">BB14</f>
        <v>0</v>
      </c>
      <c r="AF14" s="443">
        <f t="shared" si="10"/>
        <v>0</v>
      </c>
      <c r="AG14" s="444">
        <f t="shared" ref="AG14:AG23" si="11">AE14*$C14/50+AF14*$C14/50*0.5</f>
        <v>0</v>
      </c>
      <c r="AH14" s="193"/>
      <c r="AJ14" s="142">
        <f>IF(E14&gt;=AL1,ROUNDDOWN(E14/AL1,0),IF(E14&gt;0,1,))*C14/50</f>
        <v>0</v>
      </c>
      <c r="AK14" s="142">
        <f>IF(F14&gt;=AM1,MAX(ROUNDDOWN(F14/AM1,0),ROUNDUP(F14/AL3,0)),IF(F14&gt;0,1,))*C14/50*0.5</f>
        <v>0</v>
      </c>
      <c r="AL14" s="142">
        <f>IF(K14&gt;=AL1,ROUNDDOWN(K14/AL1,0),IF(K14&gt;0,1,))*C14/50</f>
        <v>0</v>
      </c>
      <c r="AM14" s="142">
        <f>IF(L14&gt;=AM1,MAX(ROUNDDOWN(L14/AM1,0),ROUNDUP(L14/AL3,0)),IF(L14&gt;0,1,))*C14/50*0.5</f>
        <v>0</v>
      </c>
      <c r="AN14" s="142">
        <f>IF(Q14&gt;=AL1,ROUNDDOWN(Q14/AL1,0),IF(Q14&gt;0,1,))*C14/50</f>
        <v>0</v>
      </c>
      <c r="AO14" s="142">
        <f>IF(R14&gt;=AM1,MAX(ROUNDDOWN(R14/AM1,0),ROUNDUP(R14/AL3,0)),IF(R14&gt;0,1,))*C14/50*0.5</f>
        <v>0</v>
      </c>
      <c r="AP14" s="142">
        <f>IF(W14&gt;=AL1,ROUNDDOWN(W14/AL1,0),IF(W14&gt;0,1,))*C14/50</f>
        <v>0</v>
      </c>
      <c r="AQ14" s="142">
        <f>IF(X14&gt;=AM1,MAX(ROUNDDOWN(X14/AM1,0),ROUNDUP(X14/AL3,0)),IF(X14&gt;0,1,))*C14/50*0.5</f>
        <v>0</v>
      </c>
      <c r="AR14" s="142">
        <f>IF(AC14&gt;=AL1,ROUNDDOWN(AC14/AL1,0),IF(AC14&gt;0,1,))*C14/50</f>
        <v>0</v>
      </c>
      <c r="AS14" s="142">
        <f>IF(AD14&gt;=AM1,MAX(ROUNDDOWN(AD14/AM1,0),ROUNDUP(AD14/AL3,0)),IF(AD14&gt;0,1,))*C14/50*0.5</f>
        <v>0</v>
      </c>
      <c r="AT14" s="445">
        <f t="shared" ref="AT14:AT23" si="12">IF(E14&gt;=$AL$1,ROUNDDOWN(E14/$AL$1,0),IF(E14&gt;0,1,))</f>
        <v>0</v>
      </c>
      <c r="AU14" s="445">
        <f t="shared" ref="AU14:AU23" si="13">IF(F14&gt;=$AM$1,ROUNDDOWN(F14/$AM$1,0),IF(F14&gt;0,1,))</f>
        <v>0</v>
      </c>
      <c r="AV14" s="445">
        <f t="shared" ref="AV14:AV23" si="14">IF(K14&gt;=AL$1,ROUNDDOWN(K14/$AL$1,0),IF(K14&gt;0,1,))</f>
        <v>0</v>
      </c>
      <c r="AW14" s="445">
        <f t="shared" ref="AW14:AW23" si="15">IF(L14&gt;=$AM$1,ROUNDDOWN(L14/$AM$1,0),IF(L14&gt;0,1,))</f>
        <v>0</v>
      </c>
      <c r="AX14" s="445">
        <f t="shared" ref="AX14:AX23" si="16">IF(Q14&gt;=$AL$1,ROUNDDOWN(Q14/$AL$1,0),IF(Q14&gt;0,1,))</f>
        <v>0</v>
      </c>
      <c r="AY14" s="445">
        <f t="shared" ref="AY14:AY23" si="17">IF(R14&gt;=$AM$1,ROUNDDOWN(R14/$AM$1,0),IF(R14&gt;0,1,))</f>
        <v>0</v>
      </c>
      <c r="AZ14" s="445">
        <f t="shared" ref="AZ14:AZ23" si="18">IF(W14&gt;=$AL$1,ROUNDDOWN(W14/$AL$1,0),IF(W14&gt;0,1,))</f>
        <v>0</v>
      </c>
      <c r="BA14" s="445">
        <f t="shared" ref="BA14:BA23" si="19">IF(X14&gt;=$AM$1,ROUNDDOWN(X14/$AM$1,0),IF(X14&gt;0,1,))</f>
        <v>0</v>
      </c>
      <c r="BB14" s="445">
        <f t="shared" ref="BB14:BB23" si="20">IF(AC14&gt;=$AL$1,ROUNDDOWN(AC14/$AL$1,0),IF(AC14&gt;0,1,))</f>
        <v>0</v>
      </c>
      <c r="BC14" s="445">
        <f t="shared" ref="BC14:BC23" si="21">IF(AD14&gt;=$AM$1,ROUNDDOWN(AD14/$AM$1,0),IF(AD14&gt;0,1,))</f>
        <v>0</v>
      </c>
      <c r="BD14" s="446">
        <f t="shared" ref="BD14:BE23" si="22">G14</f>
        <v>0</v>
      </c>
      <c r="BE14" s="446">
        <f t="shared" si="22"/>
        <v>0</v>
      </c>
      <c r="BF14" s="446">
        <f t="shared" ref="BF14:BG23" si="23">M14</f>
        <v>0</v>
      </c>
      <c r="BG14" s="446">
        <f t="shared" si="23"/>
        <v>0</v>
      </c>
      <c r="BH14" s="446">
        <f t="shared" ref="BH14:BI23" si="24">S14</f>
        <v>0</v>
      </c>
      <c r="BI14" s="446">
        <f t="shared" si="24"/>
        <v>0</v>
      </c>
      <c r="BJ14" s="446">
        <f t="shared" ref="BJ14:BK23" si="25">Y14</f>
        <v>0</v>
      </c>
      <c r="BK14" s="446">
        <f t="shared" si="25"/>
        <v>0</v>
      </c>
      <c r="BL14" s="446">
        <f t="shared" ref="BL14:BM23" si="26">AE14</f>
        <v>0</v>
      </c>
      <c r="BM14" s="446">
        <f t="shared" si="26"/>
        <v>0</v>
      </c>
      <c r="BN14" s="480">
        <f>IF(AND($C14&gt;0,$C14&lt;$BN$12),1,)</f>
        <v>0</v>
      </c>
    </row>
    <row r="15" spans="1:66" ht="18" x14ac:dyDescent="0.25">
      <c r="A15" s="194">
        <f t="shared" ref="A15:A23" si="27">IF(OR(B14&gt;=AK$12,B14=0),,B14+IF(B14&gt;=AL$12,TIME(0,5,0),))</f>
        <v>0</v>
      </c>
      <c r="B15" s="195">
        <f t="shared" ref="B15:B23" si="28">IF(A15&gt;0,A15+AJ$12,)</f>
        <v>0</v>
      </c>
      <c r="C15" s="189">
        <f t="shared" si="0"/>
        <v>0</v>
      </c>
      <c r="D15" s="189">
        <f t="shared" si="1"/>
        <v>0</v>
      </c>
      <c r="E15" s="190"/>
      <c r="F15" s="191"/>
      <c r="G15" s="442">
        <f t="shared" si="2"/>
        <v>0</v>
      </c>
      <c r="H15" s="443">
        <f t="shared" si="2"/>
        <v>0</v>
      </c>
      <c r="I15" s="444">
        <f t="shared" si="3"/>
        <v>0</v>
      </c>
      <c r="J15" s="192"/>
      <c r="K15" s="190"/>
      <c r="L15" s="191"/>
      <c r="M15" s="442">
        <f t="shared" si="4"/>
        <v>0</v>
      </c>
      <c r="N15" s="443">
        <f t="shared" si="4"/>
        <v>0</v>
      </c>
      <c r="O15" s="444">
        <f t="shared" si="5"/>
        <v>0</v>
      </c>
      <c r="P15" s="193"/>
      <c r="Q15" s="190"/>
      <c r="R15" s="191"/>
      <c r="S15" s="442">
        <f t="shared" si="6"/>
        <v>0</v>
      </c>
      <c r="T15" s="443">
        <f t="shared" si="6"/>
        <v>0</v>
      </c>
      <c r="U15" s="444">
        <f t="shared" si="7"/>
        <v>0</v>
      </c>
      <c r="V15" s="193"/>
      <c r="W15" s="190"/>
      <c r="X15" s="191"/>
      <c r="Y15" s="442">
        <f t="shared" si="8"/>
        <v>0</v>
      </c>
      <c r="Z15" s="443">
        <f t="shared" si="8"/>
        <v>0</v>
      </c>
      <c r="AA15" s="444">
        <f t="shared" si="9"/>
        <v>0</v>
      </c>
      <c r="AB15" s="193"/>
      <c r="AC15" s="190"/>
      <c r="AD15" s="191"/>
      <c r="AE15" s="442">
        <f t="shared" si="10"/>
        <v>0</v>
      </c>
      <c r="AF15" s="443">
        <f t="shared" si="10"/>
        <v>0</v>
      </c>
      <c r="AG15" s="444">
        <f t="shared" si="11"/>
        <v>0</v>
      </c>
      <c r="AH15" s="193"/>
      <c r="AJ15" s="142">
        <f>IF(E15&gt;=AL1,ROUNDDOWN(E15/AL1,0),IF(E15&gt;0,1,))*C15/50</f>
        <v>0</v>
      </c>
      <c r="AK15" s="142">
        <f>IF(F15&gt;=AM1,MAX(ROUNDDOWN(F15/AM1,0),ROUNDUP(F15/AL3,0)),IF(F15&gt;0,1,))*C15/50*0.5</f>
        <v>0</v>
      </c>
      <c r="AL15" s="142">
        <f>IF(K15&gt;=AL1,ROUNDDOWN(K15/AL1,0),IF(K15&gt;0,1,))*C15/50</f>
        <v>0</v>
      </c>
      <c r="AM15" s="142">
        <f>IF(L15&gt;=AM1,MAX(ROUNDDOWN(L15/AM1,0),ROUNDUP(L15/AL3,0)),IF(L15&gt;0,1,))*C15/50*0.5</f>
        <v>0</v>
      </c>
      <c r="AN15" s="142">
        <f>IF(Q15&gt;=AL1,ROUNDDOWN(Q15/AL1,0),IF(Q15&gt;0,1,))*C15/50</f>
        <v>0</v>
      </c>
      <c r="AO15" s="142">
        <f>IF(R15&gt;=AM1,MAX(ROUNDDOWN(R15/AM1,0),ROUNDUP(R15/AL3,0)),IF(R15&gt;0,1,))*C15/50*0.5</f>
        <v>0</v>
      </c>
      <c r="AP15" s="142">
        <f>IF(W15&gt;=AL1,ROUNDDOWN(W15/AL1,0),IF(W15&gt;0,1,))*C15/50</f>
        <v>0</v>
      </c>
      <c r="AQ15" s="142">
        <f>IF(X15&gt;=AM1,MAX(ROUNDDOWN(X15/AM1,0),ROUNDUP(X15/AL3,0)),IF(X15&gt;0,1,))*C15/50*0.5</f>
        <v>0</v>
      </c>
      <c r="AR15" s="142">
        <f>IF(AC15&gt;=AL1,ROUNDDOWN(AC15/AL1,0),IF(AC15&gt;0,1,))*C15/50</f>
        <v>0</v>
      </c>
      <c r="AS15" s="142">
        <f>IF(AD15&gt;=AM1,MAX(ROUNDDOWN(AD15/AM1,0),ROUNDUP(AD15/AL3,0)),IF(AD15&gt;0,1,))*C15/50*0.5</f>
        <v>0</v>
      </c>
      <c r="AT15" s="445">
        <f t="shared" si="12"/>
        <v>0</v>
      </c>
      <c r="AU15" s="445">
        <f t="shared" si="13"/>
        <v>0</v>
      </c>
      <c r="AV15" s="445">
        <f t="shared" si="14"/>
        <v>0</v>
      </c>
      <c r="AW15" s="445">
        <f t="shared" si="15"/>
        <v>0</v>
      </c>
      <c r="AX15" s="445">
        <f t="shared" si="16"/>
        <v>0</v>
      </c>
      <c r="AY15" s="445">
        <f t="shared" si="17"/>
        <v>0</v>
      </c>
      <c r="AZ15" s="445">
        <f t="shared" si="18"/>
        <v>0</v>
      </c>
      <c r="BA15" s="445">
        <f t="shared" si="19"/>
        <v>0</v>
      </c>
      <c r="BB15" s="445">
        <f t="shared" si="20"/>
        <v>0</v>
      </c>
      <c r="BC15" s="445">
        <f t="shared" si="21"/>
        <v>0</v>
      </c>
      <c r="BD15" s="446">
        <f t="shared" si="22"/>
        <v>0</v>
      </c>
      <c r="BE15" s="446">
        <f t="shared" si="22"/>
        <v>0</v>
      </c>
      <c r="BF15" s="446">
        <f t="shared" si="23"/>
        <v>0</v>
      </c>
      <c r="BG15" s="446">
        <f t="shared" si="23"/>
        <v>0</v>
      </c>
      <c r="BH15" s="446">
        <f t="shared" si="24"/>
        <v>0</v>
      </c>
      <c r="BI15" s="446">
        <f t="shared" si="24"/>
        <v>0</v>
      </c>
      <c r="BJ15" s="446">
        <f t="shared" si="25"/>
        <v>0</v>
      </c>
      <c r="BK15" s="446">
        <f t="shared" si="25"/>
        <v>0</v>
      </c>
      <c r="BL15" s="446">
        <f t="shared" si="26"/>
        <v>0</v>
      </c>
      <c r="BM15" s="446">
        <f t="shared" si="26"/>
        <v>0</v>
      </c>
      <c r="BN15" s="480">
        <f t="shared" ref="BN15:BN23" si="29">IF(AND($C15&gt;0,$C15&lt;$BN$12),1,)</f>
        <v>0</v>
      </c>
    </row>
    <row r="16" spans="1:66" ht="18" x14ac:dyDescent="0.25">
      <c r="A16" s="194">
        <f t="shared" si="27"/>
        <v>0</v>
      </c>
      <c r="B16" s="195">
        <f t="shared" si="28"/>
        <v>0</v>
      </c>
      <c r="C16" s="189">
        <f t="shared" si="0"/>
        <v>0</v>
      </c>
      <c r="D16" s="189">
        <f t="shared" si="1"/>
        <v>0</v>
      </c>
      <c r="E16" s="190"/>
      <c r="F16" s="191"/>
      <c r="G16" s="442">
        <f t="shared" si="2"/>
        <v>0</v>
      </c>
      <c r="H16" s="443">
        <f t="shared" si="2"/>
        <v>0</v>
      </c>
      <c r="I16" s="444">
        <f t="shared" si="3"/>
        <v>0</v>
      </c>
      <c r="J16" s="192"/>
      <c r="K16" s="190"/>
      <c r="L16" s="191"/>
      <c r="M16" s="442">
        <f t="shared" si="4"/>
        <v>0</v>
      </c>
      <c r="N16" s="443">
        <f t="shared" si="4"/>
        <v>0</v>
      </c>
      <c r="O16" s="444">
        <f t="shared" si="5"/>
        <v>0</v>
      </c>
      <c r="P16" s="193"/>
      <c r="Q16" s="190"/>
      <c r="R16" s="191"/>
      <c r="S16" s="442">
        <f t="shared" si="6"/>
        <v>0</v>
      </c>
      <c r="T16" s="443">
        <f t="shared" si="6"/>
        <v>0</v>
      </c>
      <c r="U16" s="444">
        <f t="shared" si="7"/>
        <v>0</v>
      </c>
      <c r="V16" s="193"/>
      <c r="W16" s="190"/>
      <c r="X16" s="191"/>
      <c r="Y16" s="442">
        <f t="shared" si="8"/>
        <v>0</v>
      </c>
      <c r="Z16" s="443">
        <f t="shared" si="8"/>
        <v>0</v>
      </c>
      <c r="AA16" s="444">
        <f t="shared" si="9"/>
        <v>0</v>
      </c>
      <c r="AB16" s="193"/>
      <c r="AC16" s="190"/>
      <c r="AD16" s="191"/>
      <c r="AE16" s="442">
        <f t="shared" si="10"/>
        <v>0</v>
      </c>
      <c r="AF16" s="443">
        <f t="shared" si="10"/>
        <v>0</v>
      </c>
      <c r="AG16" s="444">
        <f t="shared" si="11"/>
        <v>0</v>
      </c>
      <c r="AH16" s="193"/>
      <c r="AJ16" s="142">
        <f>IF(E16&gt;=AL1,ROUNDDOWN(E16/AL1,0),IF(E16&gt;0,1,))*C16/50</f>
        <v>0</v>
      </c>
      <c r="AK16" s="142">
        <f>IF(F16&gt;=AM1,MAX(ROUNDDOWN(F16/AM1,0),ROUNDUP(F16/AL3,0)),IF(F16&gt;0,1,))*C16/50*0.5</f>
        <v>0</v>
      </c>
      <c r="AL16" s="142">
        <f>IF(K16&gt;=AL1,ROUNDDOWN(K16/AL1,0),IF(K16&gt;0,1,))*C16/50</f>
        <v>0</v>
      </c>
      <c r="AM16" s="142">
        <f>IF(L16&gt;=AM1,MAX(ROUNDDOWN(L16/AM1,0),ROUNDUP(L16/AL3,0)),IF(L16&gt;0,1,))*C16/50*0.5</f>
        <v>0</v>
      </c>
      <c r="AN16" s="142">
        <f>IF(Q16&gt;=AL1,ROUNDDOWN(Q16/AL1,0),IF(Q16&gt;0,1,))*C16/50</f>
        <v>0</v>
      </c>
      <c r="AO16" s="142">
        <f>IF(R16&gt;=AM1,MAX(ROUNDDOWN(R16/AM1,0),ROUNDUP(R16/AL3,0)),IF(R16&gt;0,1,))*C16/50*0.5</f>
        <v>0</v>
      </c>
      <c r="AP16" s="142">
        <f>IF(W16&gt;=AL1,ROUNDDOWN(W16/AL1,0),IF(W16&gt;0,1,))*C16/50</f>
        <v>0</v>
      </c>
      <c r="AQ16" s="142">
        <f>IF(X16&gt;=AM1,MAX(ROUNDDOWN(X16/AM1,0),ROUNDUP(X16/AL3,0)),IF(X16&gt;0,1,))*C16/50*0.5</f>
        <v>0</v>
      </c>
      <c r="AR16" s="142">
        <f>IF(AC16&gt;=AL1,ROUNDDOWN(AC16/AL1,0),IF(AC16&gt;0,1,))*C16/50</f>
        <v>0</v>
      </c>
      <c r="AS16" s="142">
        <f>IF(AD16&gt;=AM1,MAX(ROUNDDOWN(AD16/AM1,0),ROUNDUP(AD16/AL3,0)),IF(AD16&gt;0,1,))*C16/50*0.5</f>
        <v>0</v>
      </c>
      <c r="AT16" s="445">
        <f t="shared" si="12"/>
        <v>0</v>
      </c>
      <c r="AU16" s="445">
        <f t="shared" si="13"/>
        <v>0</v>
      </c>
      <c r="AV16" s="445">
        <f t="shared" si="14"/>
        <v>0</v>
      </c>
      <c r="AW16" s="445">
        <f t="shared" si="15"/>
        <v>0</v>
      </c>
      <c r="AX16" s="445">
        <f t="shared" si="16"/>
        <v>0</v>
      </c>
      <c r="AY16" s="445">
        <f t="shared" si="17"/>
        <v>0</v>
      </c>
      <c r="AZ16" s="445">
        <f t="shared" si="18"/>
        <v>0</v>
      </c>
      <c r="BA16" s="445">
        <f t="shared" si="19"/>
        <v>0</v>
      </c>
      <c r="BB16" s="445">
        <f t="shared" si="20"/>
        <v>0</v>
      </c>
      <c r="BC16" s="445">
        <f t="shared" si="21"/>
        <v>0</v>
      </c>
      <c r="BD16" s="446">
        <f t="shared" si="22"/>
        <v>0</v>
      </c>
      <c r="BE16" s="446">
        <f t="shared" si="22"/>
        <v>0</v>
      </c>
      <c r="BF16" s="446">
        <f t="shared" si="23"/>
        <v>0</v>
      </c>
      <c r="BG16" s="446">
        <f t="shared" si="23"/>
        <v>0</v>
      </c>
      <c r="BH16" s="446">
        <f t="shared" si="24"/>
        <v>0</v>
      </c>
      <c r="BI16" s="446">
        <f t="shared" si="24"/>
        <v>0</v>
      </c>
      <c r="BJ16" s="446">
        <f t="shared" si="25"/>
        <v>0</v>
      </c>
      <c r="BK16" s="446">
        <f t="shared" si="25"/>
        <v>0</v>
      </c>
      <c r="BL16" s="446">
        <f t="shared" si="26"/>
        <v>0</v>
      </c>
      <c r="BM16" s="446">
        <f t="shared" si="26"/>
        <v>0</v>
      </c>
      <c r="BN16" s="480">
        <f t="shared" si="29"/>
        <v>0</v>
      </c>
    </row>
    <row r="17" spans="1:66" ht="18" x14ac:dyDescent="0.25">
      <c r="A17" s="194">
        <f t="shared" si="27"/>
        <v>0</v>
      </c>
      <c r="B17" s="195">
        <f t="shared" si="28"/>
        <v>0</v>
      </c>
      <c r="C17" s="189">
        <f t="shared" si="0"/>
        <v>0</v>
      </c>
      <c r="D17" s="189">
        <f t="shared" si="1"/>
        <v>0</v>
      </c>
      <c r="E17" s="190"/>
      <c r="F17" s="191"/>
      <c r="G17" s="442">
        <f t="shared" si="2"/>
        <v>0</v>
      </c>
      <c r="H17" s="443">
        <f t="shared" si="2"/>
        <v>0</v>
      </c>
      <c r="I17" s="444">
        <f t="shared" si="3"/>
        <v>0</v>
      </c>
      <c r="J17" s="192"/>
      <c r="K17" s="190"/>
      <c r="L17" s="191"/>
      <c r="M17" s="442">
        <f t="shared" si="4"/>
        <v>0</v>
      </c>
      <c r="N17" s="443">
        <f t="shared" si="4"/>
        <v>0</v>
      </c>
      <c r="O17" s="444">
        <f t="shared" si="5"/>
        <v>0</v>
      </c>
      <c r="P17" s="193"/>
      <c r="Q17" s="190"/>
      <c r="R17" s="191"/>
      <c r="S17" s="442">
        <f t="shared" si="6"/>
        <v>0</v>
      </c>
      <c r="T17" s="443">
        <f t="shared" si="6"/>
        <v>0</v>
      </c>
      <c r="U17" s="444">
        <f t="shared" si="7"/>
        <v>0</v>
      </c>
      <c r="V17" s="193"/>
      <c r="W17" s="190"/>
      <c r="X17" s="191"/>
      <c r="Y17" s="442">
        <f t="shared" si="8"/>
        <v>0</v>
      </c>
      <c r="Z17" s="443">
        <f t="shared" si="8"/>
        <v>0</v>
      </c>
      <c r="AA17" s="444">
        <f t="shared" si="9"/>
        <v>0</v>
      </c>
      <c r="AB17" s="193"/>
      <c r="AC17" s="190"/>
      <c r="AD17" s="191"/>
      <c r="AE17" s="442">
        <f t="shared" si="10"/>
        <v>0</v>
      </c>
      <c r="AF17" s="443">
        <f t="shared" si="10"/>
        <v>0</v>
      </c>
      <c r="AG17" s="444">
        <f t="shared" si="11"/>
        <v>0</v>
      </c>
      <c r="AH17" s="193"/>
      <c r="AJ17" s="142">
        <f>IF(E17&gt;=AL1,ROUNDDOWN(E17/AL1,0),IF(E17&gt;0,1,))*C17/50</f>
        <v>0</v>
      </c>
      <c r="AK17" s="142">
        <f>IF(F17&gt;=AM1,MAX(ROUNDDOWN(F17/AM1,0),ROUNDUP(F17/AL3,0)),IF(F17&gt;0,1,))*C17/50*0.5</f>
        <v>0</v>
      </c>
      <c r="AL17" s="142">
        <f>IF(K17&gt;=AL1,ROUNDDOWN(K17/AL1,0),IF(K17&gt;0,1,))*C17/50</f>
        <v>0</v>
      </c>
      <c r="AM17" s="142">
        <f>IF(L17&gt;=AM1,MAX(ROUNDDOWN(L17/AM1,0),ROUNDUP(L17/AL3,0)),IF(L17&gt;0,1,))*C17/50*0.5</f>
        <v>0</v>
      </c>
      <c r="AN17" s="142">
        <f>IF(Q17&gt;=AL1,ROUNDDOWN(Q17/AL1,0),IF(Q17&gt;0,1,))*C17/50</f>
        <v>0</v>
      </c>
      <c r="AO17" s="142">
        <f>IF(R17&gt;=AM1,MAX(ROUNDDOWN(R17/AM1,0),ROUNDUP(R17/AL3,0)),IF(R17&gt;0,1,))*C17/50*0.5</f>
        <v>0</v>
      </c>
      <c r="AP17" s="142">
        <f>IF(W17&gt;=AL1,ROUNDDOWN(W17/AL1,0),IF(W17&gt;0,1,))*C17/50</f>
        <v>0</v>
      </c>
      <c r="AQ17" s="142">
        <f>IF(X17&gt;=AM1,MAX(ROUNDDOWN(X17/AM1,0),ROUNDUP(X17/AL3,0)),IF(X17&gt;0,1,))*C17/50*0.5</f>
        <v>0</v>
      </c>
      <c r="AR17" s="142">
        <f>IF(AC17&gt;=AL1,ROUNDDOWN(AC17/AL1,0),IF(AC17&gt;0,1,))*C17/50</f>
        <v>0</v>
      </c>
      <c r="AS17" s="142">
        <f>IF(AD17&gt;=AM1,MAX(ROUNDDOWN(AD17/AM1,0),ROUNDUP(AD17/AL3,0)),IF(AD17&gt;0,1,))*C17/50*0.5</f>
        <v>0</v>
      </c>
      <c r="AT17" s="445">
        <f t="shared" si="12"/>
        <v>0</v>
      </c>
      <c r="AU17" s="445">
        <f t="shared" si="13"/>
        <v>0</v>
      </c>
      <c r="AV17" s="445">
        <f t="shared" si="14"/>
        <v>0</v>
      </c>
      <c r="AW17" s="445">
        <f t="shared" si="15"/>
        <v>0</v>
      </c>
      <c r="AX17" s="445">
        <f t="shared" si="16"/>
        <v>0</v>
      </c>
      <c r="AY17" s="445">
        <f t="shared" si="17"/>
        <v>0</v>
      </c>
      <c r="AZ17" s="445">
        <f t="shared" si="18"/>
        <v>0</v>
      </c>
      <c r="BA17" s="445">
        <f t="shared" si="19"/>
        <v>0</v>
      </c>
      <c r="BB17" s="445">
        <f t="shared" si="20"/>
        <v>0</v>
      </c>
      <c r="BC17" s="445">
        <f t="shared" si="21"/>
        <v>0</v>
      </c>
      <c r="BD17" s="446">
        <f t="shared" si="22"/>
        <v>0</v>
      </c>
      <c r="BE17" s="446">
        <f t="shared" si="22"/>
        <v>0</v>
      </c>
      <c r="BF17" s="446">
        <f t="shared" si="23"/>
        <v>0</v>
      </c>
      <c r="BG17" s="446">
        <f t="shared" si="23"/>
        <v>0</v>
      </c>
      <c r="BH17" s="446">
        <f t="shared" si="24"/>
        <v>0</v>
      </c>
      <c r="BI17" s="446">
        <f t="shared" si="24"/>
        <v>0</v>
      </c>
      <c r="BJ17" s="446">
        <f t="shared" si="25"/>
        <v>0</v>
      </c>
      <c r="BK17" s="446">
        <f t="shared" si="25"/>
        <v>0</v>
      </c>
      <c r="BL17" s="446">
        <f t="shared" si="26"/>
        <v>0</v>
      </c>
      <c r="BM17" s="446">
        <f t="shared" si="26"/>
        <v>0</v>
      </c>
      <c r="BN17" s="480">
        <f t="shared" si="29"/>
        <v>0</v>
      </c>
    </row>
    <row r="18" spans="1:66" ht="18" x14ac:dyDescent="0.25">
      <c r="A18" s="194">
        <f t="shared" si="27"/>
        <v>0</v>
      </c>
      <c r="B18" s="195">
        <f t="shared" si="28"/>
        <v>0</v>
      </c>
      <c r="C18" s="189">
        <f t="shared" si="0"/>
        <v>0</v>
      </c>
      <c r="D18" s="189">
        <f t="shared" si="1"/>
        <v>0</v>
      </c>
      <c r="E18" s="190"/>
      <c r="F18" s="191"/>
      <c r="G18" s="442">
        <f t="shared" si="2"/>
        <v>0</v>
      </c>
      <c r="H18" s="443">
        <f t="shared" si="2"/>
        <v>0</v>
      </c>
      <c r="I18" s="444">
        <f t="shared" si="3"/>
        <v>0</v>
      </c>
      <c r="J18" s="192"/>
      <c r="K18" s="190"/>
      <c r="L18" s="191"/>
      <c r="M18" s="442">
        <f t="shared" si="4"/>
        <v>0</v>
      </c>
      <c r="N18" s="443">
        <f t="shared" si="4"/>
        <v>0</v>
      </c>
      <c r="O18" s="444">
        <f t="shared" si="5"/>
        <v>0</v>
      </c>
      <c r="P18" s="193"/>
      <c r="Q18" s="190"/>
      <c r="R18" s="191"/>
      <c r="S18" s="442">
        <f t="shared" si="6"/>
        <v>0</v>
      </c>
      <c r="T18" s="443">
        <f t="shared" si="6"/>
        <v>0</v>
      </c>
      <c r="U18" s="444">
        <f t="shared" si="7"/>
        <v>0</v>
      </c>
      <c r="V18" s="193"/>
      <c r="W18" s="190"/>
      <c r="X18" s="191"/>
      <c r="Y18" s="442">
        <f t="shared" si="8"/>
        <v>0</v>
      </c>
      <c r="Z18" s="443">
        <f t="shared" si="8"/>
        <v>0</v>
      </c>
      <c r="AA18" s="444">
        <f t="shared" si="9"/>
        <v>0</v>
      </c>
      <c r="AB18" s="193"/>
      <c r="AC18" s="190"/>
      <c r="AD18" s="191"/>
      <c r="AE18" s="442">
        <f t="shared" si="10"/>
        <v>0</v>
      </c>
      <c r="AF18" s="443">
        <f t="shared" si="10"/>
        <v>0</v>
      </c>
      <c r="AG18" s="444">
        <f t="shared" si="11"/>
        <v>0</v>
      </c>
      <c r="AH18" s="193"/>
      <c r="AJ18" s="142">
        <f>IF(E18&gt;=AL1,ROUNDDOWN(E18/AL1,0),IF(E18&gt;0,1,))*C18/50</f>
        <v>0</v>
      </c>
      <c r="AK18" s="142">
        <f>IF(F18&gt;=AM1,MAX(ROUNDDOWN(F18/AM1,0),ROUNDUP(F18/AL3,0)),IF(F18&gt;0,1,))*C18/50*0.5</f>
        <v>0</v>
      </c>
      <c r="AL18" s="142">
        <f>IF(K18&gt;=AL1,ROUNDDOWN(K18/AL1,0),IF(K18&gt;0,1,))*C18/50</f>
        <v>0</v>
      </c>
      <c r="AM18" s="142">
        <f>IF(L18&gt;=AM1,MAX(ROUNDDOWN(L18/AM1,0),ROUNDUP(L18/AL3,0)),IF(L18&gt;0,1,))*C18/50*0.5</f>
        <v>0</v>
      </c>
      <c r="AN18" s="142">
        <f>IF(Q18&gt;=AL1,ROUNDDOWN(Q18/AL1,0),IF(Q18&gt;0,1,))*C18/50</f>
        <v>0</v>
      </c>
      <c r="AO18" s="142">
        <f>IF(R18&gt;=AM1,MAX(ROUNDDOWN(R18/AM1,0),ROUNDUP(R18/AL3,0)),IF(R18&gt;0,1,))*C18/50*0.5</f>
        <v>0</v>
      </c>
      <c r="AP18" s="142">
        <f>IF(W18&gt;=AL1,ROUNDDOWN(W18/AL1,0),IF(W18&gt;0,1,))*C18/50</f>
        <v>0</v>
      </c>
      <c r="AQ18" s="142">
        <f>IF(X18&gt;=AM1,MAX(ROUNDDOWN(X18/AM1,0),ROUNDUP(X18/AL3,0)),IF(X18&gt;0,1,))*C18/50*0.5</f>
        <v>0</v>
      </c>
      <c r="AR18" s="142">
        <f>IF(AC18&gt;=AL1,ROUNDDOWN(AC18/AL1,0),IF(AC18&gt;0,1,))*C18/50</f>
        <v>0</v>
      </c>
      <c r="AS18" s="142">
        <f>IF(AD18&gt;=AM1,MAX(ROUNDDOWN(AD18/AM1,0),ROUNDUP(AD18/AL3,0)),IF(AD18&gt;0,1,))*C18/50*0.5</f>
        <v>0</v>
      </c>
      <c r="AT18" s="445">
        <f t="shared" si="12"/>
        <v>0</v>
      </c>
      <c r="AU18" s="445">
        <f t="shared" si="13"/>
        <v>0</v>
      </c>
      <c r="AV18" s="445">
        <f t="shared" si="14"/>
        <v>0</v>
      </c>
      <c r="AW18" s="445">
        <f t="shared" si="15"/>
        <v>0</v>
      </c>
      <c r="AX18" s="445">
        <f t="shared" si="16"/>
        <v>0</v>
      </c>
      <c r="AY18" s="445">
        <f t="shared" si="17"/>
        <v>0</v>
      </c>
      <c r="AZ18" s="445">
        <f t="shared" si="18"/>
        <v>0</v>
      </c>
      <c r="BA18" s="445">
        <f t="shared" si="19"/>
        <v>0</v>
      </c>
      <c r="BB18" s="445">
        <f t="shared" si="20"/>
        <v>0</v>
      </c>
      <c r="BC18" s="445">
        <f t="shared" si="21"/>
        <v>0</v>
      </c>
      <c r="BD18" s="446">
        <f t="shared" si="22"/>
        <v>0</v>
      </c>
      <c r="BE18" s="446">
        <f t="shared" si="22"/>
        <v>0</v>
      </c>
      <c r="BF18" s="446">
        <f t="shared" si="23"/>
        <v>0</v>
      </c>
      <c r="BG18" s="446">
        <f t="shared" si="23"/>
        <v>0</v>
      </c>
      <c r="BH18" s="446">
        <f t="shared" si="24"/>
        <v>0</v>
      </c>
      <c r="BI18" s="446">
        <f t="shared" si="24"/>
        <v>0</v>
      </c>
      <c r="BJ18" s="446">
        <f t="shared" si="25"/>
        <v>0</v>
      </c>
      <c r="BK18" s="446">
        <f t="shared" si="25"/>
        <v>0</v>
      </c>
      <c r="BL18" s="446">
        <f t="shared" si="26"/>
        <v>0</v>
      </c>
      <c r="BM18" s="446">
        <f t="shared" si="26"/>
        <v>0</v>
      </c>
      <c r="BN18" s="480">
        <f t="shared" si="29"/>
        <v>0</v>
      </c>
    </row>
    <row r="19" spans="1:66" ht="18" x14ac:dyDescent="0.25">
      <c r="A19" s="194">
        <f t="shared" si="27"/>
        <v>0</v>
      </c>
      <c r="B19" s="195">
        <f t="shared" si="28"/>
        <v>0</v>
      </c>
      <c r="C19" s="189">
        <f t="shared" si="0"/>
        <v>0</v>
      </c>
      <c r="D19" s="189">
        <f t="shared" si="1"/>
        <v>0</v>
      </c>
      <c r="E19" s="190"/>
      <c r="F19" s="191"/>
      <c r="G19" s="442">
        <f t="shared" si="2"/>
        <v>0</v>
      </c>
      <c r="H19" s="443">
        <f t="shared" si="2"/>
        <v>0</v>
      </c>
      <c r="I19" s="444">
        <f t="shared" si="3"/>
        <v>0</v>
      </c>
      <c r="J19" s="192"/>
      <c r="K19" s="190"/>
      <c r="L19" s="191"/>
      <c r="M19" s="442">
        <f t="shared" si="4"/>
        <v>0</v>
      </c>
      <c r="N19" s="443">
        <f t="shared" si="4"/>
        <v>0</v>
      </c>
      <c r="O19" s="444">
        <f t="shared" si="5"/>
        <v>0</v>
      </c>
      <c r="P19" s="193"/>
      <c r="Q19" s="190"/>
      <c r="R19" s="191"/>
      <c r="S19" s="442">
        <f t="shared" si="6"/>
        <v>0</v>
      </c>
      <c r="T19" s="443">
        <f t="shared" si="6"/>
        <v>0</v>
      </c>
      <c r="U19" s="444">
        <f t="shared" si="7"/>
        <v>0</v>
      </c>
      <c r="V19" s="193"/>
      <c r="W19" s="190"/>
      <c r="X19" s="191"/>
      <c r="Y19" s="442">
        <f t="shared" si="8"/>
        <v>0</v>
      </c>
      <c r="Z19" s="443">
        <f t="shared" si="8"/>
        <v>0</v>
      </c>
      <c r="AA19" s="444">
        <f t="shared" si="9"/>
        <v>0</v>
      </c>
      <c r="AB19" s="193"/>
      <c r="AC19" s="190"/>
      <c r="AD19" s="191"/>
      <c r="AE19" s="442">
        <f t="shared" si="10"/>
        <v>0</v>
      </c>
      <c r="AF19" s="443">
        <f t="shared" si="10"/>
        <v>0</v>
      </c>
      <c r="AG19" s="444">
        <f t="shared" si="11"/>
        <v>0</v>
      </c>
      <c r="AH19" s="193"/>
      <c r="AJ19" s="142">
        <f>IF(E19&gt;=AL1,ROUNDDOWN(E19/AL1,0),IF(E19&gt;0,1,))*C19/50</f>
        <v>0</v>
      </c>
      <c r="AK19" s="142">
        <f>IF(F19&gt;=AM1,MAX(ROUNDDOWN(F19/AM1,0),ROUNDUP(F19/AL3,0)),IF(F19&gt;0,1,))*C19/50*0.5</f>
        <v>0</v>
      </c>
      <c r="AL19" s="142">
        <f>IF(K19&gt;=AL1,ROUNDDOWN(K19/AL1,0),IF(K19&gt;0,1,))*C19/50</f>
        <v>0</v>
      </c>
      <c r="AM19" s="142">
        <f>IF(L19&gt;=AM1,MAX(ROUNDDOWN(L19/AM1,0),ROUNDUP(L19/AL3,0)),IF(L19&gt;0,1,))*C19/50*0.5</f>
        <v>0</v>
      </c>
      <c r="AN19" s="142">
        <f>IF(Q19&gt;=AL1,ROUNDDOWN(Q19/AL1,0),IF(Q19&gt;0,1,))*C19/50</f>
        <v>0</v>
      </c>
      <c r="AO19" s="142">
        <f>IF(R19&gt;=AM1,MAX(ROUNDDOWN(R19/AM1,0),ROUNDUP(R19/AL3,0)),IF(R19&gt;0,1,))*C19/50*0.5</f>
        <v>0</v>
      </c>
      <c r="AP19" s="142">
        <f>IF(W19&gt;=AL1,ROUNDDOWN(W19/AL1,0),IF(W19&gt;0,1,))*C19/50</f>
        <v>0</v>
      </c>
      <c r="AQ19" s="142">
        <f>IF(X19&gt;=AM1,MAX(ROUNDDOWN(X19/AM1,0),ROUNDUP(X19/AL3,0)),IF(X19&gt;0,1,))*C19/50*0.5</f>
        <v>0</v>
      </c>
      <c r="AR19" s="142">
        <f>IF(AC19&gt;=AL1,ROUNDDOWN(AC19/AL1,0),IF(AC19&gt;0,1,))*C19/50</f>
        <v>0</v>
      </c>
      <c r="AS19" s="142">
        <f>IF(AD19&gt;=AM1,MAX(ROUNDDOWN(AD19/AM1,0),ROUNDUP(AD19/AL3,0)),IF(AD19&gt;0,1,))*C19/50*0.5</f>
        <v>0</v>
      </c>
      <c r="AT19" s="445">
        <f t="shared" si="12"/>
        <v>0</v>
      </c>
      <c r="AU19" s="445">
        <f t="shared" si="13"/>
        <v>0</v>
      </c>
      <c r="AV19" s="445">
        <f t="shared" si="14"/>
        <v>0</v>
      </c>
      <c r="AW19" s="445">
        <f t="shared" si="15"/>
        <v>0</v>
      </c>
      <c r="AX19" s="445">
        <f t="shared" si="16"/>
        <v>0</v>
      </c>
      <c r="AY19" s="445">
        <f t="shared" si="17"/>
        <v>0</v>
      </c>
      <c r="AZ19" s="445">
        <f t="shared" si="18"/>
        <v>0</v>
      </c>
      <c r="BA19" s="445">
        <f t="shared" si="19"/>
        <v>0</v>
      </c>
      <c r="BB19" s="445">
        <f t="shared" si="20"/>
        <v>0</v>
      </c>
      <c r="BC19" s="445">
        <f t="shared" si="21"/>
        <v>0</v>
      </c>
      <c r="BD19" s="446">
        <f t="shared" si="22"/>
        <v>0</v>
      </c>
      <c r="BE19" s="446">
        <f t="shared" si="22"/>
        <v>0</v>
      </c>
      <c r="BF19" s="446">
        <f t="shared" si="23"/>
        <v>0</v>
      </c>
      <c r="BG19" s="446">
        <f t="shared" si="23"/>
        <v>0</v>
      </c>
      <c r="BH19" s="446">
        <f t="shared" si="24"/>
        <v>0</v>
      </c>
      <c r="BI19" s="446">
        <f t="shared" si="24"/>
        <v>0</v>
      </c>
      <c r="BJ19" s="446">
        <f t="shared" si="25"/>
        <v>0</v>
      </c>
      <c r="BK19" s="446">
        <f t="shared" si="25"/>
        <v>0</v>
      </c>
      <c r="BL19" s="446">
        <f t="shared" si="26"/>
        <v>0</v>
      </c>
      <c r="BM19" s="446">
        <f t="shared" si="26"/>
        <v>0</v>
      </c>
      <c r="BN19" s="480">
        <f t="shared" si="29"/>
        <v>0</v>
      </c>
    </row>
    <row r="20" spans="1:66" ht="18" x14ac:dyDescent="0.25">
      <c r="A20" s="194">
        <f t="shared" si="27"/>
        <v>0</v>
      </c>
      <c r="B20" s="195">
        <f t="shared" si="28"/>
        <v>0</v>
      </c>
      <c r="C20" s="189">
        <f t="shared" si="0"/>
        <v>0</v>
      </c>
      <c r="D20" s="189">
        <f t="shared" si="1"/>
        <v>0</v>
      </c>
      <c r="E20" s="190"/>
      <c r="F20" s="191"/>
      <c r="G20" s="442">
        <f t="shared" si="2"/>
        <v>0</v>
      </c>
      <c r="H20" s="443">
        <f t="shared" si="2"/>
        <v>0</v>
      </c>
      <c r="I20" s="444">
        <f t="shared" si="3"/>
        <v>0</v>
      </c>
      <c r="J20" s="192"/>
      <c r="K20" s="190"/>
      <c r="L20" s="191"/>
      <c r="M20" s="442">
        <f t="shared" si="4"/>
        <v>0</v>
      </c>
      <c r="N20" s="443">
        <f t="shared" si="4"/>
        <v>0</v>
      </c>
      <c r="O20" s="444">
        <f t="shared" si="5"/>
        <v>0</v>
      </c>
      <c r="P20" s="193"/>
      <c r="Q20" s="190"/>
      <c r="R20" s="191"/>
      <c r="S20" s="442">
        <f t="shared" si="6"/>
        <v>0</v>
      </c>
      <c r="T20" s="443">
        <f t="shared" si="6"/>
        <v>0</v>
      </c>
      <c r="U20" s="444">
        <f t="shared" si="7"/>
        <v>0</v>
      </c>
      <c r="V20" s="193"/>
      <c r="W20" s="190"/>
      <c r="X20" s="191"/>
      <c r="Y20" s="442">
        <f t="shared" si="8"/>
        <v>0</v>
      </c>
      <c r="Z20" s="443">
        <f t="shared" si="8"/>
        <v>0</v>
      </c>
      <c r="AA20" s="444">
        <f t="shared" si="9"/>
        <v>0</v>
      </c>
      <c r="AB20" s="193"/>
      <c r="AC20" s="190"/>
      <c r="AD20" s="191"/>
      <c r="AE20" s="442">
        <f t="shared" si="10"/>
        <v>0</v>
      </c>
      <c r="AF20" s="443">
        <f t="shared" si="10"/>
        <v>0</v>
      </c>
      <c r="AG20" s="444">
        <f t="shared" si="11"/>
        <v>0</v>
      </c>
      <c r="AH20" s="193"/>
      <c r="AJ20" s="142">
        <f>IF(E20&gt;=AL1,ROUNDDOWN(E20/AL1,0),IF(E20&gt;0,1,))*C20/50</f>
        <v>0</v>
      </c>
      <c r="AK20" s="142">
        <f>IF(F20&gt;=AM1,MAX(ROUNDDOWN(F20/AM1,0),ROUNDUP(F20/AL3,0)),IF(F20&gt;0,1,))*C20/50*0.5</f>
        <v>0</v>
      </c>
      <c r="AL20" s="142">
        <f>IF(K20&gt;=AL1,ROUNDDOWN(K20/AL1,0),IF(K20&gt;0,1,))*C20/50</f>
        <v>0</v>
      </c>
      <c r="AM20" s="142">
        <f>IF(L20&gt;=AM1,MAX(ROUNDDOWN(L20/AM1,0),ROUNDUP(L20/AL3,0)),IF(L20&gt;0,1,))*C20/50*0.5</f>
        <v>0</v>
      </c>
      <c r="AN20" s="142">
        <f>IF(Q20&gt;=AL1,ROUNDDOWN(Q20/AL1,0),IF(Q20&gt;0,1,))*C20/50</f>
        <v>0</v>
      </c>
      <c r="AO20" s="142">
        <f>IF(R20&gt;=AM1,MAX(ROUNDDOWN(R20/AM1,0),ROUNDUP(R20/AL3,0)),IF(R20&gt;0,1,))*C20/50*0.5</f>
        <v>0</v>
      </c>
      <c r="AP20" s="142">
        <f>IF(W20&gt;=AL1,ROUNDDOWN(W20/AL1,0),IF(W20&gt;0,1,))*C20/50</f>
        <v>0</v>
      </c>
      <c r="AQ20" s="142">
        <f>IF(X20&gt;=AM1,MAX(ROUNDDOWN(X20/AM1,0),ROUNDUP(X20/AL3,0)),IF(X20&gt;0,1,))*C20/50*0.5</f>
        <v>0</v>
      </c>
      <c r="AR20" s="142">
        <f>IF(AC20&gt;=AL1,ROUNDDOWN(AC20/AL1,0),IF(AC20&gt;0,1,))*C20/50</f>
        <v>0</v>
      </c>
      <c r="AS20" s="142">
        <f>IF(AD20&gt;=AM1,MAX(ROUNDDOWN(AD20/AM1,0),ROUNDUP(AD20/AL3,0)),IF(AD20&gt;0,1,))*C20/50*0.5</f>
        <v>0</v>
      </c>
      <c r="AT20" s="445">
        <f t="shared" si="12"/>
        <v>0</v>
      </c>
      <c r="AU20" s="445">
        <f t="shared" si="13"/>
        <v>0</v>
      </c>
      <c r="AV20" s="445">
        <f t="shared" si="14"/>
        <v>0</v>
      </c>
      <c r="AW20" s="445">
        <f t="shared" si="15"/>
        <v>0</v>
      </c>
      <c r="AX20" s="445">
        <f t="shared" si="16"/>
        <v>0</v>
      </c>
      <c r="AY20" s="445">
        <f t="shared" si="17"/>
        <v>0</v>
      </c>
      <c r="AZ20" s="445">
        <f t="shared" si="18"/>
        <v>0</v>
      </c>
      <c r="BA20" s="445">
        <f t="shared" si="19"/>
        <v>0</v>
      </c>
      <c r="BB20" s="445">
        <f t="shared" si="20"/>
        <v>0</v>
      </c>
      <c r="BC20" s="445">
        <f t="shared" si="21"/>
        <v>0</v>
      </c>
      <c r="BD20" s="446">
        <f t="shared" si="22"/>
        <v>0</v>
      </c>
      <c r="BE20" s="446">
        <f t="shared" si="22"/>
        <v>0</v>
      </c>
      <c r="BF20" s="446">
        <f t="shared" si="23"/>
        <v>0</v>
      </c>
      <c r="BG20" s="446">
        <f t="shared" si="23"/>
        <v>0</v>
      </c>
      <c r="BH20" s="446">
        <f t="shared" si="24"/>
        <v>0</v>
      </c>
      <c r="BI20" s="446">
        <f t="shared" si="24"/>
        <v>0</v>
      </c>
      <c r="BJ20" s="446">
        <f t="shared" si="25"/>
        <v>0</v>
      </c>
      <c r="BK20" s="446">
        <f t="shared" si="25"/>
        <v>0</v>
      </c>
      <c r="BL20" s="446">
        <f t="shared" si="26"/>
        <v>0</v>
      </c>
      <c r="BM20" s="446">
        <f t="shared" si="26"/>
        <v>0</v>
      </c>
      <c r="BN20" s="480">
        <f t="shared" si="29"/>
        <v>0</v>
      </c>
    </row>
    <row r="21" spans="1:66" ht="18" x14ac:dyDescent="0.25">
      <c r="A21" s="194">
        <f t="shared" si="27"/>
        <v>0</v>
      </c>
      <c r="B21" s="195">
        <f t="shared" si="28"/>
        <v>0</v>
      </c>
      <c r="C21" s="189">
        <f t="shared" si="0"/>
        <v>0</v>
      </c>
      <c r="D21" s="189">
        <f t="shared" si="1"/>
        <v>0</v>
      </c>
      <c r="E21" s="190"/>
      <c r="F21" s="191"/>
      <c r="G21" s="442">
        <f t="shared" si="2"/>
        <v>0</v>
      </c>
      <c r="H21" s="443">
        <f t="shared" si="2"/>
        <v>0</v>
      </c>
      <c r="I21" s="444">
        <f t="shared" si="3"/>
        <v>0</v>
      </c>
      <c r="J21" s="192"/>
      <c r="K21" s="190"/>
      <c r="L21" s="191"/>
      <c r="M21" s="442">
        <f t="shared" si="4"/>
        <v>0</v>
      </c>
      <c r="N21" s="443">
        <f t="shared" si="4"/>
        <v>0</v>
      </c>
      <c r="O21" s="444">
        <f t="shared" si="5"/>
        <v>0</v>
      </c>
      <c r="P21" s="193"/>
      <c r="Q21" s="190"/>
      <c r="R21" s="191"/>
      <c r="S21" s="442">
        <f t="shared" si="6"/>
        <v>0</v>
      </c>
      <c r="T21" s="443">
        <f t="shared" si="6"/>
        <v>0</v>
      </c>
      <c r="U21" s="444">
        <f t="shared" si="7"/>
        <v>0</v>
      </c>
      <c r="V21" s="193"/>
      <c r="W21" s="190"/>
      <c r="X21" s="191"/>
      <c r="Y21" s="442">
        <f t="shared" si="8"/>
        <v>0</v>
      </c>
      <c r="Z21" s="443">
        <f t="shared" si="8"/>
        <v>0</v>
      </c>
      <c r="AA21" s="444">
        <f t="shared" si="9"/>
        <v>0</v>
      </c>
      <c r="AB21" s="193"/>
      <c r="AC21" s="190"/>
      <c r="AD21" s="191"/>
      <c r="AE21" s="442">
        <f t="shared" si="10"/>
        <v>0</v>
      </c>
      <c r="AF21" s="443">
        <f t="shared" si="10"/>
        <v>0</v>
      </c>
      <c r="AG21" s="444">
        <f t="shared" si="11"/>
        <v>0</v>
      </c>
      <c r="AH21" s="193"/>
      <c r="AJ21" s="142">
        <f>IF(E21&gt;=AL1,ROUNDDOWN(E21/AL1,0),IF(E21&gt;0,1,))*C21/50</f>
        <v>0</v>
      </c>
      <c r="AK21" s="142">
        <f>IF(F21&gt;=AM1,MAX(ROUNDDOWN(F21/AM1,0),ROUNDUP(F21/AL3,0)),IF(F21&gt;0,1,))*C21/50*0.5</f>
        <v>0</v>
      </c>
      <c r="AL21" s="142">
        <f>IF(K21&gt;=AL1,ROUNDDOWN(K21/AL1,0),IF(K21&gt;0,1,))*C21/50</f>
        <v>0</v>
      </c>
      <c r="AM21" s="142">
        <f>IF(L21&gt;=AM1,MAX(ROUNDDOWN(L21/AM1,0),ROUNDUP(L21/AL3,0)),IF(L21&gt;0,1,))*C21/50*0.5</f>
        <v>0</v>
      </c>
      <c r="AN21" s="142">
        <f>IF(Q21&gt;=AL1,ROUNDDOWN(Q21/AL1,0),IF(Q21&gt;0,1,))*C21/50</f>
        <v>0</v>
      </c>
      <c r="AO21" s="142">
        <f>IF(R21&gt;=AM1,MAX(ROUNDDOWN(R21/AM1,0),ROUNDUP(R21/AL3,0)),IF(R21&gt;0,1,))*C21/50*0.5</f>
        <v>0</v>
      </c>
      <c r="AP21" s="142">
        <f>IF(W21&gt;=AL1,ROUNDDOWN(W21/AL1,0),IF(W21&gt;0,1,))*C21/50</f>
        <v>0</v>
      </c>
      <c r="AQ21" s="142">
        <f>IF(X21&gt;=AM1,MAX(ROUNDDOWN(X21/AM1,0),ROUNDUP(X21/AL3,0)),IF(X21&gt;0,1,))*C21/50*0.5</f>
        <v>0</v>
      </c>
      <c r="AR21" s="142">
        <f>IF(AC21&gt;=AL1,ROUNDDOWN(AC21/AL1,0),IF(AC21&gt;0,1,))*C21/50</f>
        <v>0</v>
      </c>
      <c r="AS21" s="142">
        <f>IF(AD21&gt;=AM1,MAX(ROUNDDOWN(AD21/AM1,0),ROUNDUP(AD21/AL3,0)),IF(AD21&gt;0,1,))*C21/50*0.5</f>
        <v>0</v>
      </c>
      <c r="AT21" s="445">
        <f t="shared" si="12"/>
        <v>0</v>
      </c>
      <c r="AU21" s="445">
        <f t="shared" si="13"/>
        <v>0</v>
      </c>
      <c r="AV21" s="445">
        <f t="shared" si="14"/>
        <v>0</v>
      </c>
      <c r="AW21" s="445">
        <f t="shared" si="15"/>
        <v>0</v>
      </c>
      <c r="AX21" s="445">
        <f t="shared" si="16"/>
        <v>0</v>
      </c>
      <c r="AY21" s="445">
        <f t="shared" si="17"/>
        <v>0</v>
      </c>
      <c r="AZ21" s="445">
        <f t="shared" si="18"/>
        <v>0</v>
      </c>
      <c r="BA21" s="445">
        <f t="shared" si="19"/>
        <v>0</v>
      </c>
      <c r="BB21" s="445">
        <f t="shared" si="20"/>
        <v>0</v>
      </c>
      <c r="BC21" s="445">
        <f t="shared" si="21"/>
        <v>0</v>
      </c>
      <c r="BD21" s="446">
        <f t="shared" si="22"/>
        <v>0</v>
      </c>
      <c r="BE21" s="446">
        <f t="shared" si="22"/>
        <v>0</v>
      </c>
      <c r="BF21" s="446">
        <f t="shared" si="23"/>
        <v>0</v>
      </c>
      <c r="BG21" s="446">
        <f t="shared" si="23"/>
        <v>0</v>
      </c>
      <c r="BH21" s="446">
        <f t="shared" si="24"/>
        <v>0</v>
      </c>
      <c r="BI21" s="446">
        <f t="shared" si="24"/>
        <v>0</v>
      </c>
      <c r="BJ21" s="446">
        <f t="shared" si="25"/>
        <v>0</v>
      </c>
      <c r="BK21" s="446">
        <f t="shared" si="25"/>
        <v>0</v>
      </c>
      <c r="BL21" s="446">
        <f t="shared" si="26"/>
        <v>0</v>
      </c>
      <c r="BM21" s="446">
        <f t="shared" si="26"/>
        <v>0</v>
      </c>
      <c r="BN21" s="480">
        <f t="shared" si="29"/>
        <v>0</v>
      </c>
    </row>
    <row r="22" spans="1:66" ht="18" x14ac:dyDescent="0.25">
      <c r="A22" s="194">
        <f t="shared" si="27"/>
        <v>0</v>
      </c>
      <c r="B22" s="195">
        <f t="shared" si="28"/>
        <v>0</v>
      </c>
      <c r="C22" s="189">
        <f t="shared" si="0"/>
        <v>0</v>
      </c>
      <c r="D22" s="189">
        <f t="shared" si="1"/>
        <v>0</v>
      </c>
      <c r="E22" s="190"/>
      <c r="F22" s="191"/>
      <c r="G22" s="442">
        <f t="shared" si="2"/>
        <v>0</v>
      </c>
      <c r="H22" s="443">
        <f t="shared" si="2"/>
        <v>0</v>
      </c>
      <c r="I22" s="444">
        <f t="shared" si="3"/>
        <v>0</v>
      </c>
      <c r="J22" s="192"/>
      <c r="K22" s="190"/>
      <c r="L22" s="191"/>
      <c r="M22" s="442">
        <f t="shared" si="4"/>
        <v>0</v>
      </c>
      <c r="N22" s="443">
        <f t="shared" si="4"/>
        <v>0</v>
      </c>
      <c r="O22" s="444">
        <f t="shared" si="5"/>
        <v>0</v>
      </c>
      <c r="P22" s="193"/>
      <c r="Q22" s="190"/>
      <c r="R22" s="191"/>
      <c r="S22" s="442">
        <f t="shared" si="6"/>
        <v>0</v>
      </c>
      <c r="T22" s="443">
        <f t="shared" si="6"/>
        <v>0</v>
      </c>
      <c r="U22" s="444">
        <f t="shared" si="7"/>
        <v>0</v>
      </c>
      <c r="V22" s="193"/>
      <c r="W22" s="190"/>
      <c r="X22" s="191"/>
      <c r="Y22" s="442">
        <f t="shared" si="8"/>
        <v>0</v>
      </c>
      <c r="Z22" s="443">
        <f t="shared" si="8"/>
        <v>0</v>
      </c>
      <c r="AA22" s="444">
        <f t="shared" si="9"/>
        <v>0</v>
      </c>
      <c r="AB22" s="193"/>
      <c r="AC22" s="190"/>
      <c r="AD22" s="191"/>
      <c r="AE22" s="442">
        <f t="shared" si="10"/>
        <v>0</v>
      </c>
      <c r="AF22" s="443">
        <f t="shared" si="10"/>
        <v>0</v>
      </c>
      <c r="AG22" s="444">
        <f t="shared" si="11"/>
        <v>0</v>
      </c>
      <c r="AH22" s="193"/>
      <c r="AJ22" s="142">
        <f>IF(E22&gt;=AL1,ROUNDDOWN(E22/AL1,0),IF(E22&gt;0,1,))*C22/50</f>
        <v>0</v>
      </c>
      <c r="AK22" s="142">
        <f>IF(F22&gt;=AM1,MAX(ROUNDDOWN(F22/AM1,0),ROUNDUP(F22/AL3,0)),IF(F22&gt;0,1,))*C22/50*0.5</f>
        <v>0</v>
      </c>
      <c r="AL22" s="142">
        <f>IF(K22&gt;=AL1,ROUNDDOWN(K22/AL1,0),IF(K22&gt;0,1,))*C22/50</f>
        <v>0</v>
      </c>
      <c r="AM22" s="142">
        <f>IF(L22&gt;=AM1,MAX(ROUNDDOWN(L22/AM1,0),ROUNDUP(L22/AL3,0)),IF(L22&gt;0,1,))*C22/50*0.5</f>
        <v>0</v>
      </c>
      <c r="AN22" s="142">
        <f>IF(Q22&gt;=AL1,ROUNDDOWN(Q22/AL1,0),IF(Q22&gt;0,1,))*C22/50</f>
        <v>0</v>
      </c>
      <c r="AO22" s="142">
        <f>IF(R22&gt;=AM1,MAX(ROUNDDOWN(R22/AM1,0),ROUNDUP(R22/AL3,0)),IF(R22&gt;0,1,))*C22/50*0.5</f>
        <v>0</v>
      </c>
      <c r="AP22" s="142">
        <f>IF(W22&gt;=AL1,ROUNDDOWN(W22/AL1,0),IF(W22&gt;0,1,))*C22/50</f>
        <v>0</v>
      </c>
      <c r="AQ22" s="142">
        <f>IF(X22&gt;=AM1,MAX(ROUNDDOWN(X22/AM1,0),ROUNDUP(X22/AL3,0)),IF(X22&gt;0,1,))*C22/50*0.5</f>
        <v>0</v>
      </c>
      <c r="AR22" s="142">
        <f>IF(AC22&gt;=AL1,ROUNDDOWN(AC22/AL1,0),IF(AC22&gt;0,1,))*C22/50</f>
        <v>0</v>
      </c>
      <c r="AS22" s="142">
        <f>IF(AD22&gt;=AM1,MAX(ROUNDDOWN(AD22/AM1,0),ROUNDUP(AD22/AL3,0)),IF(AD22&gt;0,1,))*C22/50*0.5</f>
        <v>0</v>
      </c>
      <c r="AT22" s="445">
        <f t="shared" si="12"/>
        <v>0</v>
      </c>
      <c r="AU22" s="445">
        <f t="shared" si="13"/>
        <v>0</v>
      </c>
      <c r="AV22" s="445">
        <f t="shared" si="14"/>
        <v>0</v>
      </c>
      <c r="AW22" s="445">
        <f t="shared" si="15"/>
        <v>0</v>
      </c>
      <c r="AX22" s="445">
        <f t="shared" si="16"/>
        <v>0</v>
      </c>
      <c r="AY22" s="445">
        <f t="shared" si="17"/>
        <v>0</v>
      </c>
      <c r="AZ22" s="445">
        <f t="shared" si="18"/>
        <v>0</v>
      </c>
      <c r="BA22" s="445">
        <f t="shared" si="19"/>
        <v>0</v>
      </c>
      <c r="BB22" s="445">
        <f t="shared" si="20"/>
        <v>0</v>
      </c>
      <c r="BC22" s="445">
        <f t="shared" si="21"/>
        <v>0</v>
      </c>
      <c r="BD22" s="446">
        <f t="shared" si="22"/>
        <v>0</v>
      </c>
      <c r="BE22" s="446">
        <f t="shared" si="22"/>
        <v>0</v>
      </c>
      <c r="BF22" s="446">
        <f t="shared" si="23"/>
        <v>0</v>
      </c>
      <c r="BG22" s="446">
        <f t="shared" si="23"/>
        <v>0</v>
      </c>
      <c r="BH22" s="446">
        <f t="shared" si="24"/>
        <v>0</v>
      </c>
      <c r="BI22" s="446">
        <f t="shared" si="24"/>
        <v>0</v>
      </c>
      <c r="BJ22" s="446">
        <f t="shared" si="25"/>
        <v>0</v>
      </c>
      <c r="BK22" s="446">
        <f t="shared" si="25"/>
        <v>0</v>
      </c>
      <c r="BL22" s="446">
        <f t="shared" si="26"/>
        <v>0</v>
      </c>
      <c r="BM22" s="446">
        <f t="shared" si="26"/>
        <v>0</v>
      </c>
      <c r="BN22" s="480">
        <f t="shared" si="29"/>
        <v>0</v>
      </c>
    </row>
    <row r="23" spans="1:66" ht="18" x14ac:dyDescent="0.25">
      <c r="A23" s="196">
        <f t="shared" si="27"/>
        <v>0</v>
      </c>
      <c r="B23" s="197">
        <f t="shared" si="28"/>
        <v>0</v>
      </c>
      <c r="C23" s="189">
        <f t="shared" si="0"/>
        <v>0</v>
      </c>
      <c r="D23" s="189">
        <f t="shared" si="1"/>
        <v>0</v>
      </c>
      <c r="E23" s="447"/>
      <c r="F23" s="448"/>
      <c r="G23" s="449">
        <f t="shared" si="2"/>
        <v>0</v>
      </c>
      <c r="H23" s="450">
        <f t="shared" si="2"/>
        <v>0</v>
      </c>
      <c r="I23" s="451">
        <f t="shared" si="3"/>
        <v>0</v>
      </c>
      <c r="J23" s="192"/>
      <c r="K23" s="447"/>
      <c r="L23" s="448"/>
      <c r="M23" s="449">
        <f t="shared" si="4"/>
        <v>0</v>
      </c>
      <c r="N23" s="450">
        <f t="shared" si="4"/>
        <v>0</v>
      </c>
      <c r="O23" s="451">
        <f t="shared" si="5"/>
        <v>0</v>
      </c>
      <c r="P23" s="193"/>
      <c r="Q23" s="447"/>
      <c r="R23" s="448"/>
      <c r="S23" s="449">
        <f t="shared" si="6"/>
        <v>0</v>
      </c>
      <c r="T23" s="450">
        <f t="shared" si="6"/>
        <v>0</v>
      </c>
      <c r="U23" s="451">
        <f t="shared" si="7"/>
        <v>0</v>
      </c>
      <c r="V23" s="193"/>
      <c r="W23" s="447"/>
      <c r="X23" s="448"/>
      <c r="Y23" s="449">
        <f t="shared" si="8"/>
        <v>0</v>
      </c>
      <c r="Z23" s="450">
        <f t="shared" si="8"/>
        <v>0</v>
      </c>
      <c r="AA23" s="451">
        <f t="shared" si="9"/>
        <v>0</v>
      </c>
      <c r="AB23" s="193"/>
      <c r="AC23" s="447"/>
      <c r="AD23" s="448"/>
      <c r="AE23" s="449">
        <f t="shared" si="10"/>
        <v>0</v>
      </c>
      <c r="AF23" s="450">
        <f t="shared" si="10"/>
        <v>0</v>
      </c>
      <c r="AG23" s="451">
        <f t="shared" si="11"/>
        <v>0</v>
      </c>
      <c r="AH23" s="193"/>
      <c r="AJ23" s="142">
        <f>IF(E23&gt;=AL1,ROUNDDOWN(E23/AL1,0),IF(E23&gt;0,1,))*C23/50</f>
        <v>0</v>
      </c>
      <c r="AK23" s="142">
        <f>IF(F23&gt;=AM1,MAX(ROUNDDOWN(F23/AM1,0),ROUNDUP(F23/AL3,0)),IF(F23&gt;0,1,))*C23/50*0.5</f>
        <v>0</v>
      </c>
      <c r="AL23" s="142">
        <f>IF(K23&gt;=AL1,ROUNDDOWN(K23/AL1,0),IF(K23&gt;0,1,))*C23/50</f>
        <v>0</v>
      </c>
      <c r="AM23" s="142">
        <f>IF(L23&gt;=AM1,MAX(ROUNDDOWN(L23/AM1,0),ROUNDUP(L23/AL3,0)),IF(L23&gt;0,1,))*C23/50*0.5</f>
        <v>0</v>
      </c>
      <c r="AN23" s="142">
        <f>IF(Q23&gt;=AL1,ROUNDDOWN(Q23/AL1,0),IF(Q23&gt;0,1,))*C23/50</f>
        <v>0</v>
      </c>
      <c r="AO23" s="142">
        <f>IF(R23&gt;=AM1,MAX(ROUNDDOWN(R23/AM1,0),ROUNDUP(R23/AL3,0)),IF(R23&gt;0,1,))*C23/50*0.5</f>
        <v>0</v>
      </c>
      <c r="AP23" s="142">
        <f>IF(W23&gt;=AL1,ROUNDDOWN(W23/AL1,0),IF(W23&gt;0,1,))*C23/50</f>
        <v>0</v>
      </c>
      <c r="AQ23" s="142">
        <f>IF(X23&gt;=AM1,MAX(ROUNDDOWN(X23/AM1,0),ROUNDUP(X23/AL3,0)),IF(X23&gt;0,1,))*C23/50*0.5</f>
        <v>0</v>
      </c>
      <c r="AR23" s="142">
        <f>IF(AC23&gt;=AL1,ROUNDDOWN(AC23/AL1,0),IF(AC23&gt;0,1,))*C23/50</f>
        <v>0</v>
      </c>
      <c r="AS23" s="142">
        <f>IF(AD23&gt;=AM1,MAX(ROUNDDOWN(AD23/AM1,0),ROUNDUP(AD23/AL3,0)),IF(AD23&gt;0,1,))*C23/50*0.5</f>
        <v>0</v>
      </c>
      <c r="AT23" s="445">
        <f t="shared" si="12"/>
        <v>0</v>
      </c>
      <c r="AU23" s="445">
        <f t="shared" si="13"/>
        <v>0</v>
      </c>
      <c r="AV23" s="445">
        <f t="shared" si="14"/>
        <v>0</v>
      </c>
      <c r="AW23" s="445">
        <f t="shared" si="15"/>
        <v>0</v>
      </c>
      <c r="AX23" s="445">
        <f t="shared" si="16"/>
        <v>0</v>
      </c>
      <c r="AY23" s="445">
        <f t="shared" si="17"/>
        <v>0</v>
      </c>
      <c r="AZ23" s="445">
        <f t="shared" si="18"/>
        <v>0</v>
      </c>
      <c r="BA23" s="445">
        <f t="shared" si="19"/>
        <v>0</v>
      </c>
      <c r="BB23" s="445">
        <f t="shared" si="20"/>
        <v>0</v>
      </c>
      <c r="BC23" s="445">
        <f t="shared" si="21"/>
        <v>0</v>
      </c>
      <c r="BD23" s="446">
        <f t="shared" si="22"/>
        <v>0</v>
      </c>
      <c r="BE23" s="446">
        <f t="shared" si="22"/>
        <v>0</v>
      </c>
      <c r="BF23" s="446">
        <f t="shared" si="23"/>
        <v>0</v>
      </c>
      <c r="BG23" s="446">
        <f t="shared" si="23"/>
        <v>0</v>
      </c>
      <c r="BH23" s="446">
        <f t="shared" si="24"/>
        <v>0</v>
      </c>
      <c r="BI23" s="446">
        <f t="shared" si="24"/>
        <v>0</v>
      </c>
      <c r="BJ23" s="446">
        <f t="shared" si="25"/>
        <v>0</v>
      </c>
      <c r="BK23" s="446">
        <f t="shared" si="25"/>
        <v>0</v>
      </c>
      <c r="BL23" s="446">
        <f t="shared" si="26"/>
        <v>0</v>
      </c>
      <c r="BM23" s="446">
        <f t="shared" si="26"/>
        <v>0</v>
      </c>
      <c r="BN23" s="480">
        <f t="shared" si="29"/>
        <v>0</v>
      </c>
    </row>
    <row r="24" spans="1:66" ht="23.25" x14ac:dyDescent="0.35">
      <c r="E24" s="143">
        <f>SUM(E14:E23)</f>
        <v>0</v>
      </c>
      <c r="F24" s="452">
        <f>SUM(F14:F23)</f>
        <v>0</v>
      </c>
      <c r="G24" s="144">
        <f>SUM(G14:G23)</f>
        <v>0</v>
      </c>
      <c r="H24" s="144">
        <f>SUM(H14:H23)</f>
        <v>0</v>
      </c>
      <c r="I24" s="453">
        <f>SUM(I14:I23)</f>
        <v>0</v>
      </c>
      <c r="J24" s="454"/>
      <c r="K24" s="452">
        <f>SUM(K14:K23)</f>
        <v>0</v>
      </c>
      <c r="L24" s="452">
        <f>SUM(L14:L23)</f>
        <v>0</v>
      </c>
      <c r="M24" s="144">
        <f>SUM(M14:M23)</f>
        <v>0</v>
      </c>
      <c r="N24" s="144">
        <f>SUM(N14:N23)</f>
        <v>0</v>
      </c>
      <c r="O24" s="453">
        <f>SUM(O14:O23)</f>
        <v>0</v>
      </c>
      <c r="P24" s="455"/>
      <c r="Q24" s="452">
        <f>SUM(Q14:Q23)</f>
        <v>0</v>
      </c>
      <c r="R24" s="452">
        <f>SUM(R14:R23)</f>
        <v>0</v>
      </c>
      <c r="S24" s="144">
        <f>SUM(S14:S23)</f>
        <v>0</v>
      </c>
      <c r="T24" s="144">
        <f>SUM(T14:T23)</f>
        <v>0</v>
      </c>
      <c r="U24" s="453">
        <f>SUM(U14:U23)</f>
        <v>0</v>
      </c>
      <c r="V24" s="455"/>
      <c r="W24" s="452">
        <f>SUM(W14:W23)</f>
        <v>0</v>
      </c>
      <c r="X24" s="452">
        <f>SUM(X14:X23)</f>
        <v>0</v>
      </c>
      <c r="Y24" s="144">
        <f>SUM(Y14:Y23)</f>
        <v>0</v>
      </c>
      <c r="Z24" s="144">
        <f>SUM(Z14:Z23)</f>
        <v>0</v>
      </c>
      <c r="AA24" s="453">
        <f>SUM(AA14:AA23)</f>
        <v>0</v>
      </c>
      <c r="AB24" s="455"/>
      <c r="AC24" s="452">
        <f>SUM(AC14:AC23)</f>
        <v>0</v>
      </c>
      <c r="AD24" s="452">
        <f>SUM(AD14:AD23)</f>
        <v>0</v>
      </c>
      <c r="AE24" s="144">
        <f>SUM(AE14:AE23)</f>
        <v>0</v>
      </c>
      <c r="AF24" s="144">
        <f>SUM(AF14:AF23)</f>
        <v>0</v>
      </c>
      <c r="AG24" s="453">
        <f>SUM(AG14:AG23)</f>
        <v>0</v>
      </c>
      <c r="AH24" s="455"/>
      <c r="AI24" s="145"/>
      <c r="AJ24" s="146">
        <f>E24+K24+Q24+W24+AC24</f>
        <v>0</v>
      </c>
      <c r="AK24" s="146">
        <f>F24+L24+R24+X24+AD24</f>
        <v>0</v>
      </c>
      <c r="AL24" s="147">
        <f>I24+O24+U24+AA24+AG24</f>
        <v>0</v>
      </c>
      <c r="AM24" s="147">
        <f>H24+N24+T24+Z24+AF24</f>
        <v>0</v>
      </c>
      <c r="AN24" s="147">
        <f>AL24+AM24</f>
        <v>0</v>
      </c>
      <c r="AO24" s="147">
        <f>ROUND(IF(AN24&gt;AN7,AN7,AN24),2)</f>
        <v>0</v>
      </c>
      <c r="AP24" s="148">
        <f>IF(AL24&gt;AO24,AO24,AL24)</f>
        <v>0</v>
      </c>
      <c r="AQ24" s="149">
        <f>AO24-AP24</f>
        <v>0</v>
      </c>
      <c r="AT24" s="456">
        <f>SUM(AT14:AT22,AV14:AV22,AX14:AX22,AZ14:AZ22,BB14:BB22)</f>
        <v>0</v>
      </c>
      <c r="AU24" s="456" t="s">
        <v>272</v>
      </c>
      <c r="AV24" s="445"/>
      <c r="AW24" s="457"/>
      <c r="AX24" s="457"/>
      <c r="AY24" s="457"/>
      <c r="AZ24" s="457"/>
      <c r="BA24" s="457"/>
      <c r="BB24" s="457"/>
      <c r="BC24" s="457"/>
      <c r="BD24" s="446">
        <f t="shared" ref="BD24:BM24" si="30">SUM(BD14:BD23)</f>
        <v>0</v>
      </c>
      <c r="BE24" s="446">
        <f t="shared" si="30"/>
        <v>0</v>
      </c>
      <c r="BF24" s="446">
        <f t="shared" si="30"/>
        <v>0</v>
      </c>
      <c r="BG24" s="446">
        <f t="shared" si="30"/>
        <v>0</v>
      </c>
      <c r="BH24" s="446">
        <f t="shared" si="30"/>
        <v>0</v>
      </c>
      <c r="BI24" s="446">
        <f t="shared" si="30"/>
        <v>0</v>
      </c>
      <c r="BJ24" s="446">
        <f t="shared" si="30"/>
        <v>0</v>
      </c>
      <c r="BK24" s="446">
        <f t="shared" si="30"/>
        <v>0</v>
      </c>
      <c r="BL24" s="446">
        <f t="shared" si="30"/>
        <v>0</v>
      </c>
      <c r="BM24" s="446">
        <f t="shared" si="30"/>
        <v>0</v>
      </c>
      <c r="BN24" s="480">
        <f>SUM(BN14:BN23)</f>
        <v>0</v>
      </c>
    </row>
    <row r="25" spans="1:66" ht="10.5" customHeight="1" x14ac:dyDescent="0.3">
      <c r="A25" s="458"/>
      <c r="B25" s="459"/>
      <c r="C25" s="459"/>
      <c r="D25" s="460" t="s">
        <v>82</v>
      </c>
      <c r="E25" s="459"/>
      <c r="F25" s="461">
        <f>E24+F24</f>
        <v>0</v>
      </c>
      <c r="G25" s="461">
        <f>AJ28+AK28*2</f>
        <v>0</v>
      </c>
      <c r="H25" s="461"/>
      <c r="I25" s="461"/>
      <c r="J25" s="462"/>
      <c r="K25" s="460"/>
      <c r="L25" s="461">
        <f>K24+L24</f>
        <v>0</v>
      </c>
      <c r="M25" s="461">
        <f>AL28+AM28*2</f>
        <v>0</v>
      </c>
      <c r="N25" s="460"/>
      <c r="O25" s="460"/>
      <c r="P25" s="461"/>
      <c r="Q25" s="460"/>
      <c r="R25" s="461">
        <f>Q24+R24</f>
        <v>0</v>
      </c>
      <c r="S25" s="461">
        <f>AN28+AO28*2</f>
        <v>0</v>
      </c>
      <c r="T25" s="460"/>
      <c r="U25" s="460"/>
      <c r="V25" s="461"/>
      <c r="W25" s="460"/>
      <c r="X25" s="461">
        <f>W24+X24</f>
        <v>0</v>
      </c>
      <c r="Y25" s="461">
        <f>AP28+AQ28*2</f>
        <v>0</v>
      </c>
      <c r="Z25" s="460"/>
      <c r="AA25" s="460"/>
      <c r="AB25" s="461"/>
      <c r="AC25" s="460"/>
      <c r="AD25" s="461">
        <f>AC24+AD24</f>
        <v>0</v>
      </c>
      <c r="AE25" s="461">
        <f>AR28+AS28*2</f>
        <v>0</v>
      </c>
      <c r="AF25" s="460"/>
      <c r="AG25" s="460"/>
      <c r="AH25" s="461"/>
      <c r="AI25" s="419"/>
      <c r="AJ25" s="419"/>
      <c r="AK25" s="150">
        <f>F25+L25+R25+X25+AD25</f>
        <v>0</v>
      </c>
      <c r="AL25" s="150">
        <f>G25+M25+S25+Y25+AE25</f>
        <v>0</v>
      </c>
      <c r="AM25" s="419"/>
      <c r="AN25" s="419"/>
      <c r="AO25" s="419"/>
      <c r="AP25" s="419"/>
      <c r="AQ25" s="151" t="s">
        <v>273</v>
      </c>
      <c r="AR25" s="419"/>
      <c r="AS25" s="419"/>
      <c r="AT25" s="456">
        <f>SUM(AU14:AU22,AW14:AW22,AY14:AY22,BA14:BA22,BC14:BC22)</f>
        <v>0</v>
      </c>
      <c r="AU25" s="456" t="s">
        <v>274</v>
      </c>
      <c r="BD25" s="446">
        <f>SUM(BD14:BD22,BF14:BF22,BH14:BH22,BJ14:BJ22,BL14:BL22)</f>
        <v>0</v>
      </c>
      <c r="BE25" s="446" t="s">
        <v>275</v>
      </c>
    </row>
    <row r="26" spans="1:66" ht="36.75" customHeight="1" x14ac:dyDescent="0.55000000000000004">
      <c r="A26" s="463">
        <f>IF(AN24&gt;AO24,AN24,)</f>
        <v>0</v>
      </c>
      <c r="B26" s="459"/>
      <c r="C26" s="459"/>
      <c r="D26" s="464"/>
      <c r="E26" s="459"/>
      <c r="F26" s="459"/>
      <c r="G26" s="459"/>
      <c r="H26" s="459"/>
      <c r="I26" s="459"/>
      <c r="J26" s="459"/>
      <c r="K26" s="152">
        <f>IF(AK25&gt;0,"Zusammengezählt werden "&amp;AK25&amp;" Schüler in  "&amp;AL25&amp;" Gruppen geführt  ",)</f>
        <v>0</v>
      </c>
      <c r="L26" s="465">
        <f>IF(AN24&gt;0,"&gt;="&amp;ROUND(AQ44/2,1),)</f>
        <v>0</v>
      </c>
      <c r="M26" s="466"/>
      <c r="N26" s="827">
        <f>IF(BN24=1,BN24&amp;" Einheit dauert unter "&amp;BN12&amp;" Minuten!
 Rücksprache mit Präs/3 halten!",IF(BN24&gt;1,BN24&amp;" Einheiten dauern unter "&amp;BN12&amp;" Minuten!
 Rücksprache mit Präs/3 halten!",))</f>
        <v>0</v>
      </c>
      <c r="O26" s="827"/>
      <c r="P26" s="827"/>
      <c r="Q26" s="827"/>
      <c r="R26" s="828"/>
      <c r="S26" s="814" t="str">
        <f>IF(OR(AK25&gt;0,H30&gt;0),"… über 5 Wochentage im Durch-  
  schnitt mit "&amp;BD29&amp;" Gruppen",)&amp;IF(H30&gt;0,"
davon "&amp;H30&amp;" in verschr. Klassen",)</f>
        <v/>
      </c>
      <c r="T26" s="815"/>
      <c r="U26" s="815"/>
      <c r="V26" s="815"/>
      <c r="W26" s="815"/>
      <c r="X26" s="816"/>
      <c r="Y26" s="419"/>
      <c r="Z26" s="419"/>
      <c r="AA26" s="419"/>
      <c r="AB26" s="419"/>
      <c r="AC26" s="419"/>
      <c r="AD26" s="419"/>
      <c r="AE26" s="419"/>
      <c r="AF26" s="152">
        <f>IF(A27&gt;0,"bei max. "&amp;AI26&amp;" LZGrup",)</f>
        <v>0</v>
      </c>
      <c r="AG26" s="152"/>
      <c r="AH26" s="419"/>
      <c r="AI26" s="388">
        <f>MAX(MAX(AJ30:AJ39,AL30:AL39,AN30:AN39,AP30:AP39,AR30:AR39),MAX(AK30:AK39,AM30:AM39,AO30:AO39,AQ30:AQ39,AS30:AS39)*2)</f>
        <v>0</v>
      </c>
      <c r="AJ26" s="419"/>
      <c r="AK26" s="153">
        <f>IF(AK25&gt;0,ROUND(AK25/AL25,1),)</f>
        <v>0</v>
      </c>
      <c r="AL26" s="154">
        <f>SUM(AJ27:AS27)</f>
        <v>0</v>
      </c>
      <c r="AM26" s="419"/>
      <c r="AN26" s="419"/>
      <c r="AO26" s="155">
        <f>IF(D40&gt;0,AI41+H30,)</f>
        <v>0</v>
      </c>
      <c r="AP26" s="156">
        <f>ROUND(AO26,0)</f>
        <v>0</v>
      </c>
      <c r="AQ26" s="151">
        <f>INT(AP26/2)</f>
        <v>0</v>
      </c>
      <c r="AR26" s="157">
        <f>ROUNDUP(AP26/2,0)</f>
        <v>0</v>
      </c>
      <c r="AS26" s="419"/>
      <c r="BD26" s="446">
        <f>SUM(BE14:BE22,BG14:BG22,BI14:BI22,BK14:BK22,BM14:BM22)</f>
        <v>0</v>
      </c>
      <c r="BE26" s="446" t="s">
        <v>276</v>
      </c>
    </row>
    <row r="27" spans="1:66" ht="18.75" x14ac:dyDescent="0.3">
      <c r="A27" s="817">
        <f>IF(SUM(I24,O24,U24,AA24,AG24)&lt;AO24,SUM(I24,O24,U24,AA24,AG24),AO24)</f>
        <v>0</v>
      </c>
      <c r="B27" s="817"/>
      <c r="C27" s="419"/>
      <c r="D27" s="467">
        <f>IF(AND(AK25&gt;0,AM24&gt;0),"  (umgerechnete) Wochenstden sind somit tatsächlich über die Lehrerbesoldung bei pr3 verrechenbar.",IF(AK25&gt;0,"  Wochenstunden sind somit tatsächlich über die Lehrerbesoldung bei pr3 verrechenbar.",))</f>
        <v>0</v>
      </c>
      <c r="E27" s="199"/>
      <c r="F27" s="419"/>
      <c r="G27" s="419"/>
      <c r="H27" s="419"/>
      <c r="I27" s="419"/>
      <c r="J27" s="419"/>
      <c r="K27" s="419"/>
      <c r="L27" s="419"/>
      <c r="M27" s="419"/>
      <c r="N27" s="419"/>
      <c r="O27" s="419"/>
      <c r="P27" s="419"/>
      <c r="Q27" s="419"/>
      <c r="R27" s="467"/>
      <c r="S27" s="468">
        <f>IF(AN24&gt;0,"Davon "&amp;AM24&amp;" ILZ ",)</f>
        <v>0</v>
      </c>
      <c r="X27" s="419"/>
      <c r="Y27" s="419"/>
      <c r="Z27" s="419"/>
      <c r="AA27" s="419"/>
      <c r="AB27" s="419"/>
      <c r="AC27" s="419"/>
      <c r="AD27" s="159">
        <f ca="1">TODAY()</f>
        <v>45366</v>
      </c>
      <c r="AE27" s="160"/>
      <c r="AF27" s="160"/>
      <c r="AG27" s="160"/>
      <c r="AH27" s="419"/>
      <c r="AI27" s="419"/>
      <c r="AJ27" s="419"/>
      <c r="AK27" s="161">
        <f>IF((AJ28+AK28)&gt;0,1,)</f>
        <v>0</v>
      </c>
      <c r="AL27" s="162"/>
      <c r="AM27" s="161">
        <f>IF((AL28+AM28)&gt;0,1,)</f>
        <v>0</v>
      </c>
      <c r="AN27" s="162"/>
      <c r="AO27" s="161">
        <f>IF((AN28+AO28)&gt;0,1,)</f>
        <v>0</v>
      </c>
      <c r="AP27" s="162"/>
      <c r="AQ27" s="161">
        <f>IF((AP28+AQ28)&gt;0,1,)</f>
        <v>0</v>
      </c>
      <c r="AR27" s="162"/>
      <c r="AS27" s="161">
        <f>IF((AR28+AS28)&gt;0,1,)</f>
        <v>0</v>
      </c>
      <c r="BD27" s="446">
        <f>H30*5</f>
        <v>0</v>
      </c>
      <c r="BE27" s="446" t="s">
        <v>277</v>
      </c>
    </row>
    <row r="28" spans="1:66" ht="18.75" x14ac:dyDescent="0.3">
      <c r="A28" s="818">
        <f>IF(SUM(I24,O24,U24,AA24,AG24)&gt;A27,SUM(I24,O24,U24,AA24,AG24),)</f>
        <v>0</v>
      </c>
      <c r="B28" s="818"/>
      <c r="C28" s="419"/>
      <c r="D28" s="199">
        <f>IF(A28&lt;A27,,IF(AND(AK25&gt;0,AM24&gt;0),"  (umgerechnete) Wochenstunden werden aufgrund der Gruppenbildung vergeben.",IF(AK25&gt;0,"  Wochenstunden werden aufgrund der Gruppenbildung vergeben.",)))</f>
        <v>0</v>
      </c>
      <c r="E28" s="419"/>
      <c r="F28" s="419"/>
      <c r="G28" s="419"/>
      <c r="H28" s="419"/>
      <c r="I28" s="419"/>
      <c r="J28" s="419"/>
      <c r="K28" s="419"/>
      <c r="R28" s="419"/>
      <c r="S28" s="198">
        <f>IF(AND(AM24=0,S27&lt;&gt;0),"&gt;&gt;&gt; dazu braucht es eine aktuelle Befragung u. Entscheidung!",)</f>
        <v>0</v>
      </c>
      <c r="U28" s="469"/>
      <c r="V28" s="469"/>
      <c r="W28" s="469"/>
      <c r="X28" s="469"/>
      <c r="Y28" s="469"/>
      <c r="Z28" s="469"/>
      <c r="AA28" s="199"/>
      <c r="AB28" s="199"/>
      <c r="AC28" s="199"/>
      <c r="AD28" s="470"/>
      <c r="AE28" s="180" t="s">
        <v>83</v>
      </c>
      <c r="AF28" s="470"/>
      <c r="AG28" s="471"/>
      <c r="AH28" s="199"/>
      <c r="AI28" s="419"/>
      <c r="AJ28" s="163">
        <f t="shared" ref="AJ28:AS28" si="31">SUM(AJ30:AJ39)</f>
        <v>0</v>
      </c>
      <c r="AK28" s="163">
        <f t="shared" si="31"/>
        <v>0</v>
      </c>
      <c r="AL28" s="163">
        <f t="shared" si="31"/>
        <v>0</v>
      </c>
      <c r="AM28" s="163">
        <f t="shared" si="31"/>
        <v>0</v>
      </c>
      <c r="AN28" s="163">
        <f t="shared" si="31"/>
        <v>0</v>
      </c>
      <c r="AO28" s="163">
        <f t="shared" si="31"/>
        <v>0</v>
      </c>
      <c r="AP28" s="163">
        <f t="shared" si="31"/>
        <v>0</v>
      </c>
      <c r="AQ28" s="163">
        <f t="shared" si="31"/>
        <v>0</v>
      </c>
      <c r="AR28" s="163">
        <f t="shared" si="31"/>
        <v>0</v>
      </c>
      <c r="AS28" s="163">
        <f t="shared" si="31"/>
        <v>0</v>
      </c>
      <c r="BD28" s="445">
        <f>SUM(BD25:BD27)/5</f>
        <v>0</v>
      </c>
      <c r="BE28" s="419" t="s">
        <v>278</v>
      </c>
    </row>
    <row r="29" spans="1:66" ht="18.75" customHeight="1" x14ac:dyDescent="0.3">
      <c r="A29" s="805">
        <f>IF(A28-A27&gt;0,A28-A27,)</f>
        <v>0</v>
      </c>
      <c r="B29" s="805"/>
      <c r="C29" s="419"/>
      <c r="D29" s="199">
        <f>IF(A28&lt;A27,,IF(AND(AK26&gt;0,AM25&gt;0),"  (umgerechnete) Wochenstunden werden somit vom Grundkonti abgezogen.",IF(AK26&gt;0,"  Wochenstunden werden somit vom Grundkonti abegezogen.",)))</f>
        <v>0</v>
      </c>
      <c r="E29" s="419"/>
      <c r="F29" s="419"/>
      <c r="G29" s="419"/>
      <c r="H29" s="419"/>
      <c r="I29" s="419"/>
      <c r="J29" s="419"/>
      <c r="K29" s="419"/>
      <c r="R29" s="419"/>
      <c r="S29" s="469"/>
      <c r="T29" s="198"/>
      <c r="U29" s="469"/>
      <c r="V29" s="469"/>
      <c r="W29" s="469"/>
      <c r="X29" s="469"/>
      <c r="Y29" s="469"/>
      <c r="Z29" s="469"/>
      <c r="AA29" s="199"/>
      <c r="AB29" s="199"/>
      <c r="AC29" s="199"/>
      <c r="AD29" s="471"/>
      <c r="AE29" s="472"/>
      <c r="AF29" s="471"/>
      <c r="AG29" s="471"/>
      <c r="AH29" s="199"/>
      <c r="AI29" s="419"/>
      <c r="AJ29" s="163"/>
      <c r="AK29" s="163"/>
      <c r="AL29" s="163"/>
      <c r="AM29" s="163"/>
      <c r="AN29" s="163"/>
      <c r="AO29" s="163"/>
      <c r="AP29" s="163"/>
      <c r="AQ29" s="163"/>
      <c r="AR29" s="163"/>
      <c r="AS29" s="163"/>
      <c r="BD29" s="445">
        <f>ROUNDUP(BD28,0)</f>
        <v>0</v>
      </c>
      <c r="BE29" s="419" t="s">
        <v>279</v>
      </c>
    </row>
    <row r="30" spans="1:66" ht="23.25" x14ac:dyDescent="0.35">
      <c r="A30" s="479" t="s">
        <v>84</v>
      </c>
      <c r="B30" s="200"/>
      <c r="G30" s="201" t="str">
        <f>IF(H30&gt;0,"und zwar in","")</f>
        <v/>
      </c>
      <c r="H30" s="202"/>
      <c r="I30" s="203" t="str">
        <f>IF(H30&gt;0,"KL mit","")</f>
        <v/>
      </c>
      <c r="J30" s="201"/>
      <c r="K30" s="202"/>
      <c r="L30" s="100" t="str">
        <f>IF(K30&gt;0," anrechenbaren Wochenstunden für Lernzeiten","")</f>
        <v/>
      </c>
      <c r="O30" s="204"/>
      <c r="AJ30" s="163">
        <f t="shared" ref="AJ30:AK39" si="32">IF(E14&gt;0,ROUND(G14*50/$C14,1),)</f>
        <v>0</v>
      </c>
      <c r="AK30" s="163">
        <f t="shared" si="32"/>
        <v>0</v>
      </c>
      <c r="AL30" s="163">
        <f t="shared" ref="AL30:AM39" si="33">IF(K14&gt;0,ROUND(M14*50/$C14,1),)</f>
        <v>0</v>
      </c>
      <c r="AM30" s="163">
        <f t="shared" si="33"/>
        <v>0</v>
      </c>
      <c r="AN30" s="163">
        <f t="shared" ref="AN30:AO39" si="34">IF(Q14&gt;0,ROUND(S14*50/$C14,1),)</f>
        <v>0</v>
      </c>
      <c r="AO30" s="163">
        <f t="shared" si="34"/>
        <v>0</v>
      </c>
      <c r="AP30" s="163">
        <f t="shared" ref="AP30:AQ39" si="35">IF(W14&gt;0,ROUND(Y14*50/$C14,1),)</f>
        <v>0</v>
      </c>
      <c r="AQ30" s="163">
        <f t="shared" si="35"/>
        <v>0</v>
      </c>
      <c r="AR30" s="163">
        <f t="shared" ref="AR30:AS39" si="36">IF(AC14&gt;0,ROUND(AE14*50/$C14,1),)</f>
        <v>0</v>
      </c>
      <c r="AS30" s="163">
        <f t="shared" si="36"/>
        <v>0</v>
      </c>
      <c r="BD30" s="445">
        <f>ROUNDUP(BD28/2,0)</f>
        <v>0</v>
      </c>
      <c r="BE30" s="419" t="s">
        <v>280</v>
      </c>
    </row>
    <row r="31" spans="1:66" hidden="1" x14ac:dyDescent="0.25">
      <c r="AJ31" s="163">
        <f t="shared" si="32"/>
        <v>0</v>
      </c>
      <c r="AK31" s="163">
        <f t="shared" si="32"/>
        <v>0</v>
      </c>
      <c r="AL31" s="163">
        <f t="shared" si="33"/>
        <v>0</v>
      </c>
      <c r="AM31" s="163">
        <f t="shared" si="33"/>
        <v>0</v>
      </c>
      <c r="AN31" s="163">
        <f t="shared" si="34"/>
        <v>0</v>
      </c>
      <c r="AO31" s="163">
        <f t="shared" si="34"/>
        <v>0</v>
      </c>
      <c r="AP31" s="163">
        <f t="shared" si="35"/>
        <v>0</v>
      </c>
      <c r="AQ31" s="163">
        <f t="shared" si="35"/>
        <v>0</v>
      </c>
      <c r="AR31" s="163">
        <f t="shared" si="36"/>
        <v>0</v>
      </c>
      <c r="AS31" s="163">
        <f t="shared" si="36"/>
        <v>0</v>
      </c>
    </row>
    <row r="32" spans="1:66" hidden="1" x14ac:dyDescent="0.25">
      <c r="AJ32" s="163">
        <f t="shared" si="32"/>
        <v>0</v>
      </c>
      <c r="AK32" s="163">
        <f t="shared" si="32"/>
        <v>0</v>
      </c>
      <c r="AL32" s="163">
        <f t="shared" si="33"/>
        <v>0</v>
      </c>
      <c r="AM32" s="163">
        <f t="shared" si="33"/>
        <v>0</v>
      </c>
      <c r="AN32" s="163">
        <f t="shared" si="34"/>
        <v>0</v>
      </c>
      <c r="AO32" s="163">
        <f t="shared" si="34"/>
        <v>0</v>
      </c>
      <c r="AP32" s="163">
        <f t="shared" si="35"/>
        <v>0</v>
      </c>
      <c r="AQ32" s="163">
        <f t="shared" si="35"/>
        <v>0</v>
      </c>
      <c r="AR32" s="163">
        <f t="shared" si="36"/>
        <v>0</v>
      </c>
      <c r="AS32" s="163">
        <f t="shared" si="36"/>
        <v>0</v>
      </c>
    </row>
    <row r="33" spans="1:45" hidden="1" x14ac:dyDescent="0.25">
      <c r="AJ33" s="163">
        <f t="shared" si="32"/>
        <v>0</v>
      </c>
      <c r="AK33" s="163">
        <f t="shared" si="32"/>
        <v>0</v>
      </c>
      <c r="AL33" s="163">
        <f t="shared" si="33"/>
        <v>0</v>
      </c>
      <c r="AM33" s="163">
        <f t="shared" si="33"/>
        <v>0</v>
      </c>
      <c r="AN33" s="163">
        <f t="shared" si="34"/>
        <v>0</v>
      </c>
      <c r="AO33" s="163">
        <f t="shared" si="34"/>
        <v>0</v>
      </c>
      <c r="AP33" s="163">
        <f t="shared" si="35"/>
        <v>0</v>
      </c>
      <c r="AQ33" s="163">
        <f t="shared" si="35"/>
        <v>0</v>
      </c>
      <c r="AR33" s="163">
        <f t="shared" si="36"/>
        <v>0</v>
      </c>
      <c r="AS33" s="163">
        <f t="shared" si="36"/>
        <v>0</v>
      </c>
    </row>
    <row r="34" spans="1:45" hidden="1" x14ac:dyDescent="0.25">
      <c r="AJ34" s="163">
        <f t="shared" si="32"/>
        <v>0</v>
      </c>
      <c r="AK34" s="163">
        <f t="shared" si="32"/>
        <v>0</v>
      </c>
      <c r="AL34" s="163">
        <f t="shared" si="33"/>
        <v>0</v>
      </c>
      <c r="AM34" s="163">
        <f t="shared" si="33"/>
        <v>0</v>
      </c>
      <c r="AN34" s="163">
        <f t="shared" si="34"/>
        <v>0</v>
      </c>
      <c r="AO34" s="163">
        <f t="shared" si="34"/>
        <v>0</v>
      </c>
      <c r="AP34" s="163">
        <f t="shared" si="35"/>
        <v>0</v>
      </c>
      <c r="AQ34" s="163">
        <f t="shared" si="35"/>
        <v>0</v>
      </c>
      <c r="AR34" s="163">
        <f t="shared" si="36"/>
        <v>0</v>
      </c>
      <c r="AS34" s="163">
        <f t="shared" si="36"/>
        <v>0</v>
      </c>
    </row>
    <row r="35" spans="1:45" hidden="1" x14ac:dyDescent="0.25">
      <c r="AJ35" s="163">
        <f t="shared" si="32"/>
        <v>0</v>
      </c>
      <c r="AK35" s="163">
        <f t="shared" si="32"/>
        <v>0</v>
      </c>
      <c r="AL35" s="163">
        <f t="shared" si="33"/>
        <v>0</v>
      </c>
      <c r="AM35" s="163">
        <f t="shared" si="33"/>
        <v>0</v>
      </c>
      <c r="AN35" s="163">
        <f t="shared" si="34"/>
        <v>0</v>
      </c>
      <c r="AO35" s="163">
        <f t="shared" si="34"/>
        <v>0</v>
      </c>
      <c r="AP35" s="163">
        <f t="shared" si="35"/>
        <v>0</v>
      </c>
      <c r="AQ35" s="163">
        <f t="shared" si="35"/>
        <v>0</v>
      </c>
      <c r="AR35" s="163">
        <f t="shared" si="36"/>
        <v>0</v>
      </c>
      <c r="AS35" s="163">
        <f t="shared" si="36"/>
        <v>0</v>
      </c>
    </row>
    <row r="36" spans="1:45" hidden="1" x14ac:dyDescent="0.25">
      <c r="AJ36" s="163">
        <f t="shared" si="32"/>
        <v>0</v>
      </c>
      <c r="AK36" s="163">
        <f t="shared" si="32"/>
        <v>0</v>
      </c>
      <c r="AL36" s="163">
        <f t="shared" si="33"/>
        <v>0</v>
      </c>
      <c r="AM36" s="163">
        <f t="shared" si="33"/>
        <v>0</v>
      </c>
      <c r="AN36" s="163">
        <f t="shared" si="34"/>
        <v>0</v>
      </c>
      <c r="AO36" s="163">
        <f t="shared" si="34"/>
        <v>0</v>
      </c>
      <c r="AP36" s="163">
        <f t="shared" si="35"/>
        <v>0</v>
      </c>
      <c r="AQ36" s="163">
        <f t="shared" si="35"/>
        <v>0</v>
      </c>
      <c r="AR36" s="163">
        <f t="shared" si="36"/>
        <v>0</v>
      </c>
      <c r="AS36" s="163">
        <f t="shared" si="36"/>
        <v>0</v>
      </c>
    </row>
    <row r="37" spans="1:45" hidden="1" x14ac:dyDescent="0.25">
      <c r="AJ37" s="163">
        <f t="shared" si="32"/>
        <v>0</v>
      </c>
      <c r="AK37" s="163">
        <f t="shared" si="32"/>
        <v>0</v>
      </c>
      <c r="AL37" s="163">
        <f t="shared" si="33"/>
        <v>0</v>
      </c>
      <c r="AM37" s="163">
        <f t="shared" si="33"/>
        <v>0</v>
      </c>
      <c r="AN37" s="163">
        <f t="shared" si="34"/>
        <v>0</v>
      </c>
      <c r="AO37" s="163">
        <f t="shared" si="34"/>
        <v>0</v>
      </c>
      <c r="AP37" s="163">
        <f t="shared" si="35"/>
        <v>0</v>
      </c>
      <c r="AQ37" s="163">
        <f t="shared" si="35"/>
        <v>0</v>
      </c>
      <c r="AR37" s="163">
        <f t="shared" si="36"/>
        <v>0</v>
      </c>
      <c r="AS37" s="163">
        <f t="shared" si="36"/>
        <v>0</v>
      </c>
    </row>
    <row r="38" spans="1:45" ht="9" customHeight="1" x14ac:dyDescent="0.25">
      <c r="AJ38" s="163">
        <f t="shared" si="32"/>
        <v>0</v>
      </c>
      <c r="AK38" s="163">
        <f t="shared" si="32"/>
        <v>0</v>
      </c>
      <c r="AL38" s="163">
        <f t="shared" si="33"/>
        <v>0</v>
      </c>
      <c r="AM38" s="163">
        <f t="shared" si="33"/>
        <v>0</v>
      </c>
      <c r="AN38" s="163">
        <f t="shared" si="34"/>
        <v>0</v>
      </c>
      <c r="AO38" s="163">
        <f t="shared" si="34"/>
        <v>0</v>
      </c>
      <c r="AP38" s="163">
        <f t="shared" si="35"/>
        <v>0</v>
      </c>
      <c r="AQ38" s="163">
        <f t="shared" si="35"/>
        <v>0</v>
      </c>
      <c r="AR38" s="163">
        <f t="shared" si="36"/>
        <v>0</v>
      </c>
      <c r="AS38" s="163">
        <f t="shared" si="36"/>
        <v>0</v>
      </c>
    </row>
    <row r="39" spans="1:45" ht="21" x14ac:dyDescent="0.35">
      <c r="A39" s="806">
        <f>K30</f>
        <v>0</v>
      </c>
      <c r="B39" s="806"/>
      <c r="C39" s="419"/>
      <c r="D39" s="164">
        <f>IF(H30&gt;0,"  für verschränkte Form",)</f>
        <v>0</v>
      </c>
      <c r="E39" s="158"/>
      <c r="H39" s="205">
        <f>IF(A39&gt;0,"   .. sofern von der BilDi genehmigt.",)</f>
        <v>0</v>
      </c>
      <c r="I39" s="205"/>
      <c r="K39" s="419"/>
      <c r="L39" s="419"/>
      <c r="M39" s="419"/>
      <c r="N39" s="419"/>
      <c r="O39" s="419"/>
      <c r="P39" s="419"/>
      <c r="Q39" s="419"/>
      <c r="R39" s="419"/>
      <c r="S39" s="206">
        <f>IF(D40&gt;0,"Beim Leiter (im Altrecht)",)</f>
        <v>0</v>
      </c>
      <c r="V39" s="419"/>
      <c r="W39" s="419"/>
      <c r="X39" s="419"/>
      <c r="AB39" s="207">
        <f>IF(BD29&gt;0,"..mit/falls "&amp;BD29&amp;" Gruppen:",)</f>
        <v>0</v>
      </c>
      <c r="AC39" s="165">
        <f>IF(BD30&gt;0,"+ "&amp;BD30&amp;" Kl. bei LeiterZulage",)</f>
        <v>0</v>
      </c>
      <c r="AD39" s="419"/>
      <c r="AE39" s="419"/>
      <c r="AF39" s="419"/>
      <c r="AG39" s="419"/>
      <c r="AH39" s="207"/>
      <c r="AI39" s="473"/>
      <c r="AJ39" s="163">
        <f t="shared" si="32"/>
        <v>0</v>
      </c>
      <c r="AK39" s="163">
        <f t="shared" si="32"/>
        <v>0</v>
      </c>
      <c r="AL39" s="163">
        <f t="shared" si="33"/>
        <v>0</v>
      </c>
      <c r="AM39" s="163">
        <f t="shared" si="33"/>
        <v>0</v>
      </c>
      <c r="AN39" s="163">
        <f t="shared" si="34"/>
        <v>0</v>
      </c>
      <c r="AO39" s="163">
        <f t="shared" si="34"/>
        <v>0</v>
      </c>
      <c r="AP39" s="163">
        <f t="shared" si="35"/>
        <v>0</v>
      </c>
      <c r="AQ39" s="163">
        <f t="shared" si="35"/>
        <v>0</v>
      </c>
      <c r="AR39" s="163">
        <f t="shared" si="36"/>
        <v>0</v>
      </c>
      <c r="AS39" s="163">
        <f t="shared" si="36"/>
        <v>0</v>
      </c>
    </row>
    <row r="40" spans="1:45" x14ac:dyDescent="0.25">
      <c r="A40" s="166" t="s">
        <v>85</v>
      </c>
      <c r="B40" s="474"/>
      <c r="C40" s="419">
        <f>IF(A39&lt;999,A39,)</f>
        <v>0</v>
      </c>
      <c r="D40" s="167">
        <f>(A27+A29)+C40</f>
        <v>0</v>
      </c>
      <c r="E40" s="168">
        <f>IF(A39&gt;0," = zusammen",)</f>
        <v>0</v>
      </c>
      <c r="F40" s="419"/>
      <c r="G40" s="419"/>
      <c r="J40" s="419"/>
      <c r="M40" s="419"/>
      <c r="N40" s="419"/>
      <c r="O40" s="419"/>
      <c r="P40" s="419"/>
      <c r="Q40" s="419"/>
      <c r="R40" s="419"/>
      <c r="S40" s="419"/>
      <c r="T40" s="419"/>
      <c r="U40" s="419"/>
      <c r="V40" s="419"/>
      <c r="W40" s="419"/>
      <c r="X40" s="419"/>
      <c r="Y40" s="419"/>
      <c r="Z40" s="419"/>
      <c r="AA40" s="419"/>
      <c r="AB40" s="419"/>
      <c r="AC40" s="419"/>
      <c r="AD40" s="419"/>
      <c r="AE40" s="419"/>
      <c r="AF40" s="169">
        <f>IF(BD29&gt;0,"[ "&amp;BD29&amp;" Gruppen /2 auf Ganze aufgerundet]",)</f>
        <v>0</v>
      </c>
      <c r="AG40" s="169"/>
      <c r="AH40" s="419"/>
      <c r="AI40" s="457"/>
      <c r="AJ40" s="419"/>
      <c r="AK40" s="419"/>
      <c r="AL40" s="419"/>
      <c r="AM40" s="419"/>
      <c r="AN40" s="419"/>
      <c r="AO40" s="419"/>
      <c r="AP40" s="419"/>
      <c r="AQ40" s="419"/>
      <c r="AR40" s="419"/>
      <c r="AS40" s="419"/>
    </row>
    <row r="41" spans="1:45" x14ac:dyDescent="0.25">
      <c r="A41" s="807"/>
      <c r="B41" s="807"/>
      <c r="C41" s="807"/>
      <c r="D41" s="807"/>
      <c r="E41" s="807"/>
      <c r="F41" s="807"/>
      <c r="G41" s="807"/>
      <c r="H41" s="807"/>
      <c r="I41" s="807"/>
      <c r="J41" s="807"/>
      <c r="K41" s="807"/>
      <c r="L41" s="807"/>
      <c r="M41" s="807"/>
      <c r="N41" s="807"/>
      <c r="O41" s="807"/>
      <c r="P41" s="807"/>
      <c r="Q41" s="807"/>
      <c r="R41" s="807"/>
      <c r="S41" s="807"/>
      <c r="T41" s="807"/>
      <c r="U41" s="807"/>
      <c r="V41" s="807"/>
      <c r="W41" s="807"/>
      <c r="X41" s="807"/>
      <c r="Y41" s="807"/>
      <c r="Z41" s="478">
        <f>IF(AND(BD29&gt;0,SUM(BD30,Konti_PTS!D19)&gt;7,SUM(BD30,Konti_PTS!D19)&lt;19)," SupplierV reduziert um "&amp;BD29*0.75&amp;" WoStd",IF(AND(SUM(BD30,Konti_PTS!D19,)&lt;=8,BD29&gt;0)," Einrechnung von "&amp;BD29*0.75&amp;" WoStd",))</f>
        <v>0</v>
      </c>
      <c r="AA41" s="170"/>
      <c r="AB41" s="419"/>
      <c r="AC41" s="419"/>
      <c r="AD41" s="419"/>
      <c r="AE41" s="419"/>
      <c r="AF41" s="419"/>
      <c r="AG41" s="419"/>
      <c r="AH41" s="419"/>
      <c r="AI41" s="171">
        <f>ROUNDUP(AJ41/5,0)</f>
        <v>0</v>
      </c>
      <c r="AJ41" s="172">
        <f>SUM(AK41:AS41)</f>
        <v>0</v>
      </c>
      <c r="AK41" s="171">
        <f>SUM((AJ30+AK30*2),(AJ31+AK31*2),(AJ32+AK32*2),(AJ33+AK33*2),(AJ34+AK34*2),(AJ35+AK35*2),(AJ36+AK36*2),(AJ37+AK37*2),(AJ38+AK38*2),(AJ39+AK39*2))</f>
        <v>0</v>
      </c>
      <c r="AL41" s="173"/>
      <c r="AM41" s="171">
        <f>SUM((AL30+AM30*2),(AL31+AM31*2),(AL32+AM32*2),(AL33+AM33*2),(AL34+AM34*2),(AL35+AM35*2),(AL36+AM36*2),(AL37+AM37*2),(AL38+AM38*2),(AL39+AM39*2))</f>
        <v>0</v>
      </c>
      <c r="AN41" s="173"/>
      <c r="AO41" s="171">
        <f>SUM((AN30+AO30*2),(AN31+AO31*2),(AN32+AO32*2),(AN33+AO33*2),(AN34+AO34*2),(AN35+AO35*2),(AN36+AO36*2),(AN37+AO37*2),(AN38+AO38*2),(AN39+AO39*2))</f>
        <v>0</v>
      </c>
      <c r="AP41" s="173"/>
      <c r="AQ41" s="171">
        <f>SUM((AP30+AQ30*2),(AP31+AQ31*2),(AP32+AQ32*2),(AP33+AQ33*2),(AP34+AQ34*2),(AP35+AQ35*2),(AP36+AQ36*2),(AP37+AQ37*2),(AP38+AQ38*2),(AP39+AQ39*2))</f>
        <v>0</v>
      </c>
      <c r="AR41" s="173"/>
      <c r="AS41" s="171">
        <f>SUM((AR30+AS30*2),(AR31+AS31*2),(AR32+AS32*2),(AR33+AS33*2),(AR34+AS34*2),(AR35+AS35*2),(AR36+AS36*2),(AR37+AS37*2),(AR38+AS38*2),(AR39+AS39*2))</f>
        <v>0</v>
      </c>
    </row>
    <row r="42" spans="1:45" x14ac:dyDescent="0.25">
      <c r="A42" s="807"/>
      <c r="B42" s="807"/>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AB42" s="419"/>
      <c r="AC42" s="419"/>
      <c r="AD42" s="419"/>
      <c r="AE42" s="419"/>
      <c r="AF42" s="169">
        <f>IF(BD29&gt;0,"[ bei mind. "&amp;BD29&amp;" Gruppen * 0,75 ]",)</f>
        <v>0</v>
      </c>
      <c r="AG42" s="169"/>
      <c r="AH42" s="419"/>
      <c r="AI42" s="457"/>
      <c r="AJ42" s="174">
        <f>ROUND(IF(AND(G14&gt;0,G14&lt;33),1*C14/50,)+IF(AND(G15&gt;0,G15&lt;33),1*C15/50,)+IF(AND(G16&gt;0,G16&lt;33),1*C16/50,)+IF(AND(G17&gt;0,G17&lt;33),1*C17/50,)+IF(AND(G18&gt;0,G18&lt;33),1*C18/50,)+IF(AND(G19&gt;0,G19&lt;33),1*C19/50,)+IF(AND(G20&gt;0,G20&lt;33),1*C20/50,)+IF(AND(G21&gt;0,G21&lt;33),1*C21/50,)+IF(AND(G22&gt;0,G22&lt;33),1*C22/50,)+IF(AND(G23&gt;0,G23&lt;33),1*C23/50,),3)</f>
        <v>0</v>
      </c>
      <c r="AK42" s="175"/>
      <c r="AL42" s="174">
        <f>ROUND(IF(AND(M14&gt;0,M14&lt;33),1*C14/50,)+IF(AND(M15&gt;0,M15&lt;33),1*C15/50,)+IF(AND(M16&gt;0,M16&lt;33),1*C16/50,)+IF(AND(M17&gt;0,M17&lt;33),1*C17/50,)+IF(AND(M18&gt;0,M18&lt;33),1*C18/50,)+IF(AND(M19&gt;0,M19&lt;33),1*C19/50,)+IF(AND(M20&gt;0,M20&lt;33),1*C20/50,)+IF(AND(M21&gt;0,M21&lt;33),1*C21/50,)+IF(AND(M22&gt;0,M22&lt;33),1*C22/50,)+IF(AND(M23&gt;0,M23&lt;33),1*C23/50,),3)</f>
        <v>0</v>
      </c>
      <c r="AM42" s="175"/>
      <c r="AN42" s="174">
        <f>ROUND(IF(AND(S14&gt;0,S14&lt;33),1*C14/50,)+IF(AND(S15&gt;0,S15&lt;33),1*C15/50,)+IF(AND(S16&gt;0,S16&lt;33),1*C16/50,)+IF(AND(S17&gt;0,S17&lt;33),1*C17/50,)+IF(AND(S18&gt;0,S18&lt;33),1*C18/50,)+IF(AND(S19&gt;0,S19&lt;33),1*C19/50,)+IF(AND(S20&gt;0,S20&lt;33),1*C20/50,)+IF(AND(S21&gt;0,S21&lt;33),1*C21/50,)+IF(AND(S22&gt;0,S22&lt;33),1*C22/50,)+IF(AND(S23&gt;0,S23&lt;33),1*C23/50,),3)</f>
        <v>0</v>
      </c>
      <c r="AO42" s="175"/>
      <c r="AP42" s="174">
        <f>ROUND(IF(AND(Y14&gt;0,Y14&lt;33),1*C14/50,)+IF(AND(Y15&gt;0,Y15&lt;33),1*C15/50,)+IF(AND(Y16&gt;0,Y16&lt;33),1*C16/50,)+IF(AND(Y17&gt;0,Y17&lt;33),1*C17/50,)+IF(AND(Y18&gt;0,Y18&lt;33),1*C18/50,)+IF(AND(Y19&gt;0,Y19&lt;33),1*C19/50,)+IF(AND(Y20&gt;0,Y20&lt;33),1*C20/50,)+IF(AND(Y21&gt;0,Y21&lt;33),1*C21/50,)+IF(AND(Y22&gt;0,Y22&lt;33),1*C22/50,)+IF(AND(Y23&gt;0,Y23&lt;33),1*C23/50,),3)</f>
        <v>0</v>
      </c>
      <c r="AQ42" s="175"/>
      <c r="AR42" s="174">
        <f>ROUND(IF(AND(AE14&gt;0,AE14&lt;33),1*C14/50,)+IF(AND(AE15&gt;0,AE15&lt;33),1*C15/50,)+IF(AND(AE16&gt;0,AE16&lt;33),1*C16/50,)+IF(AND(AE17&gt;0,AE17&lt;33),1*C17/50,)+IF(AND(AE18&gt;0,AE18&lt;33),1*C18/50,)+IF(AND(AE19&gt;0,AE19&lt;33),1*C19/50,)+IF(AND(AE20&gt;0,AE20&lt;33),1*C20/50,)+IF(AND(AE21&gt;0,AE21&lt;33),1*C21/50,)+IF(AND(AE22&gt;0,AE22&lt;33),1*C22/50,)+IF(AND(AE23&gt;0,AE23&lt;33),1*C23/50,),3)</f>
        <v>0</v>
      </c>
      <c r="AS42" s="175"/>
    </row>
    <row r="43" spans="1:45" x14ac:dyDescent="0.25">
      <c r="A43" s="807"/>
      <c r="B43" s="807"/>
      <c r="C43" s="807"/>
      <c r="D43" s="807"/>
      <c r="E43" s="807"/>
      <c r="F43" s="807"/>
      <c r="G43" s="807"/>
      <c r="H43" s="807"/>
      <c r="I43" s="807"/>
      <c r="J43" s="807"/>
      <c r="K43" s="807"/>
      <c r="L43" s="807"/>
      <c r="M43" s="807"/>
      <c r="N43" s="807"/>
      <c r="O43" s="807"/>
      <c r="P43" s="807"/>
      <c r="Q43" s="807"/>
      <c r="R43" s="807"/>
      <c r="S43" s="807"/>
      <c r="T43" s="807"/>
      <c r="U43" s="807"/>
      <c r="V43" s="807"/>
      <c r="W43" s="807"/>
      <c r="X43" s="807"/>
      <c r="Y43" s="807"/>
      <c r="Z43" s="170"/>
      <c r="AA43" s="170"/>
      <c r="AI43" s="176"/>
      <c r="AJ43" s="175"/>
      <c r="AK43" s="174">
        <f>ROUND(IF(AND(H14&gt;0,H14&lt;33),1*C14/50,)+IF(AND(H15&gt;0,H15&lt;33),1*C15/50,)+IF(AND(H16&gt;0,H16&lt;33),1*C16/50,)+IF(AND(H17&gt;0,H17&lt;33),1*C17/50,)+IF(AND(H18&gt;0,H18&lt;33),1*C18/50,)+IF(AND(H19&gt;0,H19&lt;33),1*C19/50,)+IF(AND(H20&gt;0,H20&lt;33),1*C20/50,)+IF(AND(H21&gt;0,H21&lt;33),1*C21/50,)+IF(AND(H22&gt;0,H22&lt;33),1*C22/50,)+IF(AND(H23&gt;0,H23&lt;33),1*C23/50,),3)</f>
        <v>0</v>
      </c>
      <c r="AL43" s="175"/>
      <c r="AM43" s="174">
        <f>ROUND(IF(AND(N14&gt;0,N14&lt;33),1*C14/50,)+IF(AND(N15&gt;0,N15&lt;33),1*C15/50,)+IF(AND(N16&gt;0,N16&lt;33),1*C16/50,)+IF(AND(N17&gt;0,N17&lt;33),1*C17/50,)+IF(AND(N18&gt;0,N18&lt;33),1*C18/50,)+IF(AND(N19&gt;0,N19&lt;33),1*C19/50,)+IF(AND(N20&gt;0,N20&lt;33),1*C20/50,)+IF(AND(N21&gt;0,N21&lt;33),1*C21/50,)+IF(AND(N22&gt;0,N22&lt;33),1*C22/50,)+IF(AND(N23&gt;0,N23&lt;33),1*C23/50,),3)</f>
        <v>0</v>
      </c>
      <c r="AN43" s="175"/>
      <c r="AO43" s="174">
        <f>ROUND(IF(AND(T14&gt;0,T14&lt;33),1*C14/50,)+IF(AND(T15&gt;0,T15&lt;33),1*C15/50,)+IF(AND(T16&gt;0,T16&lt;33),1*C16/50,)+IF(AND(T17&gt;0,T17&lt;33),1*C17/50,)+IF(AND(T18&gt;0,T18&lt;33),1*C18/50,)+IF(AND(T19&gt;0,T19&lt;33),1*C19/50,)+IF(AND(T20&gt;0,T20&lt;33),1*C20/50,)+IF(AND(T21&gt;0,T21&lt;33),1*C21/50,)+IF(AND(T22&gt;0,T22&lt;33),1*C22/50,)+IF(AND(T23&gt;0,T23&lt;33),1*C23/50,),3)</f>
        <v>0</v>
      </c>
      <c r="AP43" s="175"/>
      <c r="AQ43" s="174">
        <f>ROUND(IF(AND(Z14&gt;0,Z14&lt;33),1*C14/50,)+IF(AND(Z15&gt;0,Z15&lt;33),1*C15/50,)+IF(AND(Z16&gt;0,Z16&lt;33),1*C16/50,)+IF(AND(Z17&gt;0,Z17&lt;33),1*C17/50,)+IF(AND(Z18&gt;0,Z18&lt;33),1*C18/50,)+IF(AND(Z19&gt;0,Z19&lt;33),1*C19/50,)+IF(AND(Z20&gt;0,Z20&lt;33),1*C20/50,)+IF(AND(Z21&gt;0,Z21&lt;33),1*C21/50,)+IF(AND(Z22&gt;0,Z22&lt;33),1*C22/50,)+IF(AND(Z23&gt;0,Z23&lt;33),1*C23/50,),3)</f>
        <v>0</v>
      </c>
      <c r="AR43" s="175"/>
      <c r="AS43" s="174">
        <f>ROUND(IF(AND(AF14&gt;0,G14&lt;33),1*C14/50,)+IF(AND(AF15&gt;0,G15&lt;33),1*C15/50,)+IF(AND(AF16&gt;0,G16&lt;33),1*C16/50,)+IF(AND(AF17&gt;0,G17&lt;33),1*C17/50,)+IF(AND(AF18&gt;0,G18&lt;33),1*C18/50,)+IF(AND(AF19&gt;0,G19&lt;33),1*C19/50,)+IF(AND(AF20&gt;0,G20&lt;33),1*C20/50,)+IF(AND(AF21&gt;0,G21&lt;33),1*C21/50,)+IF(AND(AF22&gt;0,G22&lt;33),1*C22/50,)+IF(AND(AF23&gt;0,G23&lt;33),1*C23/50,),3)</f>
        <v>0</v>
      </c>
    </row>
    <row r="44" spans="1:45" x14ac:dyDescent="0.25">
      <c r="A44" s="807"/>
      <c r="B44" s="807"/>
      <c r="C44" s="807"/>
      <c r="D44" s="807"/>
      <c r="E44" s="807"/>
      <c r="F44" s="807"/>
      <c r="G44" s="807"/>
      <c r="H44" s="807"/>
      <c r="I44" s="807"/>
      <c r="J44" s="807"/>
      <c r="K44" s="807"/>
      <c r="L44" s="807"/>
      <c r="M44" s="807"/>
      <c r="N44" s="807"/>
      <c r="O44" s="807"/>
      <c r="P44" s="807"/>
      <c r="Q44" s="807"/>
      <c r="R44" s="807"/>
      <c r="S44" s="807"/>
      <c r="T44" s="807"/>
      <c r="U44" s="807"/>
      <c r="V44" s="807"/>
      <c r="W44" s="807"/>
      <c r="X44" s="807"/>
      <c r="Y44" s="807"/>
      <c r="Z44" s="478"/>
      <c r="AH44" s="475"/>
      <c r="AJ44" s="177" t="s">
        <v>86</v>
      </c>
      <c r="AK44" s="174">
        <f>ROUND(SUM(AJ42:AS42),2)</f>
        <v>0</v>
      </c>
      <c r="AL44" s="177" t="s">
        <v>87</v>
      </c>
      <c r="AM44" s="174">
        <f>ROUND(SUM(AJ43:AS43,AS44),2)</f>
        <v>0</v>
      </c>
      <c r="AN44" s="177" t="s">
        <v>88</v>
      </c>
      <c r="AO44" s="174">
        <f>ROUND(SUM(AK44:AM44),2)</f>
        <v>0</v>
      </c>
      <c r="AP44" s="178" t="s">
        <v>89</v>
      </c>
      <c r="AQ44" s="174">
        <f>ROUND(AO44/3,1)</f>
        <v>0</v>
      </c>
      <c r="AR44" s="174">
        <f>IF(AM44&lt;AQ44,"!?",)</f>
        <v>0</v>
      </c>
      <c r="AS44" s="179">
        <f>IF(A41=0,,IF(AND(AK44&gt;0,AT44&lt;11),AT44))+1-1</f>
        <v>0</v>
      </c>
    </row>
    <row r="45" spans="1:45" x14ac:dyDescent="0.25">
      <c r="A45" s="807"/>
      <c r="B45" s="807"/>
      <c r="C45" s="807"/>
      <c r="D45" s="807"/>
      <c r="E45" s="807"/>
      <c r="F45" s="807"/>
      <c r="G45" s="807"/>
      <c r="H45" s="807"/>
      <c r="I45" s="807"/>
      <c r="J45" s="807"/>
      <c r="K45" s="807"/>
      <c r="L45" s="807"/>
      <c r="M45" s="807"/>
      <c r="N45" s="807"/>
      <c r="O45" s="807"/>
      <c r="P45" s="807"/>
      <c r="Q45" s="807"/>
      <c r="R45" s="807"/>
      <c r="S45" s="807"/>
      <c r="T45" s="807"/>
      <c r="U45" s="807"/>
      <c r="V45" s="807"/>
      <c r="W45" s="807"/>
      <c r="X45" s="807"/>
      <c r="Y45" s="807"/>
      <c r="Z45" s="476"/>
      <c r="AA45" s="476"/>
      <c r="AB45" s="476"/>
      <c r="AC45" s="181" t="s">
        <v>281</v>
      </c>
      <c r="AD45" s="180" t="s">
        <v>282</v>
      </c>
      <c r="AE45" s="476"/>
      <c r="AF45" s="476"/>
      <c r="AG45" s="477"/>
      <c r="AH45" s="477"/>
    </row>
    <row r="46" spans="1:45" x14ac:dyDescent="0.25"/>
    <row r="47" spans="1:45" x14ac:dyDescent="0.25"/>
    <row r="48" spans="1:45" x14ac:dyDescent="0.25"/>
    <row r="49" x14ac:dyDescent="0.25"/>
    <row r="50" x14ac:dyDescent="0.25"/>
    <row r="51" x14ac:dyDescent="0.25"/>
    <row r="52" x14ac:dyDescent="0.25"/>
    <row r="53" x14ac:dyDescent="0.25"/>
    <row r="54" x14ac:dyDescent="0.25"/>
    <row r="55" x14ac:dyDescent="0.25"/>
    <row r="56" x14ac:dyDescent="0.25"/>
  </sheetData>
  <sheetProtection algorithmName="SHA-512" hashValue="ryFkF7UatuQmWJiKcABSEMK7PtN30qjVtTnmZJw39G6TKnK3/nQzUI8bWjXhJb0nfavYO2tYp0nzRA7BIecU4Q==" saltValue="0yYfH8T+l3+hdvgNF5hPbw==" spinCount="100000" sheet="1" formatRows="0"/>
  <mergeCells count="26">
    <mergeCell ref="J5:K5"/>
    <mergeCell ref="F10:G10"/>
    <mergeCell ref="I10:I13"/>
    <mergeCell ref="L10:M10"/>
    <mergeCell ref="O10:O13"/>
    <mergeCell ref="BD12:BM12"/>
    <mergeCell ref="S26:X26"/>
    <mergeCell ref="A27:B27"/>
    <mergeCell ref="A28:B28"/>
    <mergeCell ref="U10:U13"/>
    <mergeCell ref="X10:Y10"/>
    <mergeCell ref="AA10:AA13"/>
    <mergeCell ref="AD10:AE10"/>
    <mergeCell ref="AG10:AG13"/>
    <mergeCell ref="A11:B12"/>
    <mergeCell ref="G11:H12"/>
    <mergeCell ref="M11:N12"/>
    <mergeCell ref="S11:T12"/>
    <mergeCell ref="Y11:Z12"/>
    <mergeCell ref="R10:S10"/>
    <mergeCell ref="N26:R26"/>
    <mergeCell ref="A29:B29"/>
    <mergeCell ref="A39:B39"/>
    <mergeCell ref="A41:Y45"/>
    <mergeCell ref="AE11:AF12"/>
    <mergeCell ref="AT12:BC12"/>
  </mergeCells>
  <conditionalFormatting sqref="S5">
    <cfRule type="cellIs" dxfId="97" priority="89" stopIfTrue="1" operator="greaterThan">
      <formula>0</formula>
    </cfRule>
  </conditionalFormatting>
  <conditionalFormatting sqref="A27:B27">
    <cfRule type="cellIs" dxfId="96" priority="88" stopIfTrue="1" operator="greaterThan">
      <formula>0</formula>
    </cfRule>
  </conditionalFormatting>
  <conditionalFormatting sqref="A39:B39">
    <cfRule type="cellIs" dxfId="95" priority="87" stopIfTrue="1" operator="greaterThan">
      <formula>0</formula>
    </cfRule>
  </conditionalFormatting>
  <conditionalFormatting sqref="T24:U24 Z24:AA24 AF24:AG24 H24:I24 N24:O24">
    <cfRule type="expression" dxfId="94" priority="85" stopIfTrue="1">
      <formula>G25&gt;0</formula>
    </cfRule>
  </conditionalFormatting>
  <conditionalFormatting sqref="AK25">
    <cfRule type="expression" dxfId="93" priority="86" stopIfTrue="1">
      <formula>AND($C$6=0,$AK$25&gt;0)</formula>
    </cfRule>
  </conditionalFormatting>
  <conditionalFormatting sqref="S26">
    <cfRule type="cellIs" dxfId="92" priority="84" stopIfTrue="1" operator="greaterThan">
      <formula>0</formula>
    </cfRule>
  </conditionalFormatting>
  <conditionalFormatting sqref="A14">
    <cfRule type="cellIs" dxfId="91" priority="83" stopIfTrue="1" operator="greaterThan">
      <formula>0</formula>
    </cfRule>
  </conditionalFormatting>
  <conditionalFormatting sqref="AC23:AD23">
    <cfRule type="expression" dxfId="90" priority="44" stopIfTrue="1">
      <formula>$B23&gt;0</formula>
    </cfRule>
  </conditionalFormatting>
  <conditionalFormatting sqref="AC23:AD23">
    <cfRule type="cellIs" dxfId="89" priority="45" stopIfTrue="1" operator="between">
      <formula>1</formula>
      <formula>#REF!-1</formula>
    </cfRule>
    <cfRule type="cellIs" dxfId="88" priority="46" stopIfTrue="1" operator="greaterThan">
      <formula>$D$6</formula>
    </cfRule>
  </conditionalFormatting>
  <conditionalFormatting sqref="AE23:AF23">
    <cfRule type="expression" dxfId="87" priority="43" stopIfTrue="1">
      <formula>NOT(_xlfn.ISFORMULA(AE23))</formula>
    </cfRule>
  </conditionalFormatting>
  <conditionalFormatting sqref="E18:F23">
    <cfRule type="expression" dxfId="86" priority="80" stopIfTrue="1">
      <formula>$B18&gt;0</formula>
    </cfRule>
  </conditionalFormatting>
  <conditionalFormatting sqref="E14:F23">
    <cfRule type="cellIs" dxfId="85" priority="81" stopIfTrue="1" operator="between">
      <formula>1</formula>
      <formula>#REF!-1</formula>
    </cfRule>
    <cfRule type="cellIs" dxfId="84" priority="82" stopIfTrue="1" operator="greaterThan">
      <formula>$C$6</formula>
    </cfRule>
  </conditionalFormatting>
  <conditionalFormatting sqref="K15:L17 L14">
    <cfRule type="cellIs" dxfId="83" priority="78" stopIfTrue="1" operator="between">
      <formula>1</formula>
      <formula>#REF!-1</formula>
    </cfRule>
    <cfRule type="cellIs" dxfId="82" priority="79" stopIfTrue="1" operator="greaterThan">
      <formula>$C$6</formula>
    </cfRule>
  </conditionalFormatting>
  <conditionalFormatting sqref="Q15:R17 R14">
    <cfRule type="cellIs" dxfId="81" priority="76" stopIfTrue="1" operator="between">
      <formula>1</formula>
      <formula>#REF!-1</formula>
    </cfRule>
    <cfRule type="cellIs" dxfId="80" priority="77" stopIfTrue="1" operator="greaterThan">
      <formula>$C$6</formula>
    </cfRule>
  </conditionalFormatting>
  <conditionalFormatting sqref="W15:X17 X14">
    <cfRule type="cellIs" dxfId="79" priority="74" stopIfTrue="1" operator="between">
      <formula>1</formula>
      <formula>#REF!-1</formula>
    </cfRule>
    <cfRule type="cellIs" dxfId="78" priority="75" stopIfTrue="1" operator="greaterThan">
      <formula>$C$6</formula>
    </cfRule>
  </conditionalFormatting>
  <conditionalFormatting sqref="AC15:AD17 AD14">
    <cfRule type="cellIs" dxfId="77" priority="72" stopIfTrue="1" operator="between">
      <formula>1</formula>
      <formula>#REF!-1</formula>
    </cfRule>
    <cfRule type="cellIs" dxfId="76" priority="73" stopIfTrue="1" operator="greaterThan">
      <formula>$C$6</formula>
    </cfRule>
  </conditionalFormatting>
  <conditionalFormatting sqref="AE14:AG23 G14:I23 M14:O23 S14:U23 Y14:AA23">
    <cfRule type="expression" dxfId="75" priority="71" stopIfTrue="1">
      <formula>NOT(_xlfn.ISFORMULA(G14))</formula>
    </cfRule>
  </conditionalFormatting>
  <conditionalFormatting sqref="K18:L22">
    <cfRule type="expression" dxfId="74" priority="68" stopIfTrue="1">
      <formula>$B18&gt;0</formula>
    </cfRule>
  </conditionalFormatting>
  <conditionalFormatting sqref="K18:L22">
    <cfRule type="cellIs" dxfId="73" priority="69" stopIfTrue="1" operator="between">
      <formula>1</formula>
      <formula>#REF!-1</formula>
    </cfRule>
    <cfRule type="cellIs" dxfId="72" priority="70" stopIfTrue="1" operator="greaterThan">
      <formula>$D$6</formula>
    </cfRule>
  </conditionalFormatting>
  <conditionalFormatting sqref="Q18:R22">
    <cfRule type="expression" dxfId="71" priority="65" stopIfTrue="1">
      <formula>$B18&gt;0</formula>
    </cfRule>
  </conditionalFormatting>
  <conditionalFormatting sqref="Q18:R22">
    <cfRule type="cellIs" dxfId="70" priority="66" stopIfTrue="1" operator="between">
      <formula>1</formula>
      <formula>#REF!-1</formula>
    </cfRule>
    <cfRule type="cellIs" dxfId="69" priority="67" stopIfTrue="1" operator="greaterThan">
      <formula>$D$6</formula>
    </cfRule>
  </conditionalFormatting>
  <conditionalFormatting sqref="W18:X22">
    <cfRule type="expression" dxfId="68" priority="62" stopIfTrue="1">
      <formula>$B18&gt;0</formula>
    </cfRule>
  </conditionalFormatting>
  <conditionalFormatting sqref="W18:X22">
    <cfRule type="cellIs" dxfId="67" priority="63" stopIfTrue="1" operator="between">
      <formula>1</formula>
      <formula>#REF!-1</formula>
    </cfRule>
    <cfRule type="cellIs" dxfId="66" priority="64" stopIfTrue="1" operator="greaterThan">
      <formula>$D$6</formula>
    </cfRule>
  </conditionalFormatting>
  <conditionalFormatting sqref="AC18:AD22">
    <cfRule type="expression" dxfId="65" priority="59" stopIfTrue="1">
      <formula>$B18&gt;0</formula>
    </cfRule>
  </conditionalFormatting>
  <conditionalFormatting sqref="AC18:AD22">
    <cfRule type="cellIs" dxfId="64" priority="60" stopIfTrue="1" operator="between">
      <formula>1</formula>
      <formula>#REF!-1</formula>
    </cfRule>
    <cfRule type="cellIs" dxfId="63" priority="61" stopIfTrue="1" operator="greaterThan">
      <formula>$D$6</formula>
    </cfRule>
  </conditionalFormatting>
  <conditionalFormatting sqref="K23:L23">
    <cfRule type="expression" dxfId="62" priority="56" stopIfTrue="1">
      <formula>$B23&gt;0</formula>
    </cfRule>
  </conditionalFormatting>
  <conditionalFormatting sqref="K23:L23">
    <cfRule type="cellIs" dxfId="61" priority="57" stopIfTrue="1" operator="between">
      <formula>1</formula>
      <formula>#REF!-1</formula>
    </cfRule>
    <cfRule type="cellIs" dxfId="60" priority="58" stopIfTrue="1" operator="greaterThan">
      <formula>$D$6</formula>
    </cfRule>
  </conditionalFormatting>
  <conditionalFormatting sqref="M23:N23">
    <cfRule type="expression" dxfId="59" priority="55" stopIfTrue="1">
      <formula>NOT(_xlfn.ISFORMULA(M23))</formula>
    </cfRule>
  </conditionalFormatting>
  <conditionalFormatting sqref="Q23:R23">
    <cfRule type="expression" dxfId="58" priority="52" stopIfTrue="1">
      <formula>$B23&gt;0</formula>
    </cfRule>
  </conditionalFormatting>
  <conditionalFormatting sqref="Q23:R23">
    <cfRule type="cellIs" dxfId="57" priority="53" stopIfTrue="1" operator="between">
      <formula>1</formula>
      <formula>#REF!-1</formula>
    </cfRule>
    <cfRule type="cellIs" dxfId="56" priority="54" stopIfTrue="1" operator="greaterThan">
      <formula>$D$6</formula>
    </cfRule>
  </conditionalFormatting>
  <conditionalFormatting sqref="S23:T23">
    <cfRule type="expression" dxfId="55" priority="51" stopIfTrue="1">
      <formula>NOT(_xlfn.ISFORMULA(S23))</formula>
    </cfRule>
  </conditionalFormatting>
  <conditionalFormatting sqref="W23:X23">
    <cfRule type="expression" dxfId="54" priority="48" stopIfTrue="1">
      <formula>$B23&gt;0</formula>
    </cfRule>
  </conditionalFormatting>
  <conditionalFormatting sqref="W23:X23">
    <cfRule type="cellIs" dxfId="53" priority="49" stopIfTrue="1" operator="between">
      <formula>1</formula>
      <formula>#REF!-1</formula>
    </cfRule>
    <cfRule type="cellIs" dxfId="52" priority="50" stopIfTrue="1" operator="greaterThan">
      <formula>$D$6</formula>
    </cfRule>
  </conditionalFormatting>
  <conditionalFormatting sqref="Y23:Z23">
    <cfRule type="expression" dxfId="51" priority="47" stopIfTrue="1">
      <formula>NOT(_xlfn.ISFORMULA(Y23))</formula>
    </cfRule>
  </conditionalFormatting>
  <conditionalFormatting sqref="A28:B29">
    <cfRule type="expression" dxfId="50" priority="42">
      <formula>$A$28&gt;$A$27</formula>
    </cfRule>
  </conditionalFormatting>
  <conditionalFormatting sqref="M23:N23">
    <cfRule type="expression" dxfId="49" priority="41" stopIfTrue="1">
      <formula>NOT(_xlfn.ISFORMULA(M23))</formula>
    </cfRule>
  </conditionalFormatting>
  <conditionalFormatting sqref="G23:H23">
    <cfRule type="expression" dxfId="48" priority="40" stopIfTrue="1">
      <formula>NOT(_xlfn.ISFORMULA(G23))</formula>
    </cfRule>
  </conditionalFormatting>
  <conditionalFormatting sqref="S23:T23">
    <cfRule type="expression" dxfId="47" priority="39" stopIfTrue="1">
      <formula>NOT(_xlfn.ISFORMULA(S23))</formula>
    </cfRule>
  </conditionalFormatting>
  <conditionalFormatting sqref="S23:T23">
    <cfRule type="expression" dxfId="46" priority="38" stopIfTrue="1">
      <formula>NOT(_xlfn.ISFORMULA(S23))</formula>
    </cfRule>
  </conditionalFormatting>
  <conditionalFormatting sqref="Y23:Z23">
    <cfRule type="expression" dxfId="45" priority="37" stopIfTrue="1">
      <formula>NOT(_xlfn.ISFORMULA(Y23))</formula>
    </cfRule>
  </conditionalFormatting>
  <conditionalFormatting sqref="Y23:Z23">
    <cfRule type="expression" dxfId="44" priority="36" stopIfTrue="1">
      <formula>NOT(_xlfn.ISFORMULA(Y23))</formula>
    </cfRule>
  </conditionalFormatting>
  <conditionalFormatting sqref="AE23:AF23">
    <cfRule type="expression" dxfId="43" priority="35" stopIfTrue="1">
      <formula>NOT(_xlfn.ISFORMULA(AE23))</formula>
    </cfRule>
  </conditionalFormatting>
  <conditionalFormatting sqref="AE23:AF23">
    <cfRule type="expression" dxfId="42" priority="34" stopIfTrue="1">
      <formula>NOT(_xlfn.ISFORMULA(AE23))</formula>
    </cfRule>
  </conditionalFormatting>
  <conditionalFormatting sqref="G23:H23">
    <cfRule type="expression" dxfId="41" priority="33" stopIfTrue="1">
      <formula>NOT(_xlfn.ISFORMULA(G23))</formula>
    </cfRule>
  </conditionalFormatting>
  <conditionalFormatting sqref="G23:H23">
    <cfRule type="expression" dxfId="40" priority="32" stopIfTrue="1">
      <formula>NOT(_xlfn.ISFORMULA(G23))</formula>
    </cfRule>
  </conditionalFormatting>
  <conditionalFormatting sqref="G23:H23">
    <cfRule type="expression" dxfId="39" priority="31" stopIfTrue="1">
      <formula>NOT(_xlfn.ISFORMULA(G23))</formula>
    </cfRule>
  </conditionalFormatting>
  <conditionalFormatting sqref="M23:N23">
    <cfRule type="expression" dxfId="38" priority="30" stopIfTrue="1">
      <formula>NOT(_xlfn.ISFORMULA(M23))</formula>
    </cfRule>
  </conditionalFormatting>
  <conditionalFormatting sqref="M23:N23">
    <cfRule type="expression" dxfId="37" priority="29" stopIfTrue="1">
      <formula>NOT(_xlfn.ISFORMULA(M23))</formula>
    </cfRule>
  </conditionalFormatting>
  <conditionalFormatting sqref="M23:N23">
    <cfRule type="expression" dxfId="36" priority="28" stopIfTrue="1">
      <formula>NOT(_xlfn.ISFORMULA(M23))</formula>
    </cfRule>
  </conditionalFormatting>
  <conditionalFormatting sqref="M23:N23">
    <cfRule type="expression" dxfId="35" priority="27" stopIfTrue="1">
      <formula>NOT(_xlfn.ISFORMULA(M23))</formula>
    </cfRule>
  </conditionalFormatting>
  <conditionalFormatting sqref="S23:T23">
    <cfRule type="expression" dxfId="34" priority="26" stopIfTrue="1">
      <formula>NOT(_xlfn.ISFORMULA(S23))</formula>
    </cfRule>
  </conditionalFormatting>
  <conditionalFormatting sqref="S23:T23">
    <cfRule type="expression" dxfId="33" priority="25" stopIfTrue="1">
      <formula>NOT(_xlfn.ISFORMULA(S23))</formula>
    </cfRule>
  </conditionalFormatting>
  <conditionalFormatting sqref="S23:T23">
    <cfRule type="expression" dxfId="32" priority="24" stopIfTrue="1">
      <formula>NOT(_xlfn.ISFORMULA(S23))</formula>
    </cfRule>
  </conditionalFormatting>
  <conditionalFormatting sqref="S23:T23">
    <cfRule type="expression" dxfId="31" priority="23" stopIfTrue="1">
      <formula>NOT(_xlfn.ISFORMULA(S23))</formula>
    </cfRule>
  </conditionalFormatting>
  <conditionalFormatting sqref="S23:T23">
    <cfRule type="expression" dxfId="30" priority="22" stopIfTrue="1">
      <formula>NOT(_xlfn.ISFORMULA(S23))</formula>
    </cfRule>
  </conditionalFormatting>
  <conditionalFormatting sqref="S23:T23">
    <cfRule type="expression" dxfId="29" priority="21" stopIfTrue="1">
      <formula>NOT(_xlfn.ISFORMULA(S23))</formula>
    </cfRule>
  </conditionalFormatting>
  <conditionalFormatting sqref="Y23:Z23">
    <cfRule type="expression" dxfId="28" priority="20" stopIfTrue="1">
      <formula>NOT(_xlfn.ISFORMULA(Y23))</formula>
    </cfRule>
  </conditionalFormatting>
  <conditionalFormatting sqref="Y23:Z23">
    <cfRule type="expression" dxfId="27" priority="19" stopIfTrue="1">
      <formula>NOT(_xlfn.ISFORMULA(Y23))</formula>
    </cfRule>
  </conditionalFormatting>
  <conditionalFormatting sqref="Y23:Z23">
    <cfRule type="expression" dxfId="26" priority="18" stopIfTrue="1">
      <formula>NOT(_xlfn.ISFORMULA(Y23))</formula>
    </cfRule>
  </conditionalFormatting>
  <conditionalFormatting sqref="Y23:Z23">
    <cfRule type="expression" dxfId="25" priority="17" stopIfTrue="1">
      <formula>NOT(_xlfn.ISFORMULA(Y23))</formula>
    </cfRule>
  </conditionalFormatting>
  <conditionalFormatting sqref="Y23:Z23">
    <cfRule type="expression" dxfId="24" priority="16" stopIfTrue="1">
      <formula>NOT(_xlfn.ISFORMULA(Y23))</formula>
    </cfRule>
  </conditionalFormatting>
  <conditionalFormatting sqref="Y23:Z23">
    <cfRule type="expression" dxfId="23" priority="15" stopIfTrue="1">
      <formula>NOT(_xlfn.ISFORMULA(Y23))</formula>
    </cfRule>
  </conditionalFormatting>
  <conditionalFormatting sqref="Y23:Z23">
    <cfRule type="expression" dxfId="22" priority="14" stopIfTrue="1">
      <formula>NOT(_xlfn.ISFORMULA(Y23))</formula>
    </cfRule>
  </conditionalFormatting>
  <conditionalFormatting sqref="Y23:Z23">
    <cfRule type="expression" dxfId="21" priority="13" stopIfTrue="1">
      <formula>NOT(_xlfn.ISFORMULA(Y23))</formula>
    </cfRule>
  </conditionalFormatting>
  <conditionalFormatting sqref="Y23:Z23">
    <cfRule type="expression" dxfId="20" priority="12" stopIfTrue="1">
      <formula>NOT(_xlfn.ISFORMULA(Y23))</formula>
    </cfRule>
  </conditionalFormatting>
  <conditionalFormatting sqref="A15:A23">
    <cfRule type="expression" dxfId="19" priority="11" stopIfTrue="1">
      <formula>AND($A15&lt;$B14,$A15&gt;0)</formula>
    </cfRule>
  </conditionalFormatting>
  <conditionalFormatting sqref="K14">
    <cfRule type="cellIs" dxfId="18" priority="9" stopIfTrue="1" operator="between">
      <formula>1</formula>
      <formula>#REF!-1</formula>
    </cfRule>
    <cfRule type="cellIs" dxfId="17" priority="10" stopIfTrue="1" operator="greaterThan">
      <formula>$C$6</formula>
    </cfRule>
  </conditionalFormatting>
  <conditionalFormatting sqref="Q14">
    <cfRule type="cellIs" dxfId="16" priority="7" stopIfTrue="1" operator="between">
      <formula>1</formula>
      <formula>#REF!-1</formula>
    </cfRule>
    <cfRule type="cellIs" dxfId="15" priority="8" stopIfTrue="1" operator="greaterThan">
      <formula>$C$6</formula>
    </cfRule>
  </conditionalFormatting>
  <conditionalFormatting sqref="W14">
    <cfRule type="cellIs" dxfId="14" priority="5" stopIfTrue="1" operator="between">
      <formula>1</formula>
      <formula>#REF!-1</formula>
    </cfRule>
    <cfRule type="cellIs" dxfId="13" priority="6" stopIfTrue="1" operator="greaterThan">
      <formula>$C$6</formula>
    </cfRule>
  </conditionalFormatting>
  <conditionalFormatting sqref="AC14">
    <cfRule type="cellIs" dxfId="12" priority="3" stopIfTrue="1" operator="between">
      <formula>1</formula>
      <formula>#REF!-1</formula>
    </cfRule>
    <cfRule type="cellIs" dxfId="11" priority="4" stopIfTrue="1" operator="greaterThan">
      <formula>$C$6</formula>
    </cfRule>
  </conditionalFormatting>
  <conditionalFormatting sqref="D14:D23">
    <cfRule type="expression" dxfId="10" priority="2">
      <formula>IF(AND($C14&gt;0,$C14&lt;$BN$12),TRUE,FALSE)</formula>
    </cfRule>
  </conditionalFormatting>
  <conditionalFormatting sqref="N26:R26">
    <cfRule type="expression" dxfId="9" priority="1">
      <formula>$BN$24&gt;0</formula>
    </cfRule>
  </conditionalFormatting>
  <dataValidations count="10">
    <dataValidation allowBlank="1" showInputMessage="1" showErrorMessage="1" prompt="Lehrerstunden wöchentlich in GL _x000a_1 : 1 einzutragen (wie gehalten)" sqref="S852001 G65569 G131105 G196641 G262177 G327713 G393249 G458785 G524321 G589857 G655393 G720929 G786465 G852001 G917537 G983073 S917537 M65569 M131105 M196641 M262177 M327713 M393249 M458785 M524321 M589857 M655393 M720929 M786465 M852001 M917537 M983073 S983073 S65569 S131105 S196641 S262177 S327713 S393249 S458785 S524321 S589857 S655393 S720929 S786465"/>
    <dataValidation allowBlank="1" showInputMessage="1" showErrorMessage="1" prompt="Die Wochensstunden der Individ.LZ sind _x000a_mit 2 : 1 umgerechnet einzutragen _x000a_(gehalten 2  =  1 zu verrechnen)" sqref="T852001:U852001 H65569:I65569 H131105:I131105 H196641:I196641 H262177:I262177 H327713:I327713 H393249:I393249 H458785:I458785 H524321:I524321 H589857:I589857 H655393:I655393 H720929:I720929 H786465:I786465 H852001:I852001 H917537:I917537 H983073:I983073 T917537:U917537 N65569:O65569 N131105:O131105 N196641:O196641 N262177:O262177 N327713:O327713 N393249:O393249 N458785:O458785 N524321:O524321 N589857:O589857 N655393:O655393 N720929:O720929 N786465:O786465 N852001:O852001 N917537:O917537 N983073:O983073 T983073:U983073 T65569:U65569 T131105:U131105 T196641:U196641 T262177:U262177 T327713:U327713 T393249:U393249 T458785:U458785 T524321:U524321 T589857:U589857 T655393:U655393 T720929:U720929 T786465:U786465"/>
    <dataValidation type="whole" allowBlank="1" showInputMessage="1" showErrorMessage="1" error="soviel geht nicht!" prompt="jeder (verschiedene) Schülerkopf = 1_x000a_... unabhängig an wieviel Tagen pro Woche_x000a__x000a_Minuseintrag = selber keine Gruppe_x000a_" sqref="M5 M65542 M131078 M196614 M262150 M327686 M393222 M458758 M524294 M589830 M655366 M720902 M786438 M851974 M917510 M983046">
      <formula1>-J5</formula1>
      <formula2>222</formula2>
    </dataValidation>
    <dataValidation type="time" allowBlank="1" showInputMessage="1" showErrorMessage="1" error="Uhrzeit bitte mit Doppelpunkt eingeben" sqref="A917520:A917528 B65551:B65560 B131087:B131096 B196623:B196632 B262159:B262168 B327695:B327704 B393231:B393240 B458767:B458776 B524303:B524312 B589839:B589848 B655375:B655384 B720911:B720920 B786447:B786456 B851983:B851992 B917519:B917528 B983055:B983064 A983056:A983064 A65552:A65560 A131088:A131096 A196624:A196632 A262160:A262168 A327696:A327704 A393232:A393240 A458768:A458776 A524304:A524312 A589840:A589848 A655376:A655384 A720912:A720920 A786448:A786456 A851984:A851992 B14:B23 A15:A23">
      <formula1>0.291666666666667</formula1>
      <formula2>0.75</formula2>
    </dataValidation>
    <dataValidation type="time" allowBlank="1" showInputMessage="1" showErrorMessage="1" error="Uhrzeit bitte mit Doppelpunkt eingeben" prompt="Uhrzeit bitte mit Doppelpunkt eingeben" sqref="A983055 A65551 A131087 A196623 A262159 A327695 A393231 A458767 A524303 A589839 A655375 A720911 A786447 A851983 A917519 A14">
      <formula1>0.291666666666667</formula1>
      <formula2>0.75</formula2>
    </dataValidation>
    <dataValidation type="whole" operator="lessThanOrEqual" allowBlank="1" showErrorMessage="1" error="diese Zahl passt nicht zusammen mit der Schülerzahl in Zeile 5!" sqref="AE720911:AE720920 G65551:G65560 G131087:G131096 G196623:G196632 G262159:G262168 G327695:G327704 G393231:G393240 G458767:G458776 G524303:G524312 G589839:G589848 G655375:G655384 G720911:G720920 G786447:G786456 G851983:G851992 G917519:G917528 G983055:G983064 AE786447:AE786456 M65551:M65560 M131087:M131096 M196623:M196632 M262159:M262168 M327695:M327704 M393231:M393240 M458767:M458776 M524303:M524312 M589839:M589848 M655375:M655384 M720911:M720920 M786447:M786456 M851983:M851992 M917519:M917528 M983055:M983064 AE851983:AE851992 S65551:S65560 S131087:S131096 S196623:S196632 S262159:S262168 S327695:S327704 S393231:S393240 S458767:S458776 S524303:S524312 S589839:S589848 S655375:S655384 S720911:S720920 S786447:S786456 S851983:S851992 S917519:S917528 S983055:S983064 AE917519:AE917528 Y65551:Y65560 Y131087:Y131096 Y196623:Y196632 Y262159:Y262168 Y327695:Y327704 Y393231:Y393240 Y458767:Y458776 Y524303:Y524312 Y589839:Y589848 Y655375:Y655384 Y720911:Y720920 Y786447:Y786456 Y851983:Y851992 Y917519:Y917528 Y983055:Y983064 AE983055:AE983064 AE65551:AE65560 AE131087:AE131096 AE196623:AE196632 AE262159:AE262168 AE327695:AE327704 AE393231:AE393240 AE458767:AE458776 AE524303:AE524312 AE589839:AE589848 AE655375:AE655384">
      <formula1>$Q$6</formula1>
    </dataValidation>
    <dataValidation type="whole" operator="lessThanOrEqual" allowBlank="1" showInputMessage="1" showErrorMessage="1" error="diese Zahl passt nicht zusammen mit der Schülerzahl in Zeile 5!" prompt="Lehrerstunden wöchentlich  ... nach Umrechnung  2 : 1_x000a__x000a_(gehalten 2  =  1 zu verrechnen)" sqref="AF720911:AH720920 H65551:I65560 H131087:I131096 H196623:I196632 H262159:I262168 H327695:I327704 H393231:I393240 H458767:I458776 H524303:I524312 H589839:I589848 H655375:I655384 H720911:I720920 H786447:I786456 H851983:I851992 H917519:I917528 H983055:I983064 AF786447:AH786456 N65551:O65560 N131087:O131096 N196623:O196632 N262159:O262168 N327695:O327704 N393231:O393240 N458767:O458776 N524303:O524312 N589839:O589848 N655375:O655384 N720911:O720920 N786447:O786456 N851983:O851992 N917519:O917528 N983055:O983064 AF851983:AH851992 T65551:U65560 T131087:U131096 T196623:U196632 T262159:U262168 T327695:U327704 T393231:U393240 T458767:U458776 T524303:U524312 T589839:U589848 T655375:U655384 T720911:U720920 T786447:U786456 T851983:U851992 T917519:U917528 T983055:U983064 AF917519:AH917528 Z65551:AA65560 Z131087:AA131096 Z196623:AA196632 Z262159:AA262168 Z327695:AA327704 Z393231:AA393240 Z458767:AA458776 Z524303:AA524312 Z589839:AA589848 Z655375:AA655384 Z720911:AA720920 Z786447:AA786456 Z851983:AA851992 Z917519:AA917528 Z983055:AA983064 AF983055:AH983064 AF65551:AH65560 AF131087:AH131096 AF196623:AH196632 AF262159:AH262168 AF327695:AH327704 AF393231:AH393240 AF458767:AH458776 AF524303:AH524312 AF589839:AH589848 AF655375:AH655384">
      <formula1>$Q$6</formula1>
    </dataValidation>
    <dataValidation type="whole" allowBlank="1" showInputMessage="1" error="bitte Schüler als Ganzzahl eingeben!_x000a_(mindestens = 8 pro Gruppe)" sqref="AC720911:AD720920 E65551:F65560 E131087:F131096 E196623:F196632 E262159:F262168 E327695:F327704 E393231:F393240 E458767:F458776 E524303:F524312 E589839:F589848 E655375:F655384 E720911:F720920 E786447:F786456 E851983:F851992 E917519:F917528 E983055:F983064 AC786447:AD786456 K65551:L65560 K131087:L131096 K196623:L196632 K262159:L262168 K327695:L327704 K393231:L393240 K458767:L458776 K524303:L524312 K589839:L589848 K655375:L655384 K720911:L720920 K786447:L786456 K851983:L851992 K917519:L917528 K983055:L983064 AC851983:AD851992 Q65551:R65560 Q131087:R131096 Q196623:R196632 Q262159:R262168 Q327695:R327704 Q393231:R393240 Q458767:R458776 Q524303:R524312 Q589839:R589848 Q655375:R655384 Q720911:R720920 Q786447:R786456 Q851983:R851992 Q917519:R917528 Q983055:R983064 AC917519:AD917528 W65551:X65560 W131087:X131096 W196623:X196632 W262159:X262168 W327695:X327704 W393231:X393240 W458767:X458776 W524303:X524312 W589839:X589848 W655375:X655384 W720911:X720920 W786447:X786456 W851983:X851992 W917519:X917528 W983055:X983064 AC983055:AD983064 AC65551:AD65560 AC131087:AD131096 AC196623:AD196632 AC262159:AD262168 AC327695:AD327704 AC393231:AD393240 AC458767:AD458776 AC524303:AD524312 AC589839:AD589848 AC655375:AD655384 W14:X23 E14:F23 K14:L23 Q14:R23 AC14:AD23">
      <formula1>$AL$2</formula1>
      <formula2>333</formula2>
    </dataValidation>
    <dataValidation type="decimal" operator="lessThanOrEqual" allowBlank="1" showInputMessage="1" showErrorMessage="1" error="diese Zahl passt nicht zusammen mit der Schülerzahl in Zeile 5!" prompt="Berechnet wird:_x000a_Pro GLZ Gruppe eine Stunde._x000a_Pro ILZ Gruppe eine halbe Stunden._x000a_Weicht die Unterrichtseinheit von 50 min ab, wird entsprechend aliquotiert." sqref="AA14:AA23 O14:O23 AG14:AH23 U14:U23 I14:I23">
      <formula1>$Q$6</formula1>
    </dataValidation>
    <dataValidation type="whole" operator="lessThanOrEqual" allowBlank="1" showInputMessage="1" showErrorMessage="1" error="diese Zahl passt nicht zusammen mit der Schülerzahl in Zeile 5!" prompt="Der berechnete Wert dient als Richtwert und kann überschrieben werden._x000a__x000a_Eingabe der tatsächlich eingerichteten Gruppen der GLZ" sqref="AE14:AF23 G14:H23 M14:N23 S14:T23 Y14:Z23">
      <formula1>$Q$6</formula1>
    </dataValidation>
  </dataValidations>
  <hyperlinks>
    <hyperlink ref="V4" r:id="rId1"/>
  </hyperlinks>
  <printOptions horizontalCentered="1"/>
  <pageMargins left="0.48" right="0.32" top="0.35433070866141736" bottom="0.31496062992125984" header="0.39370078740157483" footer="0.43307086614173229"/>
  <pageSetup paperSize="9" scale="76" fitToHeight="2" orientation="landscape" horizontalDpi="4294967293" r:id="rId2"/>
  <headerFooter alignWithMargins="0">
    <oddFooter>&amp;C&amp;8&amp;F</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DB91B6"/>
    <pageSetUpPr fitToPage="1"/>
  </sheetPr>
  <dimension ref="A1:S105"/>
  <sheetViews>
    <sheetView showGridLines="0" showZeros="0" zoomScaleNormal="100" workbookViewId="0">
      <selection activeCell="A5" sqref="A5"/>
    </sheetView>
  </sheetViews>
  <sheetFormatPr baseColWidth="10" defaultColWidth="11.42578125" defaultRowHeight="15" customHeight="1" zeroHeight="1" x14ac:dyDescent="0.25"/>
  <cols>
    <col min="1" max="1" width="7.140625" style="222" customWidth="1"/>
    <col min="2" max="2" width="9.140625" style="222" customWidth="1"/>
    <col min="3" max="3" width="13.85546875" style="222" customWidth="1"/>
    <col min="4" max="4" width="10" style="222" customWidth="1"/>
    <col min="5" max="5" width="7.7109375" style="222" hidden="1" customWidth="1"/>
    <col min="6" max="6" width="10" style="222" customWidth="1"/>
    <col min="7" max="7" width="1" style="105" customWidth="1"/>
    <col min="8" max="9" width="9.85546875" style="222" customWidth="1"/>
    <col min="10" max="10" width="1" style="105" customWidth="1"/>
    <col min="11" max="12" width="8.5703125" style="222" customWidth="1"/>
    <col min="13" max="13" width="3.42578125" style="222" customWidth="1"/>
    <col min="14" max="14" width="7.5703125" style="105" customWidth="1"/>
    <col min="15" max="16384" width="11.42578125" style="105"/>
  </cols>
  <sheetData>
    <row r="1" spans="1:19" ht="26.25" x14ac:dyDescent="0.4">
      <c r="A1" s="397" t="s">
        <v>257</v>
      </c>
      <c r="B1" s="398"/>
      <c r="C1" s="399"/>
      <c r="D1" s="399"/>
      <c r="E1" s="399"/>
      <c r="F1" s="400"/>
      <c r="G1" s="401"/>
      <c r="H1" s="399"/>
      <c r="I1" s="399"/>
      <c r="J1" s="402"/>
      <c r="K1" s="399"/>
      <c r="L1" s="403" t="str">
        <f>Konti_PTS!C7</f>
        <v>PTS  . . .</v>
      </c>
      <c r="M1" s="416">
        <f>Konti_PTS!B7</f>
        <v>0</v>
      </c>
      <c r="N1" s="323"/>
      <c r="S1" s="95" t="s">
        <v>250</v>
      </c>
    </row>
    <row r="2" spans="1:19" s="409" customFormat="1" ht="19.5" customHeight="1" x14ac:dyDescent="0.4">
      <c r="A2" s="396" t="s">
        <v>255</v>
      </c>
      <c r="B2" s="404"/>
      <c r="C2" s="405"/>
      <c r="D2" s="405"/>
      <c r="E2" s="405"/>
      <c r="F2" s="270"/>
      <c r="G2" s="406"/>
      <c r="H2" s="405"/>
      <c r="I2" s="405"/>
      <c r="J2" s="407"/>
      <c r="K2" s="405"/>
      <c r="L2" s="272"/>
      <c r="M2" s="408"/>
      <c r="N2" s="323"/>
      <c r="S2" s="95"/>
    </row>
    <row r="3" spans="1:19" ht="4.5" customHeight="1" x14ac:dyDescent="0.25">
      <c r="G3" s="271"/>
      <c r="N3" s="323"/>
    </row>
    <row r="4" spans="1:19" ht="33.75" customHeight="1" x14ac:dyDescent="0.5">
      <c r="B4" s="273"/>
      <c r="D4" s="274" t="str">
        <f>"Bedarfsplanung für 20"&amp;RIGHT(Konti_PTS!H1,5)</f>
        <v>Bedarfsplanung für 2024/25</v>
      </c>
      <c r="G4" s="271"/>
      <c r="H4" s="832" t="s">
        <v>130</v>
      </c>
      <c r="I4" s="832" t="s">
        <v>131</v>
      </c>
      <c r="K4" s="835" t="s">
        <v>132</v>
      </c>
      <c r="L4" s="835" t="s">
        <v>133</v>
      </c>
      <c r="N4" s="323"/>
    </row>
    <row r="5" spans="1:19" ht="21" x14ac:dyDescent="0.3">
      <c r="A5" s="275"/>
      <c r="B5" s="276"/>
      <c r="C5" s="277"/>
      <c r="D5" s="278">
        <f>Konti_PTS!C12</f>
        <v>0</v>
      </c>
      <c r="F5" s="838">
        <f>COUNTIF(F9:F23,O9)</f>
        <v>0</v>
      </c>
      <c r="G5" s="271"/>
      <c r="H5" s="833"/>
      <c r="I5" s="833"/>
      <c r="K5" s="836"/>
      <c r="L5" s="836"/>
      <c r="N5" s="323"/>
    </row>
    <row r="6" spans="1:19" ht="21" x14ac:dyDescent="0.35">
      <c r="A6" s="279"/>
      <c r="B6" s="280" t="s">
        <v>134</v>
      </c>
      <c r="C6" s="281">
        <f>SUBTOTAL(103,C9:C23)</f>
        <v>0</v>
      </c>
      <c r="D6" s="282">
        <f>IF(AND(C6&gt;0,D5&gt;0),ROUND(C6/D5,3),)</f>
        <v>0</v>
      </c>
      <c r="F6" s="839"/>
      <c r="G6" s="271"/>
      <c r="H6" s="833"/>
      <c r="I6" s="833"/>
      <c r="K6" s="836"/>
      <c r="L6" s="836"/>
      <c r="N6" s="323"/>
    </row>
    <row r="7" spans="1:19" ht="31.5" x14ac:dyDescent="0.5">
      <c r="A7" s="283" t="s">
        <v>135</v>
      </c>
      <c r="B7" s="284" t="s">
        <v>136</v>
      </c>
      <c r="C7" s="285" t="s">
        <v>137</v>
      </c>
      <c r="D7" s="286"/>
      <c r="E7" s="287" t="s">
        <v>138</v>
      </c>
      <c r="F7" s="283" t="s">
        <v>6</v>
      </c>
      <c r="G7" s="288"/>
      <c r="H7" s="834"/>
      <c r="I7" s="834"/>
      <c r="K7" s="837"/>
      <c r="L7" s="837"/>
      <c r="M7" s="289" t="s">
        <v>139</v>
      </c>
      <c r="N7" s="323"/>
    </row>
    <row r="8" spans="1:19" ht="4.5" customHeight="1" x14ac:dyDescent="0.25">
      <c r="M8" s="290"/>
      <c r="N8" s="323"/>
    </row>
    <row r="9" spans="1:19" ht="17.25" x14ac:dyDescent="0.3">
      <c r="A9" s="291"/>
      <c r="B9" s="291"/>
      <c r="C9" s="292"/>
      <c r="D9" s="293"/>
      <c r="E9" s="291"/>
      <c r="F9" s="294"/>
      <c r="G9" s="358"/>
      <c r="H9" s="295"/>
      <c r="I9" s="295"/>
      <c r="K9" s="291"/>
      <c r="L9" s="291"/>
      <c r="M9" s="296" t="str">
        <f>IF(C9&gt;0,MAX(M$8:M8)+1,"")</f>
        <v/>
      </c>
      <c r="N9" s="323"/>
      <c r="O9" s="297" t="s">
        <v>283</v>
      </c>
    </row>
    <row r="10" spans="1:19" ht="17.25" x14ac:dyDescent="0.3">
      <c r="A10" s="291"/>
      <c r="B10" s="291"/>
      <c r="C10" s="292"/>
      <c r="D10" s="293"/>
      <c r="E10" s="291"/>
      <c r="F10" s="294"/>
      <c r="G10" s="359"/>
      <c r="H10" s="295"/>
      <c r="I10" s="295"/>
      <c r="J10" s="298"/>
      <c r="K10" s="291"/>
      <c r="L10" s="291"/>
      <c r="M10" s="296" t="str">
        <f>IF(C10&gt;0,MAX(M$8:M9)+1,"")</f>
        <v/>
      </c>
      <c r="N10" s="323"/>
      <c r="O10" s="297" t="s">
        <v>284</v>
      </c>
    </row>
    <row r="11" spans="1:19" ht="17.25" x14ac:dyDescent="0.3">
      <c r="A11" s="291"/>
      <c r="B11" s="291"/>
      <c r="C11" s="292"/>
      <c r="D11" s="293"/>
      <c r="E11" s="291"/>
      <c r="F11" s="294"/>
      <c r="G11" s="358"/>
      <c r="H11" s="295"/>
      <c r="I11" s="295"/>
      <c r="K11" s="291"/>
      <c r="L11" s="291"/>
      <c r="M11" s="296" t="str">
        <f>IF(C11&gt;0,MAX(M$8:M10)+1,"")</f>
        <v/>
      </c>
      <c r="N11" s="323"/>
      <c r="O11" s="297" t="s">
        <v>142</v>
      </c>
    </row>
    <row r="12" spans="1:19" ht="17.25" x14ac:dyDescent="0.3">
      <c r="A12" s="299"/>
      <c r="B12" s="299"/>
      <c r="C12" s="300"/>
      <c r="D12" s="301"/>
      <c r="E12" s="299"/>
      <c r="F12" s="302"/>
      <c r="G12" s="358"/>
      <c r="H12" s="299"/>
      <c r="I12" s="299"/>
      <c r="K12" s="299"/>
      <c r="L12" s="299"/>
      <c r="M12" s="296" t="str">
        <f>IF(C12&gt;0,MAX(M$8:M11)+1,"")</f>
        <v/>
      </c>
      <c r="N12" s="323"/>
      <c r="O12" s="297"/>
    </row>
    <row r="13" spans="1:19" ht="17.25" x14ac:dyDescent="0.3">
      <c r="A13" s="299"/>
      <c r="B13" s="299"/>
      <c r="C13" s="300"/>
      <c r="D13" s="301"/>
      <c r="E13" s="299"/>
      <c r="F13" s="302"/>
      <c r="G13" s="359"/>
      <c r="H13" s="299"/>
      <c r="I13" s="299"/>
      <c r="J13" s="298"/>
      <c r="K13" s="299"/>
      <c r="L13" s="299"/>
      <c r="M13" s="296" t="str">
        <f>IF(C13&gt;0,MAX(M$8:M12)+1,"")</f>
        <v/>
      </c>
      <c r="N13" s="323"/>
    </row>
    <row r="14" spans="1:19" ht="17.25" x14ac:dyDescent="0.3">
      <c r="A14" s="299"/>
      <c r="B14" s="299"/>
      <c r="C14" s="300"/>
      <c r="D14" s="301"/>
      <c r="E14" s="303"/>
      <c r="F14" s="304"/>
      <c r="G14" s="358"/>
      <c r="H14" s="305"/>
      <c r="I14" s="305"/>
      <c r="K14" s="305"/>
      <c r="L14" s="306"/>
      <c r="M14" s="296" t="str">
        <f>IF(C14&gt;0,MAX(M$8:M13)+1,"")</f>
        <v/>
      </c>
      <c r="N14" s="323"/>
    </row>
    <row r="15" spans="1:19" ht="17.25" x14ac:dyDescent="0.3">
      <c r="A15" s="299"/>
      <c r="B15" s="299"/>
      <c r="C15" s="300"/>
      <c r="D15" s="301"/>
      <c r="E15" s="303"/>
      <c r="F15" s="304"/>
      <c r="G15" s="359"/>
      <c r="H15" s="305"/>
      <c r="I15" s="305"/>
      <c r="J15" s="298"/>
      <c r="K15" s="305"/>
      <c r="L15" s="306"/>
      <c r="M15" s="296" t="str">
        <f>IF(C15&gt;0,MAX(M$8:M14)+1,"")</f>
        <v/>
      </c>
      <c r="N15" s="323"/>
    </row>
    <row r="16" spans="1:19" ht="17.25" x14ac:dyDescent="0.3">
      <c r="A16" s="299"/>
      <c r="B16" s="299"/>
      <c r="C16" s="300"/>
      <c r="D16" s="301"/>
      <c r="E16" s="303"/>
      <c r="F16" s="304"/>
      <c r="G16" s="358"/>
      <c r="H16" s="305"/>
      <c r="I16" s="305"/>
      <c r="K16" s="305"/>
      <c r="L16" s="306"/>
      <c r="M16" s="296" t="str">
        <f>IF(C16&gt;0,MAX(M$8:M15)+1,"")</f>
        <v/>
      </c>
      <c r="N16" s="323"/>
    </row>
    <row r="17" spans="1:15" ht="17.25" x14ac:dyDescent="0.3">
      <c r="A17" s="299"/>
      <c r="B17" s="299"/>
      <c r="C17" s="300"/>
      <c r="D17" s="301"/>
      <c r="E17" s="303"/>
      <c r="F17" s="304"/>
      <c r="G17" s="358"/>
      <c r="H17" s="305"/>
      <c r="I17" s="305"/>
      <c r="K17" s="305"/>
      <c r="L17" s="306"/>
      <c r="M17" s="296" t="str">
        <f>IF(C17&gt;0,MAX(M$8:M16)+1,"")</f>
        <v/>
      </c>
      <c r="N17" s="323"/>
    </row>
    <row r="18" spans="1:15" ht="17.25" x14ac:dyDescent="0.3">
      <c r="A18" s="299"/>
      <c r="B18" s="299"/>
      <c r="C18" s="300"/>
      <c r="D18" s="301"/>
      <c r="E18" s="303"/>
      <c r="F18" s="304"/>
      <c r="G18" s="359"/>
      <c r="H18" s="305"/>
      <c r="I18" s="305"/>
      <c r="J18" s="298"/>
      <c r="K18" s="305"/>
      <c r="L18" s="306"/>
      <c r="M18" s="296" t="str">
        <f>IF(C18&gt;0,MAX(M$8:M17)+1,"")</f>
        <v/>
      </c>
      <c r="N18" s="323"/>
    </row>
    <row r="19" spans="1:15" ht="17.25" x14ac:dyDescent="0.3">
      <c r="A19" s="299"/>
      <c r="B19" s="299"/>
      <c r="C19" s="300"/>
      <c r="D19" s="301"/>
      <c r="E19" s="303"/>
      <c r="F19" s="304"/>
      <c r="G19" s="358"/>
      <c r="H19" s="305"/>
      <c r="I19" s="305"/>
      <c r="K19" s="305"/>
      <c r="L19" s="306"/>
      <c r="M19" s="296" t="str">
        <f>IF(C19&gt;0,MAX(M$8:M18)+1,"")</f>
        <v/>
      </c>
      <c r="N19" s="323"/>
    </row>
    <row r="20" spans="1:15" ht="17.25" x14ac:dyDescent="0.3">
      <c r="A20" s="299"/>
      <c r="B20" s="299"/>
      <c r="C20" s="300"/>
      <c r="D20" s="301"/>
      <c r="E20" s="303"/>
      <c r="F20" s="304"/>
      <c r="G20" s="359"/>
      <c r="H20" s="305"/>
      <c r="I20" s="305"/>
      <c r="J20" s="298"/>
      <c r="K20" s="305"/>
      <c r="L20" s="306"/>
      <c r="M20" s="296" t="str">
        <f>IF(C20&gt;0,MAX(M$8:M19)+1,"")</f>
        <v/>
      </c>
      <c r="N20" s="323"/>
    </row>
    <row r="21" spans="1:15" ht="17.25" x14ac:dyDescent="0.3">
      <c r="A21" s="299"/>
      <c r="B21" s="299"/>
      <c r="C21" s="300"/>
      <c r="D21" s="301"/>
      <c r="E21" s="303"/>
      <c r="F21" s="304"/>
      <c r="G21" s="358"/>
      <c r="H21" s="305"/>
      <c r="I21" s="305"/>
      <c r="K21" s="305"/>
      <c r="L21" s="306"/>
      <c r="M21" s="296" t="str">
        <f>IF(C21&gt;0,MAX(M$8:M18)+1,"")</f>
        <v/>
      </c>
      <c r="N21" s="323"/>
    </row>
    <row r="22" spans="1:15" ht="17.25" x14ac:dyDescent="0.3">
      <c r="A22" s="299"/>
      <c r="B22" s="299"/>
      <c r="C22" s="300"/>
      <c r="D22" s="301"/>
      <c r="E22" s="303"/>
      <c r="F22" s="304"/>
      <c r="G22" s="358"/>
      <c r="H22" s="305"/>
      <c r="I22" s="305"/>
      <c r="K22" s="305"/>
      <c r="L22" s="306"/>
      <c r="M22" s="296" t="str">
        <f>IF(C22&gt;0,MAX(M$8:M21)+1,"")</f>
        <v/>
      </c>
      <c r="N22" s="323"/>
    </row>
    <row r="23" spans="1:15" ht="17.25" x14ac:dyDescent="0.3">
      <c r="A23" s="299"/>
      <c r="B23" s="299"/>
      <c r="C23" s="300"/>
      <c r="D23" s="301"/>
      <c r="E23" s="299"/>
      <c r="F23" s="302"/>
      <c r="G23" s="359"/>
      <c r="H23" s="299"/>
      <c r="I23" s="299"/>
      <c r="J23" s="298"/>
      <c r="K23" s="299"/>
      <c r="L23" s="299"/>
      <c r="M23" s="296" t="str">
        <f>IF(C23&gt;0,MAX(M$8:M22)+1,"")</f>
        <v/>
      </c>
      <c r="N23" s="323"/>
    </row>
    <row r="24" spans="1:15" ht="17.25" x14ac:dyDescent="0.3">
      <c r="A24" s="307" t="s">
        <v>143</v>
      </c>
      <c r="B24" s="308"/>
      <c r="C24" s="309"/>
      <c r="D24" s="310"/>
      <c r="E24" s="310"/>
      <c r="F24" s="310"/>
      <c r="G24" s="358"/>
      <c r="M24" s="311">
        <f>MAX(M$8:M23)</f>
        <v>0</v>
      </c>
      <c r="N24" s="323"/>
    </row>
    <row r="25" spans="1:15" ht="17.25" x14ac:dyDescent="0.3">
      <c r="A25" s="312"/>
      <c r="B25" s="312"/>
      <c r="C25" s="343" t="s">
        <v>144</v>
      </c>
      <c r="H25" s="313">
        <f>SUM(H9:H23)</f>
        <v>0</v>
      </c>
      <c r="J25" s="314" t="s">
        <v>145</v>
      </c>
      <c r="N25" s="323"/>
    </row>
    <row r="26" spans="1:15" ht="18" thickBot="1" x14ac:dyDescent="0.35">
      <c r="A26" s="312"/>
      <c r="B26" s="312"/>
      <c r="C26" s="343" t="s">
        <v>146</v>
      </c>
      <c r="I26" s="313">
        <f>SUM(I9:I23)</f>
        <v>0</v>
      </c>
      <c r="K26" s="315">
        <f>IF(I26&gt;0,"Wochenstunden",)</f>
        <v>0</v>
      </c>
      <c r="N26" s="323"/>
    </row>
    <row r="27" spans="1:15" ht="20.25" customHeight="1" thickTop="1" thickBot="1" x14ac:dyDescent="0.35">
      <c r="A27" s="105"/>
      <c r="B27" s="312"/>
      <c r="D27" s="317"/>
      <c r="F27" s="318">
        <f>IF(L27&gt;0,"Wochenstunden für ",)</f>
        <v>0</v>
      </c>
      <c r="G27" s="319">
        <f>IF(L27&gt;0,"Assistenzleistungen in Summe: ",)</f>
        <v>0</v>
      </c>
      <c r="H27" s="320"/>
      <c r="J27" s="222"/>
      <c r="K27" s="321"/>
      <c r="L27" s="322">
        <f>SUM(H25,I26)</f>
        <v>0</v>
      </c>
      <c r="N27" s="323"/>
      <c r="O27" s="222"/>
    </row>
    <row r="28" spans="1:15" ht="20.25" customHeight="1" thickTop="1" x14ac:dyDescent="0.3">
      <c r="A28" s="316"/>
      <c r="B28" s="312"/>
      <c r="D28" s="317"/>
      <c r="F28" s="318"/>
      <c r="G28" s="319"/>
      <c r="H28" s="413"/>
      <c r="J28" s="222"/>
      <c r="K28" s="414">
        <f>IF(L27&gt;0,"SAF-Personal:",)</f>
        <v>0</v>
      </c>
      <c r="L28" s="417"/>
      <c r="N28" s="323"/>
      <c r="O28" s="222"/>
    </row>
    <row r="29" spans="1:15" ht="20.25" customHeight="1" x14ac:dyDescent="0.3">
      <c r="A29" s="316" t="s">
        <v>147</v>
      </c>
      <c r="B29" s="312"/>
      <c r="C29" s="412"/>
      <c r="D29" s="317"/>
      <c r="F29" s="318"/>
      <c r="G29" s="319"/>
      <c r="H29" s="320"/>
      <c r="J29" s="222"/>
      <c r="K29" s="414">
        <f>IF(L27&gt;0,"Lehrpersonal mit der Verwendung Stütz- und Begleitlehrer:",)</f>
        <v>0</v>
      </c>
      <c r="L29" s="417"/>
      <c r="N29" s="323"/>
      <c r="O29" s="222"/>
    </row>
    <row r="30" spans="1:15" ht="23.25" x14ac:dyDescent="0.35">
      <c r="A30" s="831" t="s">
        <v>148</v>
      </c>
      <c r="B30" s="831"/>
      <c r="C30" s="831"/>
      <c r="D30" s="831"/>
      <c r="E30" s="831"/>
      <c r="F30" s="831"/>
      <c r="G30" s="831"/>
      <c r="H30" s="831"/>
      <c r="I30" s="831"/>
      <c r="J30" s="831"/>
      <c r="K30" s="831"/>
      <c r="L30" s="831"/>
      <c r="M30" s="831"/>
      <c r="N30" s="325"/>
    </row>
    <row r="31" spans="1:15" ht="23.25" x14ac:dyDescent="0.35">
      <c r="A31" s="831"/>
      <c r="B31" s="831"/>
      <c r="C31" s="831"/>
      <c r="D31" s="831"/>
      <c r="E31" s="831"/>
      <c r="F31" s="831"/>
      <c r="G31" s="831"/>
      <c r="H31" s="831"/>
      <c r="I31" s="831"/>
      <c r="J31" s="831"/>
      <c r="K31" s="831"/>
      <c r="L31" s="831"/>
      <c r="M31" s="831"/>
      <c r="N31" s="325"/>
    </row>
    <row r="32" spans="1:15" ht="23.25" x14ac:dyDescent="0.35">
      <c r="A32" s="831"/>
      <c r="B32" s="831"/>
      <c r="C32" s="831"/>
      <c r="D32" s="831"/>
      <c r="E32" s="831"/>
      <c r="F32" s="831"/>
      <c r="G32" s="831"/>
      <c r="H32" s="831"/>
      <c r="I32" s="831"/>
      <c r="J32" s="831"/>
      <c r="K32" s="831"/>
      <c r="L32" s="831"/>
      <c r="M32" s="831"/>
      <c r="N32" s="325"/>
    </row>
    <row r="33" spans="1:14" ht="23.25" x14ac:dyDescent="0.35">
      <c r="A33" s="831"/>
      <c r="B33" s="831"/>
      <c r="C33" s="831"/>
      <c r="D33" s="831"/>
      <c r="E33" s="831"/>
      <c r="F33" s="831"/>
      <c r="G33" s="831"/>
      <c r="H33" s="831"/>
      <c r="I33" s="831"/>
      <c r="J33" s="831"/>
      <c r="K33" s="831"/>
      <c r="L33" s="831"/>
      <c r="M33" s="831"/>
      <c r="N33" s="325"/>
    </row>
    <row r="34" spans="1:14" ht="23.25" x14ac:dyDescent="0.35">
      <c r="A34" s="831"/>
      <c r="B34" s="831"/>
      <c r="C34" s="831"/>
      <c r="D34" s="831"/>
      <c r="E34" s="831"/>
      <c r="F34" s="831"/>
      <c r="G34" s="831"/>
      <c r="H34" s="831"/>
      <c r="I34" s="831"/>
      <c r="J34" s="831"/>
      <c r="K34" s="831"/>
      <c r="L34" s="831"/>
      <c r="M34" s="831"/>
      <c r="N34" s="325"/>
    </row>
    <row r="35" spans="1:14" ht="23.25" x14ac:dyDescent="0.35">
      <c r="A35" s="831"/>
      <c r="B35" s="831"/>
      <c r="C35" s="831"/>
      <c r="D35" s="831"/>
      <c r="E35" s="831"/>
      <c r="F35" s="831"/>
      <c r="G35" s="831"/>
      <c r="H35" s="831"/>
      <c r="I35" s="831"/>
      <c r="J35" s="831"/>
      <c r="K35" s="831"/>
      <c r="L35" s="831"/>
      <c r="M35" s="831"/>
      <c r="N35" s="325"/>
    </row>
    <row r="36" spans="1:14" x14ac:dyDescent="0.25">
      <c r="A36" s="323"/>
      <c r="B36" s="323"/>
      <c r="C36" s="323"/>
      <c r="D36" s="323"/>
      <c r="E36" s="323"/>
      <c r="F36" s="323"/>
      <c r="G36" s="324"/>
      <c r="H36" s="323"/>
      <c r="I36" s="323"/>
      <c r="J36" s="324"/>
      <c r="K36" s="323"/>
      <c r="L36" s="323"/>
      <c r="M36" s="323"/>
      <c r="N36" s="323"/>
    </row>
    <row r="37" spans="1:14" ht="23.25" x14ac:dyDescent="0.35">
      <c r="A37" s="323"/>
      <c r="B37" s="323"/>
      <c r="C37" s="325"/>
      <c r="D37" s="323"/>
      <c r="E37" s="323"/>
      <c r="F37" s="323"/>
      <c r="G37" s="324"/>
      <c r="H37" s="323"/>
      <c r="I37" s="323"/>
      <c r="J37" s="324"/>
      <c r="K37" s="323"/>
      <c r="L37" s="323"/>
      <c r="M37" s="323"/>
      <c r="N37" s="323"/>
    </row>
    <row r="38" spans="1:14" s="331" customFormat="1" ht="23.25" x14ac:dyDescent="0.35">
      <c r="A38" s="326" t="s">
        <v>149</v>
      </c>
      <c r="B38" s="327"/>
      <c r="C38" s="328"/>
      <c r="D38" s="327"/>
      <c r="E38" s="329"/>
      <c r="F38" s="329"/>
      <c r="G38" s="330"/>
      <c r="H38" s="329"/>
      <c r="I38" s="329"/>
      <c r="J38" s="330"/>
      <c r="K38" s="329"/>
      <c r="L38" s="329"/>
      <c r="M38" s="329"/>
      <c r="N38" s="323"/>
    </row>
    <row r="39" spans="1:14" s="331" customFormat="1" x14ac:dyDescent="0.25">
      <c r="A39" s="332" t="s">
        <v>156</v>
      </c>
      <c r="B39" s="332">
        <v>21</v>
      </c>
      <c r="C39" s="333" t="s">
        <v>150</v>
      </c>
      <c r="D39" s="334"/>
      <c r="E39" s="332"/>
      <c r="F39" s="335" t="s">
        <v>140</v>
      </c>
      <c r="H39" s="336">
        <v>5</v>
      </c>
      <c r="I39" s="336"/>
      <c r="K39" s="332" t="s">
        <v>151</v>
      </c>
      <c r="L39" s="337"/>
      <c r="M39" s="338"/>
      <c r="N39" s="323"/>
    </row>
    <row r="40" spans="1:14" s="331" customFormat="1" x14ac:dyDescent="0.25">
      <c r="A40" s="332" t="s">
        <v>155</v>
      </c>
      <c r="B40" s="332">
        <v>19</v>
      </c>
      <c r="C40" s="333" t="s">
        <v>152</v>
      </c>
      <c r="D40" s="334"/>
      <c r="E40" s="332"/>
      <c r="F40" s="335" t="s">
        <v>140</v>
      </c>
      <c r="G40" s="339"/>
      <c r="H40" s="336">
        <v>7.5</v>
      </c>
      <c r="I40" s="336">
        <v>1.5</v>
      </c>
      <c r="J40" s="339"/>
      <c r="K40" s="332" t="s">
        <v>151</v>
      </c>
      <c r="L40" s="337" t="s">
        <v>151</v>
      </c>
      <c r="M40" s="338"/>
      <c r="N40" s="323"/>
    </row>
    <row r="41" spans="1:14" s="331" customFormat="1" x14ac:dyDescent="0.25">
      <c r="A41" s="332" t="s">
        <v>155</v>
      </c>
      <c r="B41" s="332">
        <v>19</v>
      </c>
      <c r="C41" s="333" t="s">
        <v>153</v>
      </c>
      <c r="D41" s="334"/>
      <c r="E41" s="332"/>
      <c r="F41" s="335" t="s">
        <v>141</v>
      </c>
      <c r="H41" s="336">
        <v>2</v>
      </c>
      <c r="I41" s="336"/>
      <c r="K41" s="332"/>
      <c r="L41" s="337" t="s">
        <v>154</v>
      </c>
      <c r="M41" s="338"/>
      <c r="N41" s="323"/>
    </row>
    <row r="42" spans="1:14" ht="23.25" x14ac:dyDescent="0.35">
      <c r="A42" s="323"/>
      <c r="B42" s="323"/>
      <c r="C42" s="325"/>
      <c r="D42" s="323"/>
      <c r="E42" s="323"/>
      <c r="F42" s="323"/>
      <c r="G42" s="324"/>
      <c r="H42" s="323"/>
      <c r="I42" s="323"/>
      <c r="J42" s="324"/>
      <c r="K42" s="323"/>
      <c r="L42" s="323"/>
      <c r="M42" s="323"/>
      <c r="N42" s="323"/>
    </row>
    <row r="43" spans="1:14" s="331" customFormat="1" hidden="1" x14ac:dyDescent="0.25">
      <c r="A43" s="340"/>
      <c r="B43" s="340"/>
      <c r="C43" s="340"/>
      <c r="D43" s="340"/>
      <c r="E43" s="340"/>
      <c r="F43" s="340"/>
      <c r="H43" s="340"/>
      <c r="I43" s="340"/>
      <c r="K43" s="340"/>
      <c r="L43" s="340"/>
      <c r="M43" s="340"/>
    </row>
    <row r="44" spans="1:14" s="331" customFormat="1" hidden="1" x14ac:dyDescent="0.25">
      <c r="A44" s="340"/>
      <c r="B44" s="340"/>
      <c r="C44" s="340"/>
      <c r="D44" s="340"/>
      <c r="E44" s="340"/>
      <c r="F44" s="340"/>
      <c r="H44" s="340"/>
      <c r="I44" s="340"/>
      <c r="K44" s="340"/>
      <c r="L44" s="340"/>
      <c r="M44" s="340"/>
    </row>
    <row r="45" spans="1:14" hidden="1" x14ac:dyDescent="0.25"/>
    <row r="46" spans="1:14" hidden="1" x14ac:dyDescent="0.25"/>
    <row r="47" spans="1:14" hidden="1" x14ac:dyDescent="0.25"/>
    <row r="48" spans="1: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sheetData>
  <sheetProtection algorithmName="SHA-512" hashValue="tsyE6UPbG9p2FBd9Aa3ELn59mFDzRuLpgzDXtm+XHeJyYdiveqD2bSIcqsJKF85tGkSRZm6Jc3M3Lo9amKNJNQ==" saltValue="J4+myxbvsG8iPYo0PkoxbA==" spinCount="100000" sheet="1" formatRows="0"/>
  <customSheetViews>
    <customSheetView guid="{B1A9DF0D-440C-4435-ADFB-79A992102039}" showGridLines="0" zeroValues="0" fitToPage="1" hiddenRows="1" hiddenColumns="1" topLeftCell="A10">
      <selection activeCell="A9" sqref="A9"/>
      <pageMargins left="0.59055118110236227" right="0.35433070866141736" top="0.62992125984251968" bottom="0.62992125984251968" header="0.31496062992125984" footer="0.31496062992125984"/>
      <printOptions horizontalCentered="1" verticalCentered="1"/>
      <pageSetup paperSize="9" fitToHeight="0" orientation="portrait" horizontalDpi="4294967293" r:id="rId1"/>
      <headerFooter>
        <oddFooter>&amp;C&amp;5&amp;Z&amp;11&amp;F&amp;R&amp;D</oddFooter>
      </headerFooter>
    </customSheetView>
  </customSheetViews>
  <mergeCells count="6">
    <mergeCell ref="A30:M35"/>
    <mergeCell ref="H4:H7"/>
    <mergeCell ref="I4:I7"/>
    <mergeCell ref="K4:K7"/>
    <mergeCell ref="L4:L7"/>
    <mergeCell ref="F5:F6"/>
  </mergeCells>
  <conditionalFormatting sqref="F14:F22 H14:I22 K14:K22">
    <cfRule type="expression" dxfId="8" priority="46">
      <formula>$C14&gt;0</formula>
    </cfRule>
  </conditionalFormatting>
  <conditionalFormatting sqref="F19:F20 H19:I20 K19:K20">
    <cfRule type="expression" dxfId="7" priority="11">
      <formula>$C19&gt;0</formula>
    </cfRule>
  </conditionalFormatting>
  <conditionalFormatting sqref="L28:L29">
    <cfRule type="expression" dxfId="6" priority="8">
      <formula>SUM($L$28:$L$29)&lt;&gt;$L$27</formula>
    </cfRule>
    <cfRule type="expression" dxfId="5" priority="9">
      <formula>SUM($L$28:$L$29)=$L$27</formula>
    </cfRule>
  </conditionalFormatting>
  <conditionalFormatting sqref="L28:L29">
    <cfRule type="expression" dxfId="4" priority="1">
      <formula>$L$27=0</formula>
    </cfRule>
  </conditionalFormatting>
  <conditionalFormatting sqref="D77">
    <cfRule type="expression" priority="6">
      <formula>$L$29&lt;&gt;""</formula>
    </cfRule>
  </conditionalFormatting>
  <conditionalFormatting sqref="K28:K29">
    <cfRule type="expression" dxfId="3" priority="2">
      <formula>$L$27=0</formula>
    </cfRule>
  </conditionalFormatting>
  <dataValidations count="10">
    <dataValidation allowBlank="1" showInputMessage="1" showErrorMessage="1" prompt="Beispiele zum Ausfüllen_x000a_siehe unten in den Zeilen 36 bis 38" sqref="A9"/>
    <dataValidation type="whole" allowBlank="1" showInputMessage="1" showErrorMessage="1" error="Bitte eine gültige Zahl eingeben" prompt="Beispiele zum Ausfüllen_x000a_siehe unten in den Zeilen 36 bis 38" sqref="B9">
      <formula1>0</formula1>
      <formula2>33</formula2>
    </dataValidation>
    <dataValidation type="list" allowBlank="1" showDropDown="1" showInputMessage="1" showErrorMessage="1" prompt="Bitte &quot;X&quot; eingeben bei Zutreffen" sqref="K9:L11">
      <formula1>"X,x"</formula1>
    </dataValidation>
    <dataValidation type="list" allowBlank="1" showInputMessage="1" showErrorMessage="1" sqref="F982986:F983045 F65482:F65541 F917450:F917509 F851914:F851973 F786378:F786437 F720842:F720901 F655306:F655365 F589770:F589829 F524234:F524293 F458698:F458757 F393162:F393221 F327626:F327685 F262090:F262149 F196554:F196613 F131018:F131077">
      <formula1>$O$9:$O$12</formula1>
    </dataValidation>
    <dataValidation type="whole" allowBlank="1" showInputMessage="1" showErrorMessage="1" error="Bitte eine gültige Zahl eingeben" sqref="B10:B23">
      <formula1>0</formula1>
      <formula2>33</formula2>
    </dataValidation>
    <dataValidation type="list" allowBlank="1" showDropDown="1" showInputMessage="1" showErrorMessage="1" error="Bitte &quot;X&quot; eingeben bei Zutreffen" sqref="K12:L23">
      <formula1>"X,x"</formula1>
    </dataValidation>
    <dataValidation type="decimal" allowBlank="1" showInputMessage="1" showErrorMessage="1" error="Bitte eine gültige Zahl eingeben" sqref="H9:I23">
      <formula1>-8</formula1>
      <formula2>33</formula2>
    </dataValidation>
    <dataValidation type="decimal" allowBlank="1" showInputMessage="1" showErrorMessage="1" errorTitle="Zu viele Stunden" error="Durch Lehrpersonen dürfen nur Assistenzleistungen im Unterricht geleistet werden._x000a_Es wurden Mehr Stunden eingegeben, als für diesen Bereich beantragt wurden." promptTitle="Nur Unterricht!" prompt="Ausschließlich Lehrpersonen welche eine Verwendung als &quot;Stütz- und BegleitlehrerInnen&quot; haben dürfen Assistenzleistungen im Unterricht geleistet erbringen._x000a__x000a_Nicht jedoch im Freizeitbereich!" sqref="L29">
      <formula1>0</formula1>
      <formula2>H25</formula2>
    </dataValidation>
    <dataValidation type="decimal" allowBlank="1" showInputMessage="1" showErrorMessage="1" errorTitle="Zu viele Stunden" error="Es können nicht mehr Stunden vergeben werden, als beantragt wurden." sqref="L28">
      <formula1>0</formula1>
      <formula2>L27</formula2>
    </dataValidation>
    <dataValidation type="list" allowBlank="1" showInputMessage="1" showErrorMessage="1" sqref="F9:F23">
      <formula1>$O$9:$O$11</formula1>
    </dataValidation>
  </dataValidations>
  <printOptions horizontalCentered="1" verticalCentered="1"/>
  <pageMargins left="0.59055118110236227" right="0.35433070866141736" top="0.62992125984251968" bottom="0.62992125984251968" header="0.31496062992125984" footer="0.31496062992125984"/>
  <pageSetup paperSize="9" fitToHeight="0" orientation="portrait" horizontalDpi="4294967293" r:id="rId2"/>
  <headerFooter>
    <oddFooter>&amp;C&amp;5&amp;Z&amp;11&amp;F&amp;R&amp;D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CDACE6"/>
  </sheetPr>
  <dimension ref="B1:M29"/>
  <sheetViews>
    <sheetView showGridLines="0" zoomScaleNormal="100" workbookViewId="0">
      <selection activeCell="D9" sqref="D9"/>
    </sheetView>
  </sheetViews>
  <sheetFormatPr baseColWidth="10" defaultRowHeight="15" x14ac:dyDescent="0.25"/>
  <cols>
    <col min="1" max="2" width="2.140625" style="481" customWidth="1"/>
    <col min="3" max="3" width="16.5703125" style="481" customWidth="1"/>
    <col min="4" max="4" width="6.42578125" style="481" customWidth="1"/>
    <col min="5" max="5" width="3.85546875" style="481" customWidth="1"/>
    <col min="6" max="6" width="19" style="481" customWidth="1"/>
    <col min="7" max="7" width="5.85546875" style="481" customWidth="1"/>
    <col min="8" max="8" width="3.85546875" style="481" customWidth="1"/>
    <col min="9" max="9" width="18" style="481" customWidth="1"/>
    <col min="10" max="10" width="6.42578125" style="481" customWidth="1"/>
    <col min="11" max="11" width="3" style="481" customWidth="1"/>
    <col min="12" max="16384" width="11.42578125" style="481"/>
  </cols>
  <sheetData>
    <row r="1" spans="2:12" x14ac:dyDescent="0.25">
      <c r="J1" s="482"/>
    </row>
    <row r="2" spans="2:12" s="487" customFormat="1" ht="18.75" customHeight="1" x14ac:dyDescent="0.25">
      <c r="B2" s="483"/>
      <c r="C2" s="484" t="str">
        <f>Konti_PTS!C7</f>
        <v>PTS  . . .</v>
      </c>
      <c r="D2" s="484"/>
      <c r="E2" s="484"/>
      <c r="F2" s="484"/>
      <c r="G2" s="484"/>
      <c r="H2" s="484"/>
      <c r="I2" s="484"/>
      <c r="J2" s="485" t="str">
        <f>Konti_PTS!H1</f>
        <v>PTS für 2024/25</v>
      </c>
      <c r="K2" s="486"/>
    </row>
    <row r="3" spans="2:12" ht="30" customHeight="1" x14ac:dyDescent="0.25">
      <c r="B3" s="840" t="s">
        <v>288</v>
      </c>
      <c r="C3" s="841"/>
      <c r="D3" s="841"/>
      <c r="E3" s="841"/>
      <c r="F3" s="841"/>
      <c r="G3" s="841"/>
      <c r="H3" s="841"/>
      <c r="I3" s="841"/>
      <c r="J3" s="841"/>
      <c r="K3" s="841"/>
    </row>
    <row r="4" spans="2:12" x14ac:dyDescent="0.25">
      <c r="B4" s="488"/>
      <c r="K4" s="489"/>
    </row>
    <row r="5" spans="2:12" x14ac:dyDescent="0.25">
      <c r="B5" s="488"/>
      <c r="C5" s="481" t="str">
        <f>"Anzahl der SuS der Stammschule, welche sich für das Schuljahr 20"&amp;RIGHT(Konti_PTS!H1,5)</f>
        <v>Anzahl der SuS der Stammschule, welche sich für das Schuljahr 2024/25</v>
      </c>
      <c r="K5" s="489"/>
    </row>
    <row r="6" spans="2:12" x14ac:dyDescent="0.25">
      <c r="B6" s="488"/>
      <c r="C6" s="773" t="s">
        <v>389</v>
      </c>
      <c r="K6" s="489"/>
    </row>
    <row r="7" spans="2:12" x14ac:dyDescent="0.25">
      <c r="B7" s="488"/>
      <c r="C7" s="481" t="s">
        <v>289</v>
      </c>
      <c r="K7" s="489"/>
    </row>
    <row r="8" spans="2:12" x14ac:dyDescent="0.25">
      <c r="B8" s="488"/>
      <c r="C8" s="490"/>
      <c r="D8" s="490"/>
      <c r="E8" s="490"/>
      <c r="F8" s="490"/>
      <c r="G8" s="490"/>
      <c r="H8" s="490"/>
      <c r="I8" s="491"/>
      <c r="K8" s="489"/>
    </row>
    <row r="9" spans="2:12" x14ac:dyDescent="0.25">
      <c r="B9" s="488"/>
      <c r="C9" s="754" t="s">
        <v>290</v>
      </c>
      <c r="D9" s="755"/>
      <c r="E9" s="756"/>
      <c r="F9" s="754" t="s">
        <v>291</v>
      </c>
      <c r="G9" s="755"/>
      <c r="H9" s="757"/>
      <c r="I9" s="493" t="s">
        <v>292</v>
      </c>
      <c r="J9" s="758"/>
      <c r="K9" s="489"/>
    </row>
    <row r="10" spans="2:12" x14ac:dyDescent="0.25">
      <c r="B10" s="488"/>
      <c r="C10" s="759" t="s">
        <v>293</v>
      </c>
      <c r="D10" s="760"/>
      <c r="E10" s="756"/>
      <c r="F10" s="759" t="s">
        <v>294</v>
      </c>
      <c r="G10" s="760"/>
      <c r="H10" s="757"/>
      <c r="I10" s="761"/>
      <c r="J10" s="760"/>
      <c r="K10" s="489"/>
    </row>
    <row r="11" spans="2:12" x14ac:dyDescent="0.25">
      <c r="B11" s="488"/>
      <c r="C11" s="759" t="s">
        <v>295</v>
      </c>
      <c r="D11" s="760"/>
      <c r="E11" s="756"/>
      <c r="F11" s="759" t="s">
        <v>296</v>
      </c>
      <c r="G11" s="760"/>
      <c r="H11" s="757"/>
      <c r="I11" s="761"/>
      <c r="J11" s="760"/>
      <c r="K11" s="489"/>
    </row>
    <row r="12" spans="2:12" x14ac:dyDescent="0.25">
      <c r="B12" s="488"/>
      <c r="C12" s="759" t="s">
        <v>297</v>
      </c>
      <c r="D12" s="760"/>
      <c r="E12" s="756"/>
      <c r="F12" s="759" t="s">
        <v>298</v>
      </c>
      <c r="G12" s="760"/>
      <c r="H12" s="757"/>
      <c r="I12" s="761"/>
      <c r="J12" s="760"/>
      <c r="K12" s="489"/>
    </row>
    <row r="13" spans="2:12" x14ac:dyDescent="0.25">
      <c r="B13" s="488"/>
      <c r="C13" s="759" t="s">
        <v>299</v>
      </c>
      <c r="D13" s="760"/>
      <c r="E13" s="756"/>
      <c r="F13" s="759" t="s">
        <v>300</v>
      </c>
      <c r="G13" s="760"/>
      <c r="H13" s="757"/>
      <c r="I13" s="761"/>
      <c r="J13" s="760"/>
      <c r="K13" s="489"/>
    </row>
    <row r="14" spans="2:12" x14ac:dyDescent="0.25">
      <c r="B14" s="488"/>
      <c r="C14" s="759" t="s">
        <v>301</v>
      </c>
      <c r="D14" s="760"/>
      <c r="E14" s="756"/>
      <c r="F14" s="759" t="s">
        <v>302</v>
      </c>
      <c r="G14" s="760"/>
      <c r="H14" s="757"/>
      <c r="I14" s="761"/>
      <c r="J14" s="760"/>
      <c r="K14" s="494"/>
      <c r="L14" s="495"/>
    </row>
    <row r="15" spans="2:12" x14ac:dyDescent="0.25">
      <c r="B15" s="488"/>
      <c r="C15" s="759" t="s">
        <v>303</v>
      </c>
      <c r="D15" s="760"/>
      <c r="E15" s="756"/>
      <c r="F15" s="759" t="s">
        <v>304</v>
      </c>
      <c r="G15" s="760"/>
      <c r="H15" s="757"/>
      <c r="I15" s="761"/>
      <c r="J15" s="760"/>
      <c r="K15" s="494"/>
      <c r="L15" s="495"/>
    </row>
    <row r="16" spans="2:12" x14ac:dyDescent="0.25">
      <c r="B16" s="488"/>
      <c r="C16" s="762" t="s">
        <v>305</v>
      </c>
      <c r="D16" s="763"/>
      <c r="E16" s="756"/>
      <c r="F16" s="762" t="s">
        <v>306</v>
      </c>
      <c r="G16" s="763"/>
      <c r="H16" s="757"/>
      <c r="I16" s="764"/>
      <c r="J16" s="763"/>
      <c r="K16" s="489"/>
    </row>
    <row r="17" spans="2:13" x14ac:dyDescent="0.25">
      <c r="B17" s="488"/>
      <c r="D17" s="492"/>
      <c r="E17" s="492"/>
      <c r="F17" s="492"/>
      <c r="G17" s="492"/>
      <c r="K17" s="489"/>
    </row>
    <row r="18" spans="2:13" ht="9" customHeight="1" x14ac:dyDescent="0.25">
      <c r="B18" s="488"/>
      <c r="C18" s="490"/>
      <c r="D18" s="490"/>
      <c r="E18" s="490"/>
      <c r="F18" s="490"/>
      <c r="G18" s="490"/>
      <c r="H18" s="490"/>
      <c r="I18" s="490"/>
      <c r="K18" s="489"/>
      <c r="M18" s="495"/>
    </row>
    <row r="19" spans="2:13" x14ac:dyDescent="0.25">
      <c r="B19" s="488"/>
      <c r="C19" s="481" t="str">
        <f>"Die zum Erstsprachenunterricht angemeldeten Schülerinnnen und Schüler "</f>
        <v xml:space="preserve">Die zum Erstsprachenunterricht angemeldeten Schülerinnnen und Schüler </v>
      </c>
      <c r="K19" s="489"/>
      <c r="M19" s="495"/>
    </row>
    <row r="20" spans="2:13" x14ac:dyDescent="0.25">
      <c r="B20" s="488"/>
      <c r="C20" s="481" t="str">
        <f>"müssen bis zum 30.06.20"&amp;RIGHT(Konti_PTS!H1,2)-1&amp;" an Diversitätsmanager Mustafa Can mit Namen, "</f>
        <v xml:space="preserve">müssen bis zum 30.06.2024 an Diversitätsmanager Mustafa Can mit Namen, </v>
      </c>
      <c r="K20" s="489"/>
    </row>
    <row r="21" spans="2:13" x14ac:dyDescent="0.25">
      <c r="B21" s="488"/>
      <c r="C21" s="481" t="s">
        <v>307</v>
      </c>
      <c r="K21" s="489"/>
    </row>
    <row r="22" spans="2:13" x14ac:dyDescent="0.25">
      <c r="B22" s="488"/>
      <c r="C22" s="490"/>
      <c r="D22" s="490"/>
      <c r="E22" s="490"/>
      <c r="F22" s="490"/>
      <c r="G22" s="490"/>
      <c r="H22" s="490"/>
      <c r="I22" s="490"/>
      <c r="K22" s="489"/>
    </row>
    <row r="23" spans="2:13" x14ac:dyDescent="0.25">
      <c r="B23" s="488"/>
      <c r="C23" s="481" t="s">
        <v>308</v>
      </c>
      <c r="K23" s="489"/>
    </row>
    <row r="24" spans="2:13" x14ac:dyDescent="0.25">
      <c r="B24" s="488"/>
      <c r="C24" s="490" t="s">
        <v>309</v>
      </c>
      <c r="D24" s="490"/>
      <c r="E24" s="490"/>
      <c r="F24" s="490"/>
      <c r="G24" s="490"/>
      <c r="H24" s="490"/>
      <c r="I24" s="490"/>
      <c r="K24" s="489"/>
    </row>
    <row r="25" spans="2:13" ht="9" customHeight="1" x14ac:dyDescent="0.25">
      <c r="B25" s="488"/>
      <c r="C25" s="490"/>
      <c r="D25" s="490"/>
      <c r="E25" s="490"/>
      <c r="F25" s="490"/>
      <c r="G25" s="490"/>
      <c r="H25" s="490"/>
      <c r="I25" s="490"/>
      <c r="K25" s="489"/>
    </row>
    <row r="26" spans="2:13" x14ac:dyDescent="0.25">
      <c r="B26" s="488"/>
      <c r="C26" s="496" t="str">
        <f>"Abgabefrist 30.06.20"&amp;RIGHT(Konti_PTS!H1,2)-1</f>
        <v>Abgabefrist 30.06.2024</v>
      </c>
      <c r="K26" s="489"/>
    </row>
    <row r="27" spans="2:13" x14ac:dyDescent="0.25">
      <c r="B27" s="488"/>
      <c r="K27" s="489"/>
    </row>
    <row r="28" spans="2:13" ht="21" customHeight="1" x14ac:dyDescent="0.25">
      <c r="B28" s="488"/>
      <c r="C28" s="842" t="s">
        <v>310</v>
      </c>
      <c r="D28" s="842"/>
      <c r="E28" s="842"/>
      <c r="F28" s="842"/>
      <c r="G28" s="842"/>
      <c r="H28" s="842"/>
      <c r="I28" s="842"/>
      <c r="J28" s="842"/>
      <c r="K28" s="489"/>
    </row>
    <row r="29" spans="2:13" x14ac:dyDescent="0.25">
      <c r="B29" s="497"/>
      <c r="C29" s="482"/>
      <c r="D29" s="482"/>
      <c r="E29" s="482"/>
      <c r="F29" s="482"/>
      <c r="G29" s="482"/>
      <c r="H29" s="482"/>
      <c r="I29" s="482"/>
      <c r="J29" s="482"/>
      <c r="K29" s="498"/>
    </row>
  </sheetData>
  <sheetProtection algorithmName="SHA-512" hashValue="ZGjlIavKw1WZcnbNVS1K5dyM1wLOc59QZUR1lc2Y1bfG5b4UBB0MsW/31+uzVXENTDOops0CK4JiORckDPR5Aw==" saltValue="B47gx9jwxkC2SaJXYC9hOA==" spinCount="100000" sheet="1" formatRows="0"/>
  <mergeCells count="2">
    <mergeCell ref="B3:K3"/>
    <mergeCell ref="C28:J28"/>
  </mergeCells>
  <conditionalFormatting sqref="D26:I26">
    <cfRule type="cellIs" dxfId="2" priority="1" operator="notEqual">
      <formula>0</formula>
    </cfRule>
  </conditionalFormatting>
  <dataValidations count="1">
    <dataValidation type="whole" allowBlank="1" showInputMessage="1" showErrorMessage="1" sqref="D9:D16 G9:G16 J10:J16">
      <formula1>0</formula1>
      <formula2>100</formula2>
    </dataValidation>
  </dataValidations>
  <hyperlinks>
    <hyperlink ref="C24" r:id="rId1"/>
    <hyperlink ref="C28:J28" r:id="rId2" display="Anmeldeformulare und weiterführende Informationen"/>
  </hyperlinks>
  <pageMargins left="0.7" right="0.7" top="0.78740157499999996" bottom="0.78740157499999996"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47"/>
    <pageSetUpPr fitToPage="1"/>
  </sheetPr>
  <dimension ref="A1:IK249"/>
  <sheetViews>
    <sheetView showGridLines="0" showZeros="0" zoomScaleNormal="100" workbookViewId="0">
      <pane ySplit="4" topLeftCell="A5" activePane="bottomLeft" state="frozen"/>
      <selection activeCell="J25" sqref="J25"/>
      <selection pane="bottomLeft" activeCell="A5" sqref="A5"/>
    </sheetView>
  </sheetViews>
  <sheetFormatPr baseColWidth="10" defaultColWidth="12.85546875" defaultRowHeight="0" customHeight="1" zeroHeight="1" x14ac:dyDescent="0.25"/>
  <cols>
    <col min="1" max="1" width="27.7109375" style="516" customWidth="1"/>
    <col min="2" max="2" width="22.28515625" style="516" customWidth="1"/>
    <col min="3" max="3" width="22.28515625" style="516" hidden="1" customWidth="1"/>
    <col min="4" max="5" width="10.140625" style="516" customWidth="1"/>
    <col min="6" max="6" width="1.7109375" style="517" customWidth="1"/>
    <col min="7" max="13" width="10.140625" style="516" customWidth="1"/>
    <col min="14" max="14" width="1.140625" style="516" customWidth="1"/>
    <col min="15" max="15" width="10.140625" style="518" customWidth="1"/>
    <col min="16" max="16" width="1.28515625" style="516" customWidth="1"/>
    <col min="17" max="17" width="10.140625" style="516" customWidth="1"/>
    <col min="18" max="237" width="11.7109375" style="516" customWidth="1"/>
    <col min="238" max="252" width="12.85546875" style="516"/>
    <col min="253" max="253" width="27.7109375" style="516" bestFit="1" customWidth="1"/>
    <col min="254" max="254" width="22.28515625" style="516" customWidth="1"/>
    <col min="255" max="257" width="10.140625" style="516" customWidth="1"/>
    <col min="258" max="258" width="1.7109375" style="516" customWidth="1"/>
    <col min="259" max="260" width="10.140625" style="516" customWidth="1"/>
    <col min="261" max="261" width="1.140625" style="516" customWidth="1"/>
    <col min="262" max="265" width="10.140625" style="516" customWidth="1"/>
    <col min="266" max="266" width="1.140625" style="516" customWidth="1"/>
    <col min="267" max="268" width="10.140625" style="516" customWidth="1"/>
    <col min="269" max="269" width="2" style="516" customWidth="1"/>
    <col min="270" max="493" width="11.7109375" style="516" customWidth="1"/>
    <col min="494" max="508" width="12.85546875" style="516"/>
    <col min="509" max="509" width="27.7109375" style="516" bestFit="1" customWidth="1"/>
    <col min="510" max="510" width="22.28515625" style="516" customWidth="1"/>
    <col min="511" max="513" width="10.140625" style="516" customWidth="1"/>
    <col min="514" max="514" width="1.7109375" style="516" customWidth="1"/>
    <col min="515" max="516" width="10.140625" style="516" customWidth="1"/>
    <col min="517" max="517" width="1.140625" style="516" customWidth="1"/>
    <col min="518" max="521" width="10.140625" style="516" customWidth="1"/>
    <col min="522" max="522" width="1.140625" style="516" customWidth="1"/>
    <col min="523" max="524" width="10.140625" style="516" customWidth="1"/>
    <col min="525" max="525" width="2" style="516" customWidth="1"/>
    <col min="526" max="749" width="11.7109375" style="516" customWidth="1"/>
    <col min="750" max="764" width="12.85546875" style="516"/>
    <col min="765" max="765" width="27.7109375" style="516" bestFit="1" customWidth="1"/>
    <col min="766" max="766" width="22.28515625" style="516" customWidth="1"/>
    <col min="767" max="769" width="10.140625" style="516" customWidth="1"/>
    <col min="770" max="770" width="1.7109375" style="516" customWidth="1"/>
    <col min="771" max="772" width="10.140625" style="516" customWidth="1"/>
    <col min="773" max="773" width="1.140625" style="516" customWidth="1"/>
    <col min="774" max="777" width="10.140625" style="516" customWidth="1"/>
    <col min="778" max="778" width="1.140625" style="516" customWidth="1"/>
    <col min="779" max="780" width="10.140625" style="516" customWidth="1"/>
    <col min="781" max="781" width="2" style="516" customWidth="1"/>
    <col min="782" max="1005" width="11.7109375" style="516" customWidth="1"/>
    <col min="1006" max="1020" width="12.85546875" style="516"/>
    <col min="1021" max="1021" width="27.7109375" style="516" bestFit="1" customWidth="1"/>
    <col min="1022" max="1022" width="22.28515625" style="516" customWidth="1"/>
    <col min="1023" max="1025" width="10.140625" style="516" customWidth="1"/>
    <col min="1026" max="1026" width="1.7109375" style="516" customWidth="1"/>
    <col min="1027" max="1028" width="10.140625" style="516" customWidth="1"/>
    <col min="1029" max="1029" width="1.140625" style="516" customWidth="1"/>
    <col min="1030" max="1033" width="10.140625" style="516" customWidth="1"/>
    <col min="1034" max="1034" width="1.140625" style="516" customWidth="1"/>
    <col min="1035" max="1036" width="10.140625" style="516" customWidth="1"/>
    <col min="1037" max="1037" width="2" style="516" customWidth="1"/>
    <col min="1038" max="1261" width="11.7109375" style="516" customWidth="1"/>
    <col min="1262" max="1276" width="12.85546875" style="516"/>
    <col min="1277" max="1277" width="27.7109375" style="516" bestFit="1" customWidth="1"/>
    <col min="1278" max="1278" width="22.28515625" style="516" customWidth="1"/>
    <col min="1279" max="1281" width="10.140625" style="516" customWidth="1"/>
    <col min="1282" max="1282" width="1.7109375" style="516" customWidth="1"/>
    <col min="1283" max="1284" width="10.140625" style="516" customWidth="1"/>
    <col min="1285" max="1285" width="1.140625" style="516" customWidth="1"/>
    <col min="1286" max="1289" width="10.140625" style="516" customWidth="1"/>
    <col min="1290" max="1290" width="1.140625" style="516" customWidth="1"/>
    <col min="1291" max="1292" width="10.140625" style="516" customWidth="1"/>
    <col min="1293" max="1293" width="2" style="516" customWidth="1"/>
    <col min="1294" max="1517" width="11.7109375" style="516" customWidth="1"/>
    <col min="1518" max="1532" width="12.85546875" style="516"/>
    <col min="1533" max="1533" width="27.7109375" style="516" bestFit="1" customWidth="1"/>
    <col min="1534" max="1534" width="22.28515625" style="516" customWidth="1"/>
    <col min="1535" max="1537" width="10.140625" style="516" customWidth="1"/>
    <col min="1538" max="1538" width="1.7109375" style="516" customWidth="1"/>
    <col min="1539" max="1540" width="10.140625" style="516" customWidth="1"/>
    <col min="1541" max="1541" width="1.140625" style="516" customWidth="1"/>
    <col min="1542" max="1545" width="10.140625" style="516" customWidth="1"/>
    <col min="1546" max="1546" width="1.140625" style="516" customWidth="1"/>
    <col min="1547" max="1548" width="10.140625" style="516" customWidth="1"/>
    <col min="1549" max="1549" width="2" style="516" customWidth="1"/>
    <col min="1550" max="1773" width="11.7109375" style="516" customWidth="1"/>
    <col min="1774" max="1788" width="12.85546875" style="516"/>
    <col min="1789" max="1789" width="27.7109375" style="516" bestFit="1" customWidth="1"/>
    <col min="1790" max="1790" width="22.28515625" style="516" customWidth="1"/>
    <col min="1791" max="1793" width="10.140625" style="516" customWidth="1"/>
    <col min="1794" max="1794" width="1.7109375" style="516" customWidth="1"/>
    <col min="1795" max="1796" width="10.140625" style="516" customWidth="1"/>
    <col min="1797" max="1797" width="1.140625" style="516" customWidth="1"/>
    <col min="1798" max="1801" width="10.140625" style="516" customWidth="1"/>
    <col min="1802" max="1802" width="1.140625" style="516" customWidth="1"/>
    <col min="1803" max="1804" width="10.140625" style="516" customWidth="1"/>
    <col min="1805" max="1805" width="2" style="516" customWidth="1"/>
    <col min="1806" max="2029" width="11.7109375" style="516" customWidth="1"/>
    <col min="2030" max="2044" width="12.85546875" style="516"/>
    <col min="2045" max="2045" width="27.7109375" style="516" bestFit="1" customWidth="1"/>
    <col min="2046" max="2046" width="22.28515625" style="516" customWidth="1"/>
    <col min="2047" max="2049" width="10.140625" style="516" customWidth="1"/>
    <col min="2050" max="2050" width="1.7109375" style="516" customWidth="1"/>
    <col min="2051" max="2052" width="10.140625" style="516" customWidth="1"/>
    <col min="2053" max="2053" width="1.140625" style="516" customWidth="1"/>
    <col min="2054" max="2057" width="10.140625" style="516" customWidth="1"/>
    <col min="2058" max="2058" width="1.140625" style="516" customWidth="1"/>
    <col min="2059" max="2060" width="10.140625" style="516" customWidth="1"/>
    <col min="2061" max="2061" width="2" style="516" customWidth="1"/>
    <col min="2062" max="2285" width="11.7109375" style="516" customWidth="1"/>
    <col min="2286" max="2300" width="12.85546875" style="516"/>
    <col min="2301" max="2301" width="27.7109375" style="516" bestFit="1" customWidth="1"/>
    <col min="2302" max="2302" width="22.28515625" style="516" customWidth="1"/>
    <col min="2303" max="2305" width="10.140625" style="516" customWidth="1"/>
    <col min="2306" max="2306" width="1.7109375" style="516" customWidth="1"/>
    <col min="2307" max="2308" width="10.140625" style="516" customWidth="1"/>
    <col min="2309" max="2309" width="1.140625" style="516" customWidth="1"/>
    <col min="2310" max="2313" width="10.140625" style="516" customWidth="1"/>
    <col min="2314" max="2314" width="1.140625" style="516" customWidth="1"/>
    <col min="2315" max="2316" width="10.140625" style="516" customWidth="1"/>
    <col min="2317" max="2317" width="2" style="516" customWidth="1"/>
    <col min="2318" max="2541" width="11.7109375" style="516" customWidth="1"/>
    <col min="2542" max="2556" width="12.85546875" style="516"/>
    <col min="2557" max="2557" width="27.7109375" style="516" bestFit="1" customWidth="1"/>
    <col min="2558" max="2558" width="22.28515625" style="516" customWidth="1"/>
    <col min="2559" max="2561" width="10.140625" style="516" customWidth="1"/>
    <col min="2562" max="2562" width="1.7109375" style="516" customWidth="1"/>
    <col min="2563" max="2564" width="10.140625" style="516" customWidth="1"/>
    <col min="2565" max="2565" width="1.140625" style="516" customWidth="1"/>
    <col min="2566" max="2569" width="10.140625" style="516" customWidth="1"/>
    <col min="2570" max="2570" width="1.140625" style="516" customWidth="1"/>
    <col min="2571" max="2572" width="10.140625" style="516" customWidth="1"/>
    <col min="2573" max="2573" width="2" style="516" customWidth="1"/>
    <col min="2574" max="2797" width="11.7109375" style="516" customWidth="1"/>
    <col min="2798" max="2812" width="12.85546875" style="516"/>
    <col min="2813" max="2813" width="27.7109375" style="516" bestFit="1" customWidth="1"/>
    <col min="2814" max="2814" width="22.28515625" style="516" customWidth="1"/>
    <col min="2815" max="2817" width="10.140625" style="516" customWidth="1"/>
    <col min="2818" max="2818" width="1.7109375" style="516" customWidth="1"/>
    <col min="2819" max="2820" width="10.140625" style="516" customWidth="1"/>
    <col min="2821" max="2821" width="1.140625" style="516" customWidth="1"/>
    <col min="2822" max="2825" width="10.140625" style="516" customWidth="1"/>
    <col min="2826" max="2826" width="1.140625" style="516" customWidth="1"/>
    <col min="2827" max="2828" width="10.140625" style="516" customWidth="1"/>
    <col min="2829" max="2829" width="2" style="516" customWidth="1"/>
    <col min="2830" max="3053" width="11.7109375" style="516" customWidth="1"/>
    <col min="3054" max="3068" width="12.85546875" style="516"/>
    <col min="3069" max="3069" width="27.7109375" style="516" bestFit="1" customWidth="1"/>
    <col min="3070" max="3070" width="22.28515625" style="516" customWidth="1"/>
    <col min="3071" max="3073" width="10.140625" style="516" customWidth="1"/>
    <col min="3074" max="3074" width="1.7109375" style="516" customWidth="1"/>
    <col min="3075" max="3076" width="10.140625" style="516" customWidth="1"/>
    <col min="3077" max="3077" width="1.140625" style="516" customWidth="1"/>
    <col min="3078" max="3081" width="10.140625" style="516" customWidth="1"/>
    <col min="3082" max="3082" width="1.140625" style="516" customWidth="1"/>
    <col min="3083" max="3084" width="10.140625" style="516" customWidth="1"/>
    <col min="3085" max="3085" width="2" style="516" customWidth="1"/>
    <col min="3086" max="3309" width="11.7109375" style="516" customWidth="1"/>
    <col min="3310" max="3324" width="12.85546875" style="516"/>
    <col min="3325" max="3325" width="27.7109375" style="516" bestFit="1" customWidth="1"/>
    <col min="3326" max="3326" width="22.28515625" style="516" customWidth="1"/>
    <col min="3327" max="3329" width="10.140625" style="516" customWidth="1"/>
    <col min="3330" max="3330" width="1.7109375" style="516" customWidth="1"/>
    <col min="3331" max="3332" width="10.140625" style="516" customWidth="1"/>
    <col min="3333" max="3333" width="1.140625" style="516" customWidth="1"/>
    <col min="3334" max="3337" width="10.140625" style="516" customWidth="1"/>
    <col min="3338" max="3338" width="1.140625" style="516" customWidth="1"/>
    <col min="3339" max="3340" width="10.140625" style="516" customWidth="1"/>
    <col min="3341" max="3341" width="2" style="516" customWidth="1"/>
    <col min="3342" max="3565" width="11.7109375" style="516" customWidth="1"/>
    <col min="3566" max="3580" width="12.85546875" style="516"/>
    <col min="3581" max="3581" width="27.7109375" style="516" bestFit="1" customWidth="1"/>
    <col min="3582" max="3582" width="22.28515625" style="516" customWidth="1"/>
    <col min="3583" max="3585" width="10.140625" style="516" customWidth="1"/>
    <col min="3586" max="3586" width="1.7109375" style="516" customWidth="1"/>
    <col min="3587" max="3588" width="10.140625" style="516" customWidth="1"/>
    <col min="3589" max="3589" width="1.140625" style="516" customWidth="1"/>
    <col min="3590" max="3593" width="10.140625" style="516" customWidth="1"/>
    <col min="3594" max="3594" width="1.140625" style="516" customWidth="1"/>
    <col min="3595" max="3596" width="10.140625" style="516" customWidth="1"/>
    <col min="3597" max="3597" width="2" style="516" customWidth="1"/>
    <col min="3598" max="3821" width="11.7109375" style="516" customWidth="1"/>
    <col min="3822" max="3836" width="12.85546875" style="516"/>
    <col min="3837" max="3837" width="27.7109375" style="516" bestFit="1" customWidth="1"/>
    <col min="3838" max="3838" width="22.28515625" style="516" customWidth="1"/>
    <col min="3839" max="3841" width="10.140625" style="516" customWidth="1"/>
    <col min="3842" max="3842" width="1.7109375" style="516" customWidth="1"/>
    <col min="3843" max="3844" width="10.140625" style="516" customWidth="1"/>
    <col min="3845" max="3845" width="1.140625" style="516" customWidth="1"/>
    <col min="3846" max="3849" width="10.140625" style="516" customWidth="1"/>
    <col min="3850" max="3850" width="1.140625" style="516" customWidth="1"/>
    <col min="3851" max="3852" width="10.140625" style="516" customWidth="1"/>
    <col min="3853" max="3853" width="2" style="516" customWidth="1"/>
    <col min="3854" max="4077" width="11.7109375" style="516" customWidth="1"/>
    <col min="4078" max="4092" width="12.85546875" style="516"/>
    <col min="4093" max="4093" width="27.7109375" style="516" bestFit="1" customWidth="1"/>
    <col min="4094" max="4094" width="22.28515625" style="516" customWidth="1"/>
    <col min="4095" max="4097" width="10.140625" style="516" customWidth="1"/>
    <col min="4098" max="4098" width="1.7109375" style="516" customWidth="1"/>
    <col min="4099" max="4100" width="10.140625" style="516" customWidth="1"/>
    <col min="4101" max="4101" width="1.140625" style="516" customWidth="1"/>
    <col min="4102" max="4105" width="10.140625" style="516" customWidth="1"/>
    <col min="4106" max="4106" width="1.140625" style="516" customWidth="1"/>
    <col min="4107" max="4108" width="10.140625" style="516" customWidth="1"/>
    <col min="4109" max="4109" width="2" style="516" customWidth="1"/>
    <col min="4110" max="4333" width="11.7109375" style="516" customWidth="1"/>
    <col min="4334" max="4348" width="12.85546875" style="516"/>
    <col min="4349" max="4349" width="27.7109375" style="516" bestFit="1" customWidth="1"/>
    <col min="4350" max="4350" width="22.28515625" style="516" customWidth="1"/>
    <col min="4351" max="4353" width="10.140625" style="516" customWidth="1"/>
    <col min="4354" max="4354" width="1.7109375" style="516" customWidth="1"/>
    <col min="4355" max="4356" width="10.140625" style="516" customWidth="1"/>
    <col min="4357" max="4357" width="1.140625" style="516" customWidth="1"/>
    <col min="4358" max="4361" width="10.140625" style="516" customWidth="1"/>
    <col min="4362" max="4362" width="1.140625" style="516" customWidth="1"/>
    <col min="4363" max="4364" width="10.140625" style="516" customWidth="1"/>
    <col min="4365" max="4365" width="2" style="516" customWidth="1"/>
    <col min="4366" max="4589" width="11.7109375" style="516" customWidth="1"/>
    <col min="4590" max="4604" width="12.85546875" style="516"/>
    <col min="4605" max="4605" width="27.7109375" style="516" bestFit="1" customWidth="1"/>
    <col min="4606" max="4606" width="22.28515625" style="516" customWidth="1"/>
    <col min="4607" max="4609" width="10.140625" style="516" customWidth="1"/>
    <col min="4610" max="4610" width="1.7109375" style="516" customWidth="1"/>
    <col min="4611" max="4612" width="10.140625" style="516" customWidth="1"/>
    <col min="4613" max="4613" width="1.140625" style="516" customWidth="1"/>
    <col min="4614" max="4617" width="10.140625" style="516" customWidth="1"/>
    <col min="4618" max="4618" width="1.140625" style="516" customWidth="1"/>
    <col min="4619" max="4620" width="10.140625" style="516" customWidth="1"/>
    <col min="4621" max="4621" width="2" style="516" customWidth="1"/>
    <col min="4622" max="4845" width="11.7109375" style="516" customWidth="1"/>
    <col min="4846" max="4860" width="12.85546875" style="516"/>
    <col min="4861" max="4861" width="27.7109375" style="516" bestFit="1" customWidth="1"/>
    <col min="4862" max="4862" width="22.28515625" style="516" customWidth="1"/>
    <col min="4863" max="4865" width="10.140625" style="516" customWidth="1"/>
    <col min="4866" max="4866" width="1.7109375" style="516" customWidth="1"/>
    <col min="4867" max="4868" width="10.140625" style="516" customWidth="1"/>
    <col min="4869" max="4869" width="1.140625" style="516" customWidth="1"/>
    <col min="4870" max="4873" width="10.140625" style="516" customWidth="1"/>
    <col min="4874" max="4874" width="1.140625" style="516" customWidth="1"/>
    <col min="4875" max="4876" width="10.140625" style="516" customWidth="1"/>
    <col min="4877" max="4877" width="2" style="516" customWidth="1"/>
    <col min="4878" max="5101" width="11.7109375" style="516" customWidth="1"/>
    <col min="5102" max="5116" width="12.85546875" style="516"/>
    <col min="5117" max="5117" width="27.7109375" style="516" bestFit="1" customWidth="1"/>
    <col min="5118" max="5118" width="22.28515625" style="516" customWidth="1"/>
    <col min="5119" max="5121" width="10.140625" style="516" customWidth="1"/>
    <col min="5122" max="5122" width="1.7109375" style="516" customWidth="1"/>
    <col min="5123" max="5124" width="10.140625" style="516" customWidth="1"/>
    <col min="5125" max="5125" width="1.140625" style="516" customWidth="1"/>
    <col min="5126" max="5129" width="10.140625" style="516" customWidth="1"/>
    <col min="5130" max="5130" width="1.140625" style="516" customWidth="1"/>
    <col min="5131" max="5132" width="10.140625" style="516" customWidth="1"/>
    <col min="5133" max="5133" width="2" style="516" customWidth="1"/>
    <col min="5134" max="5357" width="11.7109375" style="516" customWidth="1"/>
    <col min="5358" max="5372" width="12.85546875" style="516"/>
    <col min="5373" max="5373" width="27.7109375" style="516" bestFit="1" customWidth="1"/>
    <col min="5374" max="5374" width="22.28515625" style="516" customWidth="1"/>
    <col min="5375" max="5377" width="10.140625" style="516" customWidth="1"/>
    <col min="5378" max="5378" width="1.7109375" style="516" customWidth="1"/>
    <col min="5379" max="5380" width="10.140625" style="516" customWidth="1"/>
    <col min="5381" max="5381" width="1.140625" style="516" customWidth="1"/>
    <col min="5382" max="5385" width="10.140625" style="516" customWidth="1"/>
    <col min="5386" max="5386" width="1.140625" style="516" customWidth="1"/>
    <col min="5387" max="5388" width="10.140625" style="516" customWidth="1"/>
    <col min="5389" max="5389" width="2" style="516" customWidth="1"/>
    <col min="5390" max="5613" width="11.7109375" style="516" customWidth="1"/>
    <col min="5614" max="5628" width="12.85546875" style="516"/>
    <col min="5629" max="5629" width="27.7109375" style="516" bestFit="1" customWidth="1"/>
    <col min="5630" max="5630" width="22.28515625" style="516" customWidth="1"/>
    <col min="5631" max="5633" width="10.140625" style="516" customWidth="1"/>
    <col min="5634" max="5634" width="1.7109375" style="516" customWidth="1"/>
    <col min="5635" max="5636" width="10.140625" style="516" customWidth="1"/>
    <col min="5637" max="5637" width="1.140625" style="516" customWidth="1"/>
    <col min="5638" max="5641" width="10.140625" style="516" customWidth="1"/>
    <col min="5642" max="5642" width="1.140625" style="516" customWidth="1"/>
    <col min="5643" max="5644" width="10.140625" style="516" customWidth="1"/>
    <col min="5645" max="5645" width="2" style="516" customWidth="1"/>
    <col min="5646" max="5869" width="11.7109375" style="516" customWidth="1"/>
    <col min="5870" max="5884" width="12.85546875" style="516"/>
    <col min="5885" max="5885" width="27.7109375" style="516" bestFit="1" customWidth="1"/>
    <col min="5886" max="5886" width="22.28515625" style="516" customWidth="1"/>
    <col min="5887" max="5889" width="10.140625" style="516" customWidth="1"/>
    <col min="5890" max="5890" width="1.7109375" style="516" customWidth="1"/>
    <col min="5891" max="5892" width="10.140625" style="516" customWidth="1"/>
    <col min="5893" max="5893" width="1.140625" style="516" customWidth="1"/>
    <col min="5894" max="5897" width="10.140625" style="516" customWidth="1"/>
    <col min="5898" max="5898" width="1.140625" style="516" customWidth="1"/>
    <col min="5899" max="5900" width="10.140625" style="516" customWidth="1"/>
    <col min="5901" max="5901" width="2" style="516" customWidth="1"/>
    <col min="5902" max="6125" width="11.7109375" style="516" customWidth="1"/>
    <col min="6126" max="6140" width="12.85546875" style="516"/>
    <col min="6141" max="6141" width="27.7109375" style="516" bestFit="1" customWidth="1"/>
    <col min="6142" max="6142" width="22.28515625" style="516" customWidth="1"/>
    <col min="6143" max="6145" width="10.140625" style="516" customWidth="1"/>
    <col min="6146" max="6146" width="1.7109375" style="516" customWidth="1"/>
    <col min="6147" max="6148" width="10.140625" style="516" customWidth="1"/>
    <col min="6149" max="6149" width="1.140625" style="516" customWidth="1"/>
    <col min="6150" max="6153" width="10.140625" style="516" customWidth="1"/>
    <col min="6154" max="6154" width="1.140625" style="516" customWidth="1"/>
    <col min="6155" max="6156" width="10.140625" style="516" customWidth="1"/>
    <col min="6157" max="6157" width="2" style="516" customWidth="1"/>
    <col min="6158" max="6381" width="11.7109375" style="516" customWidth="1"/>
    <col min="6382" max="6396" width="12.85546875" style="516"/>
    <col min="6397" max="6397" width="27.7109375" style="516" bestFit="1" customWidth="1"/>
    <col min="6398" max="6398" width="22.28515625" style="516" customWidth="1"/>
    <col min="6399" max="6401" width="10.140625" style="516" customWidth="1"/>
    <col min="6402" max="6402" width="1.7109375" style="516" customWidth="1"/>
    <col min="6403" max="6404" width="10.140625" style="516" customWidth="1"/>
    <col min="6405" max="6405" width="1.140625" style="516" customWidth="1"/>
    <col min="6406" max="6409" width="10.140625" style="516" customWidth="1"/>
    <col min="6410" max="6410" width="1.140625" style="516" customWidth="1"/>
    <col min="6411" max="6412" width="10.140625" style="516" customWidth="1"/>
    <col min="6413" max="6413" width="2" style="516" customWidth="1"/>
    <col min="6414" max="6637" width="11.7109375" style="516" customWidth="1"/>
    <col min="6638" max="6652" width="12.85546875" style="516"/>
    <col min="6653" max="6653" width="27.7109375" style="516" bestFit="1" customWidth="1"/>
    <col min="6654" max="6654" width="22.28515625" style="516" customWidth="1"/>
    <col min="6655" max="6657" width="10.140625" style="516" customWidth="1"/>
    <col min="6658" max="6658" width="1.7109375" style="516" customWidth="1"/>
    <col min="6659" max="6660" width="10.140625" style="516" customWidth="1"/>
    <col min="6661" max="6661" width="1.140625" style="516" customWidth="1"/>
    <col min="6662" max="6665" width="10.140625" style="516" customWidth="1"/>
    <col min="6666" max="6666" width="1.140625" style="516" customWidth="1"/>
    <col min="6667" max="6668" width="10.140625" style="516" customWidth="1"/>
    <col min="6669" max="6669" width="2" style="516" customWidth="1"/>
    <col min="6670" max="6893" width="11.7109375" style="516" customWidth="1"/>
    <col min="6894" max="6908" width="12.85546875" style="516"/>
    <col min="6909" max="6909" width="27.7109375" style="516" bestFit="1" customWidth="1"/>
    <col min="6910" max="6910" width="22.28515625" style="516" customWidth="1"/>
    <col min="6911" max="6913" width="10.140625" style="516" customWidth="1"/>
    <col min="6914" max="6914" width="1.7109375" style="516" customWidth="1"/>
    <col min="6915" max="6916" width="10.140625" style="516" customWidth="1"/>
    <col min="6917" max="6917" width="1.140625" style="516" customWidth="1"/>
    <col min="6918" max="6921" width="10.140625" style="516" customWidth="1"/>
    <col min="6922" max="6922" width="1.140625" style="516" customWidth="1"/>
    <col min="6923" max="6924" width="10.140625" style="516" customWidth="1"/>
    <col min="6925" max="6925" width="2" style="516" customWidth="1"/>
    <col min="6926" max="7149" width="11.7109375" style="516" customWidth="1"/>
    <col min="7150" max="7164" width="12.85546875" style="516"/>
    <col min="7165" max="7165" width="27.7109375" style="516" bestFit="1" customWidth="1"/>
    <col min="7166" max="7166" width="22.28515625" style="516" customWidth="1"/>
    <col min="7167" max="7169" width="10.140625" style="516" customWidth="1"/>
    <col min="7170" max="7170" width="1.7109375" style="516" customWidth="1"/>
    <col min="7171" max="7172" width="10.140625" style="516" customWidth="1"/>
    <col min="7173" max="7173" width="1.140625" style="516" customWidth="1"/>
    <col min="7174" max="7177" width="10.140625" style="516" customWidth="1"/>
    <col min="7178" max="7178" width="1.140625" style="516" customWidth="1"/>
    <col min="7179" max="7180" width="10.140625" style="516" customWidth="1"/>
    <col min="7181" max="7181" width="2" style="516" customWidth="1"/>
    <col min="7182" max="7405" width="11.7109375" style="516" customWidth="1"/>
    <col min="7406" max="7420" width="12.85546875" style="516"/>
    <col min="7421" max="7421" width="27.7109375" style="516" bestFit="1" customWidth="1"/>
    <col min="7422" max="7422" width="22.28515625" style="516" customWidth="1"/>
    <col min="7423" max="7425" width="10.140625" style="516" customWidth="1"/>
    <col min="7426" max="7426" width="1.7109375" style="516" customWidth="1"/>
    <col min="7427" max="7428" width="10.140625" style="516" customWidth="1"/>
    <col min="7429" max="7429" width="1.140625" style="516" customWidth="1"/>
    <col min="7430" max="7433" width="10.140625" style="516" customWidth="1"/>
    <col min="7434" max="7434" width="1.140625" style="516" customWidth="1"/>
    <col min="7435" max="7436" width="10.140625" style="516" customWidth="1"/>
    <col min="7437" max="7437" width="2" style="516" customWidth="1"/>
    <col min="7438" max="7661" width="11.7109375" style="516" customWidth="1"/>
    <col min="7662" max="7676" width="12.85546875" style="516"/>
    <col min="7677" max="7677" width="27.7109375" style="516" bestFit="1" customWidth="1"/>
    <col min="7678" max="7678" width="22.28515625" style="516" customWidth="1"/>
    <col min="7679" max="7681" width="10.140625" style="516" customWidth="1"/>
    <col min="7682" max="7682" width="1.7109375" style="516" customWidth="1"/>
    <col min="7683" max="7684" width="10.140625" style="516" customWidth="1"/>
    <col min="7685" max="7685" width="1.140625" style="516" customWidth="1"/>
    <col min="7686" max="7689" width="10.140625" style="516" customWidth="1"/>
    <col min="7690" max="7690" width="1.140625" style="516" customWidth="1"/>
    <col min="7691" max="7692" width="10.140625" style="516" customWidth="1"/>
    <col min="7693" max="7693" width="2" style="516" customWidth="1"/>
    <col min="7694" max="7917" width="11.7109375" style="516" customWidth="1"/>
    <col min="7918" max="7932" width="12.85546875" style="516"/>
    <col min="7933" max="7933" width="27.7109375" style="516" bestFit="1" customWidth="1"/>
    <col min="7934" max="7934" width="22.28515625" style="516" customWidth="1"/>
    <col min="7935" max="7937" width="10.140625" style="516" customWidth="1"/>
    <col min="7938" max="7938" width="1.7109375" style="516" customWidth="1"/>
    <col min="7939" max="7940" width="10.140625" style="516" customWidth="1"/>
    <col min="7941" max="7941" width="1.140625" style="516" customWidth="1"/>
    <col min="7942" max="7945" width="10.140625" style="516" customWidth="1"/>
    <col min="7946" max="7946" width="1.140625" style="516" customWidth="1"/>
    <col min="7947" max="7948" width="10.140625" style="516" customWidth="1"/>
    <col min="7949" max="7949" width="2" style="516" customWidth="1"/>
    <col min="7950" max="8173" width="11.7109375" style="516" customWidth="1"/>
    <col min="8174" max="8188" width="12.85546875" style="516"/>
    <col min="8189" max="8189" width="27.7109375" style="516" bestFit="1" customWidth="1"/>
    <col min="8190" max="8190" width="22.28515625" style="516" customWidth="1"/>
    <col min="8191" max="8193" width="10.140625" style="516" customWidth="1"/>
    <col min="8194" max="8194" width="1.7109375" style="516" customWidth="1"/>
    <col min="8195" max="8196" width="10.140625" style="516" customWidth="1"/>
    <col min="8197" max="8197" width="1.140625" style="516" customWidth="1"/>
    <col min="8198" max="8201" width="10.140625" style="516" customWidth="1"/>
    <col min="8202" max="8202" width="1.140625" style="516" customWidth="1"/>
    <col min="8203" max="8204" width="10.140625" style="516" customWidth="1"/>
    <col min="8205" max="8205" width="2" style="516" customWidth="1"/>
    <col min="8206" max="8429" width="11.7109375" style="516" customWidth="1"/>
    <col min="8430" max="8444" width="12.85546875" style="516"/>
    <col min="8445" max="8445" width="27.7109375" style="516" bestFit="1" customWidth="1"/>
    <col min="8446" max="8446" width="22.28515625" style="516" customWidth="1"/>
    <col min="8447" max="8449" width="10.140625" style="516" customWidth="1"/>
    <col min="8450" max="8450" width="1.7109375" style="516" customWidth="1"/>
    <col min="8451" max="8452" width="10.140625" style="516" customWidth="1"/>
    <col min="8453" max="8453" width="1.140625" style="516" customWidth="1"/>
    <col min="8454" max="8457" width="10.140625" style="516" customWidth="1"/>
    <col min="8458" max="8458" width="1.140625" style="516" customWidth="1"/>
    <col min="8459" max="8460" width="10.140625" style="516" customWidth="1"/>
    <col min="8461" max="8461" width="2" style="516" customWidth="1"/>
    <col min="8462" max="8685" width="11.7109375" style="516" customWidth="1"/>
    <col min="8686" max="8700" width="12.85546875" style="516"/>
    <col min="8701" max="8701" width="27.7109375" style="516" bestFit="1" customWidth="1"/>
    <col min="8702" max="8702" width="22.28515625" style="516" customWidth="1"/>
    <col min="8703" max="8705" width="10.140625" style="516" customWidth="1"/>
    <col min="8706" max="8706" width="1.7109375" style="516" customWidth="1"/>
    <col min="8707" max="8708" width="10.140625" style="516" customWidth="1"/>
    <col min="8709" max="8709" width="1.140625" style="516" customWidth="1"/>
    <col min="8710" max="8713" width="10.140625" style="516" customWidth="1"/>
    <col min="8714" max="8714" width="1.140625" style="516" customWidth="1"/>
    <col min="8715" max="8716" width="10.140625" style="516" customWidth="1"/>
    <col min="8717" max="8717" width="2" style="516" customWidth="1"/>
    <col min="8718" max="8941" width="11.7109375" style="516" customWidth="1"/>
    <col min="8942" max="8956" width="12.85546875" style="516"/>
    <col min="8957" max="8957" width="27.7109375" style="516" bestFit="1" customWidth="1"/>
    <col min="8958" max="8958" width="22.28515625" style="516" customWidth="1"/>
    <col min="8959" max="8961" width="10.140625" style="516" customWidth="1"/>
    <col min="8962" max="8962" width="1.7109375" style="516" customWidth="1"/>
    <col min="8963" max="8964" width="10.140625" style="516" customWidth="1"/>
    <col min="8965" max="8965" width="1.140625" style="516" customWidth="1"/>
    <col min="8966" max="8969" width="10.140625" style="516" customWidth="1"/>
    <col min="8970" max="8970" width="1.140625" style="516" customWidth="1"/>
    <col min="8971" max="8972" width="10.140625" style="516" customWidth="1"/>
    <col min="8973" max="8973" width="2" style="516" customWidth="1"/>
    <col min="8974" max="9197" width="11.7109375" style="516" customWidth="1"/>
    <col min="9198" max="9212" width="12.85546875" style="516"/>
    <col min="9213" max="9213" width="27.7109375" style="516" bestFit="1" customWidth="1"/>
    <col min="9214" max="9214" width="22.28515625" style="516" customWidth="1"/>
    <col min="9215" max="9217" width="10.140625" style="516" customWidth="1"/>
    <col min="9218" max="9218" width="1.7109375" style="516" customWidth="1"/>
    <col min="9219" max="9220" width="10.140625" style="516" customWidth="1"/>
    <col min="9221" max="9221" width="1.140625" style="516" customWidth="1"/>
    <col min="9222" max="9225" width="10.140625" style="516" customWidth="1"/>
    <col min="9226" max="9226" width="1.140625" style="516" customWidth="1"/>
    <col min="9227" max="9228" width="10.140625" style="516" customWidth="1"/>
    <col min="9229" max="9229" width="2" style="516" customWidth="1"/>
    <col min="9230" max="9453" width="11.7109375" style="516" customWidth="1"/>
    <col min="9454" max="9468" width="12.85546875" style="516"/>
    <col min="9469" max="9469" width="27.7109375" style="516" bestFit="1" customWidth="1"/>
    <col min="9470" max="9470" width="22.28515625" style="516" customWidth="1"/>
    <col min="9471" max="9473" width="10.140625" style="516" customWidth="1"/>
    <col min="9474" max="9474" width="1.7109375" style="516" customWidth="1"/>
    <col min="9475" max="9476" width="10.140625" style="516" customWidth="1"/>
    <col min="9477" max="9477" width="1.140625" style="516" customWidth="1"/>
    <col min="9478" max="9481" width="10.140625" style="516" customWidth="1"/>
    <col min="9482" max="9482" width="1.140625" style="516" customWidth="1"/>
    <col min="9483" max="9484" width="10.140625" style="516" customWidth="1"/>
    <col min="9485" max="9485" width="2" style="516" customWidth="1"/>
    <col min="9486" max="9709" width="11.7109375" style="516" customWidth="1"/>
    <col min="9710" max="9724" width="12.85546875" style="516"/>
    <col min="9725" max="9725" width="27.7109375" style="516" bestFit="1" customWidth="1"/>
    <col min="9726" max="9726" width="22.28515625" style="516" customWidth="1"/>
    <col min="9727" max="9729" width="10.140625" style="516" customWidth="1"/>
    <col min="9730" max="9730" width="1.7109375" style="516" customWidth="1"/>
    <col min="9731" max="9732" width="10.140625" style="516" customWidth="1"/>
    <col min="9733" max="9733" width="1.140625" style="516" customWidth="1"/>
    <col min="9734" max="9737" width="10.140625" style="516" customWidth="1"/>
    <col min="9738" max="9738" width="1.140625" style="516" customWidth="1"/>
    <col min="9739" max="9740" width="10.140625" style="516" customWidth="1"/>
    <col min="9741" max="9741" width="2" style="516" customWidth="1"/>
    <col min="9742" max="9965" width="11.7109375" style="516" customWidth="1"/>
    <col min="9966" max="9980" width="12.85546875" style="516"/>
    <col min="9981" max="9981" width="27.7109375" style="516" bestFit="1" customWidth="1"/>
    <col min="9982" max="9982" width="22.28515625" style="516" customWidth="1"/>
    <col min="9983" max="9985" width="10.140625" style="516" customWidth="1"/>
    <col min="9986" max="9986" width="1.7109375" style="516" customWidth="1"/>
    <col min="9987" max="9988" width="10.140625" style="516" customWidth="1"/>
    <col min="9989" max="9989" width="1.140625" style="516" customWidth="1"/>
    <col min="9990" max="9993" width="10.140625" style="516" customWidth="1"/>
    <col min="9994" max="9994" width="1.140625" style="516" customWidth="1"/>
    <col min="9995" max="9996" width="10.140625" style="516" customWidth="1"/>
    <col min="9997" max="9997" width="2" style="516" customWidth="1"/>
    <col min="9998" max="10221" width="11.7109375" style="516" customWidth="1"/>
    <col min="10222" max="10236" width="12.85546875" style="516"/>
    <col min="10237" max="10237" width="27.7109375" style="516" bestFit="1" customWidth="1"/>
    <col min="10238" max="10238" width="22.28515625" style="516" customWidth="1"/>
    <col min="10239" max="10241" width="10.140625" style="516" customWidth="1"/>
    <col min="10242" max="10242" width="1.7109375" style="516" customWidth="1"/>
    <col min="10243" max="10244" width="10.140625" style="516" customWidth="1"/>
    <col min="10245" max="10245" width="1.140625" style="516" customWidth="1"/>
    <col min="10246" max="10249" width="10.140625" style="516" customWidth="1"/>
    <col min="10250" max="10250" width="1.140625" style="516" customWidth="1"/>
    <col min="10251" max="10252" width="10.140625" style="516" customWidth="1"/>
    <col min="10253" max="10253" width="2" style="516" customWidth="1"/>
    <col min="10254" max="10477" width="11.7109375" style="516" customWidth="1"/>
    <col min="10478" max="10492" width="12.85546875" style="516"/>
    <col min="10493" max="10493" width="27.7109375" style="516" bestFit="1" customWidth="1"/>
    <col min="10494" max="10494" width="22.28515625" style="516" customWidth="1"/>
    <col min="10495" max="10497" width="10.140625" style="516" customWidth="1"/>
    <col min="10498" max="10498" width="1.7109375" style="516" customWidth="1"/>
    <col min="10499" max="10500" width="10.140625" style="516" customWidth="1"/>
    <col min="10501" max="10501" width="1.140625" style="516" customWidth="1"/>
    <col min="10502" max="10505" width="10.140625" style="516" customWidth="1"/>
    <col min="10506" max="10506" width="1.140625" style="516" customWidth="1"/>
    <col min="10507" max="10508" width="10.140625" style="516" customWidth="1"/>
    <col min="10509" max="10509" width="2" style="516" customWidth="1"/>
    <col min="10510" max="10733" width="11.7109375" style="516" customWidth="1"/>
    <col min="10734" max="10748" width="12.85546875" style="516"/>
    <col min="10749" max="10749" width="27.7109375" style="516" bestFit="1" customWidth="1"/>
    <col min="10750" max="10750" width="22.28515625" style="516" customWidth="1"/>
    <col min="10751" max="10753" width="10.140625" style="516" customWidth="1"/>
    <col min="10754" max="10754" width="1.7109375" style="516" customWidth="1"/>
    <col min="10755" max="10756" width="10.140625" style="516" customWidth="1"/>
    <col min="10757" max="10757" width="1.140625" style="516" customWidth="1"/>
    <col min="10758" max="10761" width="10.140625" style="516" customWidth="1"/>
    <col min="10762" max="10762" width="1.140625" style="516" customWidth="1"/>
    <col min="10763" max="10764" width="10.140625" style="516" customWidth="1"/>
    <col min="10765" max="10765" width="2" style="516" customWidth="1"/>
    <col min="10766" max="10989" width="11.7109375" style="516" customWidth="1"/>
    <col min="10990" max="11004" width="12.85546875" style="516"/>
    <col min="11005" max="11005" width="27.7109375" style="516" bestFit="1" customWidth="1"/>
    <col min="11006" max="11006" width="22.28515625" style="516" customWidth="1"/>
    <col min="11007" max="11009" width="10.140625" style="516" customWidth="1"/>
    <col min="11010" max="11010" width="1.7109375" style="516" customWidth="1"/>
    <col min="11011" max="11012" width="10.140625" style="516" customWidth="1"/>
    <col min="11013" max="11013" width="1.140625" style="516" customWidth="1"/>
    <col min="11014" max="11017" width="10.140625" style="516" customWidth="1"/>
    <col min="11018" max="11018" width="1.140625" style="516" customWidth="1"/>
    <col min="11019" max="11020" width="10.140625" style="516" customWidth="1"/>
    <col min="11021" max="11021" width="2" style="516" customWidth="1"/>
    <col min="11022" max="11245" width="11.7109375" style="516" customWidth="1"/>
    <col min="11246" max="11260" width="12.85546875" style="516"/>
    <col min="11261" max="11261" width="27.7109375" style="516" bestFit="1" customWidth="1"/>
    <col min="11262" max="11262" width="22.28515625" style="516" customWidth="1"/>
    <col min="11263" max="11265" width="10.140625" style="516" customWidth="1"/>
    <col min="11266" max="11266" width="1.7109375" style="516" customWidth="1"/>
    <col min="11267" max="11268" width="10.140625" style="516" customWidth="1"/>
    <col min="11269" max="11269" width="1.140625" style="516" customWidth="1"/>
    <col min="11270" max="11273" width="10.140625" style="516" customWidth="1"/>
    <col min="11274" max="11274" width="1.140625" style="516" customWidth="1"/>
    <col min="11275" max="11276" width="10.140625" style="516" customWidth="1"/>
    <col min="11277" max="11277" width="2" style="516" customWidth="1"/>
    <col min="11278" max="11501" width="11.7109375" style="516" customWidth="1"/>
    <col min="11502" max="11516" width="12.85546875" style="516"/>
    <col min="11517" max="11517" width="27.7109375" style="516" bestFit="1" customWidth="1"/>
    <col min="11518" max="11518" width="22.28515625" style="516" customWidth="1"/>
    <col min="11519" max="11521" width="10.140625" style="516" customWidth="1"/>
    <col min="11522" max="11522" width="1.7109375" style="516" customWidth="1"/>
    <col min="11523" max="11524" width="10.140625" style="516" customWidth="1"/>
    <col min="11525" max="11525" width="1.140625" style="516" customWidth="1"/>
    <col min="11526" max="11529" width="10.140625" style="516" customWidth="1"/>
    <col min="11530" max="11530" width="1.140625" style="516" customWidth="1"/>
    <col min="11531" max="11532" width="10.140625" style="516" customWidth="1"/>
    <col min="11533" max="11533" width="2" style="516" customWidth="1"/>
    <col min="11534" max="11757" width="11.7109375" style="516" customWidth="1"/>
    <col min="11758" max="11772" width="12.85546875" style="516"/>
    <col min="11773" max="11773" width="27.7109375" style="516" bestFit="1" customWidth="1"/>
    <col min="11774" max="11774" width="22.28515625" style="516" customWidth="1"/>
    <col min="11775" max="11777" width="10.140625" style="516" customWidth="1"/>
    <col min="11778" max="11778" width="1.7109375" style="516" customWidth="1"/>
    <col min="11779" max="11780" width="10.140625" style="516" customWidth="1"/>
    <col min="11781" max="11781" width="1.140625" style="516" customWidth="1"/>
    <col min="11782" max="11785" width="10.140625" style="516" customWidth="1"/>
    <col min="11786" max="11786" width="1.140625" style="516" customWidth="1"/>
    <col min="11787" max="11788" width="10.140625" style="516" customWidth="1"/>
    <col min="11789" max="11789" width="2" style="516" customWidth="1"/>
    <col min="11790" max="12013" width="11.7109375" style="516" customWidth="1"/>
    <col min="12014" max="12028" width="12.85546875" style="516"/>
    <col min="12029" max="12029" width="27.7109375" style="516" bestFit="1" customWidth="1"/>
    <col min="12030" max="12030" width="22.28515625" style="516" customWidth="1"/>
    <col min="12031" max="12033" width="10.140625" style="516" customWidth="1"/>
    <col min="12034" max="12034" width="1.7109375" style="516" customWidth="1"/>
    <col min="12035" max="12036" width="10.140625" style="516" customWidth="1"/>
    <col min="12037" max="12037" width="1.140625" style="516" customWidth="1"/>
    <col min="12038" max="12041" width="10.140625" style="516" customWidth="1"/>
    <col min="12042" max="12042" width="1.140625" style="516" customWidth="1"/>
    <col min="12043" max="12044" width="10.140625" style="516" customWidth="1"/>
    <col min="12045" max="12045" width="2" style="516" customWidth="1"/>
    <col min="12046" max="12269" width="11.7109375" style="516" customWidth="1"/>
    <col min="12270" max="12284" width="12.85546875" style="516"/>
    <col min="12285" max="12285" width="27.7109375" style="516" bestFit="1" customWidth="1"/>
    <col min="12286" max="12286" width="22.28515625" style="516" customWidth="1"/>
    <col min="12287" max="12289" width="10.140625" style="516" customWidth="1"/>
    <col min="12290" max="12290" width="1.7109375" style="516" customWidth="1"/>
    <col min="12291" max="12292" width="10.140625" style="516" customWidth="1"/>
    <col min="12293" max="12293" width="1.140625" style="516" customWidth="1"/>
    <col min="12294" max="12297" width="10.140625" style="516" customWidth="1"/>
    <col min="12298" max="12298" width="1.140625" style="516" customWidth="1"/>
    <col min="12299" max="12300" width="10.140625" style="516" customWidth="1"/>
    <col min="12301" max="12301" width="2" style="516" customWidth="1"/>
    <col min="12302" max="12525" width="11.7109375" style="516" customWidth="1"/>
    <col min="12526" max="12540" width="12.85546875" style="516"/>
    <col min="12541" max="12541" width="27.7109375" style="516" bestFit="1" customWidth="1"/>
    <col min="12542" max="12542" width="22.28515625" style="516" customWidth="1"/>
    <col min="12543" max="12545" width="10.140625" style="516" customWidth="1"/>
    <col min="12546" max="12546" width="1.7109375" style="516" customWidth="1"/>
    <col min="12547" max="12548" width="10.140625" style="516" customWidth="1"/>
    <col min="12549" max="12549" width="1.140625" style="516" customWidth="1"/>
    <col min="12550" max="12553" width="10.140625" style="516" customWidth="1"/>
    <col min="12554" max="12554" width="1.140625" style="516" customWidth="1"/>
    <col min="12555" max="12556" width="10.140625" style="516" customWidth="1"/>
    <col min="12557" max="12557" width="2" style="516" customWidth="1"/>
    <col min="12558" max="12781" width="11.7109375" style="516" customWidth="1"/>
    <col min="12782" max="12796" width="12.85546875" style="516"/>
    <col min="12797" max="12797" width="27.7109375" style="516" bestFit="1" customWidth="1"/>
    <col min="12798" max="12798" width="22.28515625" style="516" customWidth="1"/>
    <col min="12799" max="12801" width="10.140625" style="516" customWidth="1"/>
    <col min="12802" max="12802" width="1.7109375" style="516" customWidth="1"/>
    <col min="12803" max="12804" width="10.140625" style="516" customWidth="1"/>
    <col min="12805" max="12805" width="1.140625" style="516" customWidth="1"/>
    <col min="12806" max="12809" width="10.140625" style="516" customWidth="1"/>
    <col min="12810" max="12810" width="1.140625" style="516" customWidth="1"/>
    <col min="12811" max="12812" width="10.140625" style="516" customWidth="1"/>
    <col min="12813" max="12813" width="2" style="516" customWidth="1"/>
    <col min="12814" max="13037" width="11.7109375" style="516" customWidth="1"/>
    <col min="13038" max="13052" width="12.85546875" style="516"/>
    <col min="13053" max="13053" width="27.7109375" style="516" bestFit="1" customWidth="1"/>
    <col min="13054" max="13054" width="22.28515625" style="516" customWidth="1"/>
    <col min="13055" max="13057" width="10.140625" style="516" customWidth="1"/>
    <col min="13058" max="13058" width="1.7109375" style="516" customWidth="1"/>
    <col min="13059" max="13060" width="10.140625" style="516" customWidth="1"/>
    <col min="13061" max="13061" width="1.140625" style="516" customWidth="1"/>
    <col min="13062" max="13065" width="10.140625" style="516" customWidth="1"/>
    <col min="13066" max="13066" width="1.140625" style="516" customWidth="1"/>
    <col min="13067" max="13068" width="10.140625" style="516" customWidth="1"/>
    <col min="13069" max="13069" width="2" style="516" customWidth="1"/>
    <col min="13070" max="13293" width="11.7109375" style="516" customWidth="1"/>
    <col min="13294" max="13308" width="12.85546875" style="516"/>
    <col min="13309" max="13309" width="27.7109375" style="516" bestFit="1" customWidth="1"/>
    <col min="13310" max="13310" width="22.28515625" style="516" customWidth="1"/>
    <col min="13311" max="13313" width="10.140625" style="516" customWidth="1"/>
    <col min="13314" max="13314" width="1.7109375" style="516" customWidth="1"/>
    <col min="13315" max="13316" width="10.140625" style="516" customWidth="1"/>
    <col min="13317" max="13317" width="1.140625" style="516" customWidth="1"/>
    <col min="13318" max="13321" width="10.140625" style="516" customWidth="1"/>
    <col min="13322" max="13322" width="1.140625" style="516" customWidth="1"/>
    <col min="13323" max="13324" width="10.140625" style="516" customWidth="1"/>
    <col min="13325" max="13325" width="2" style="516" customWidth="1"/>
    <col min="13326" max="13549" width="11.7109375" style="516" customWidth="1"/>
    <col min="13550" max="13564" width="12.85546875" style="516"/>
    <col min="13565" max="13565" width="27.7109375" style="516" bestFit="1" customWidth="1"/>
    <col min="13566" max="13566" width="22.28515625" style="516" customWidth="1"/>
    <col min="13567" max="13569" width="10.140625" style="516" customWidth="1"/>
    <col min="13570" max="13570" width="1.7109375" style="516" customWidth="1"/>
    <col min="13571" max="13572" width="10.140625" style="516" customWidth="1"/>
    <col min="13573" max="13573" width="1.140625" style="516" customWidth="1"/>
    <col min="13574" max="13577" width="10.140625" style="516" customWidth="1"/>
    <col min="13578" max="13578" width="1.140625" style="516" customWidth="1"/>
    <col min="13579" max="13580" width="10.140625" style="516" customWidth="1"/>
    <col min="13581" max="13581" width="2" style="516" customWidth="1"/>
    <col min="13582" max="13805" width="11.7109375" style="516" customWidth="1"/>
    <col min="13806" max="13820" width="12.85546875" style="516"/>
    <col min="13821" max="13821" width="27.7109375" style="516" bestFit="1" customWidth="1"/>
    <col min="13822" max="13822" width="22.28515625" style="516" customWidth="1"/>
    <col min="13823" max="13825" width="10.140625" style="516" customWidth="1"/>
    <col min="13826" max="13826" width="1.7109375" style="516" customWidth="1"/>
    <col min="13827" max="13828" width="10.140625" style="516" customWidth="1"/>
    <col min="13829" max="13829" width="1.140625" style="516" customWidth="1"/>
    <col min="13830" max="13833" width="10.140625" style="516" customWidth="1"/>
    <col min="13834" max="13834" width="1.140625" style="516" customWidth="1"/>
    <col min="13835" max="13836" width="10.140625" style="516" customWidth="1"/>
    <col min="13837" max="13837" width="2" style="516" customWidth="1"/>
    <col min="13838" max="14061" width="11.7109375" style="516" customWidth="1"/>
    <col min="14062" max="14076" width="12.85546875" style="516"/>
    <col min="14077" max="14077" width="27.7109375" style="516" bestFit="1" customWidth="1"/>
    <col min="14078" max="14078" width="22.28515625" style="516" customWidth="1"/>
    <col min="14079" max="14081" width="10.140625" style="516" customWidth="1"/>
    <col min="14082" max="14082" width="1.7109375" style="516" customWidth="1"/>
    <col min="14083" max="14084" width="10.140625" style="516" customWidth="1"/>
    <col min="14085" max="14085" width="1.140625" style="516" customWidth="1"/>
    <col min="14086" max="14089" width="10.140625" style="516" customWidth="1"/>
    <col min="14090" max="14090" width="1.140625" style="516" customWidth="1"/>
    <col min="14091" max="14092" width="10.140625" style="516" customWidth="1"/>
    <col min="14093" max="14093" width="2" style="516" customWidth="1"/>
    <col min="14094" max="14317" width="11.7109375" style="516" customWidth="1"/>
    <col min="14318" max="14332" width="12.85546875" style="516"/>
    <col min="14333" max="14333" width="27.7109375" style="516" bestFit="1" customWidth="1"/>
    <col min="14334" max="14334" width="22.28515625" style="516" customWidth="1"/>
    <col min="14335" max="14337" width="10.140625" style="516" customWidth="1"/>
    <col min="14338" max="14338" width="1.7109375" style="516" customWidth="1"/>
    <col min="14339" max="14340" width="10.140625" style="516" customWidth="1"/>
    <col min="14341" max="14341" width="1.140625" style="516" customWidth="1"/>
    <col min="14342" max="14345" width="10.140625" style="516" customWidth="1"/>
    <col min="14346" max="14346" width="1.140625" style="516" customWidth="1"/>
    <col min="14347" max="14348" width="10.140625" style="516" customWidth="1"/>
    <col min="14349" max="14349" width="2" style="516" customWidth="1"/>
    <col min="14350" max="14573" width="11.7109375" style="516" customWidth="1"/>
    <col min="14574" max="14588" width="12.85546875" style="516"/>
    <col min="14589" max="14589" width="27.7109375" style="516" bestFit="1" customWidth="1"/>
    <col min="14590" max="14590" width="22.28515625" style="516" customWidth="1"/>
    <col min="14591" max="14593" width="10.140625" style="516" customWidth="1"/>
    <col min="14594" max="14594" width="1.7109375" style="516" customWidth="1"/>
    <col min="14595" max="14596" width="10.140625" style="516" customWidth="1"/>
    <col min="14597" max="14597" width="1.140625" style="516" customWidth="1"/>
    <col min="14598" max="14601" width="10.140625" style="516" customWidth="1"/>
    <col min="14602" max="14602" width="1.140625" style="516" customWidth="1"/>
    <col min="14603" max="14604" width="10.140625" style="516" customWidth="1"/>
    <col min="14605" max="14605" width="2" style="516" customWidth="1"/>
    <col min="14606" max="14829" width="11.7109375" style="516" customWidth="1"/>
    <col min="14830" max="14844" width="12.85546875" style="516"/>
    <col min="14845" max="14845" width="27.7109375" style="516" bestFit="1" customWidth="1"/>
    <col min="14846" max="14846" width="22.28515625" style="516" customWidth="1"/>
    <col min="14847" max="14849" width="10.140625" style="516" customWidth="1"/>
    <col min="14850" max="14850" width="1.7109375" style="516" customWidth="1"/>
    <col min="14851" max="14852" width="10.140625" style="516" customWidth="1"/>
    <col min="14853" max="14853" width="1.140625" style="516" customWidth="1"/>
    <col min="14854" max="14857" width="10.140625" style="516" customWidth="1"/>
    <col min="14858" max="14858" width="1.140625" style="516" customWidth="1"/>
    <col min="14859" max="14860" width="10.140625" style="516" customWidth="1"/>
    <col min="14861" max="14861" width="2" style="516" customWidth="1"/>
    <col min="14862" max="15085" width="11.7109375" style="516" customWidth="1"/>
    <col min="15086" max="15100" width="12.85546875" style="516"/>
    <col min="15101" max="15101" width="27.7109375" style="516" bestFit="1" customWidth="1"/>
    <col min="15102" max="15102" width="22.28515625" style="516" customWidth="1"/>
    <col min="15103" max="15105" width="10.140625" style="516" customWidth="1"/>
    <col min="15106" max="15106" width="1.7109375" style="516" customWidth="1"/>
    <col min="15107" max="15108" width="10.140625" style="516" customWidth="1"/>
    <col min="15109" max="15109" width="1.140625" style="516" customWidth="1"/>
    <col min="15110" max="15113" width="10.140625" style="516" customWidth="1"/>
    <col min="15114" max="15114" width="1.140625" style="516" customWidth="1"/>
    <col min="15115" max="15116" width="10.140625" style="516" customWidth="1"/>
    <col min="15117" max="15117" width="2" style="516" customWidth="1"/>
    <col min="15118" max="15341" width="11.7109375" style="516" customWidth="1"/>
    <col min="15342" max="15356" width="12.85546875" style="516"/>
    <col min="15357" max="15357" width="27.7109375" style="516" bestFit="1" customWidth="1"/>
    <col min="15358" max="15358" width="22.28515625" style="516" customWidth="1"/>
    <col min="15359" max="15361" width="10.140625" style="516" customWidth="1"/>
    <col min="15362" max="15362" width="1.7109375" style="516" customWidth="1"/>
    <col min="15363" max="15364" width="10.140625" style="516" customWidth="1"/>
    <col min="15365" max="15365" width="1.140625" style="516" customWidth="1"/>
    <col min="15366" max="15369" width="10.140625" style="516" customWidth="1"/>
    <col min="15370" max="15370" width="1.140625" style="516" customWidth="1"/>
    <col min="15371" max="15372" width="10.140625" style="516" customWidth="1"/>
    <col min="15373" max="15373" width="2" style="516" customWidth="1"/>
    <col min="15374" max="15597" width="11.7109375" style="516" customWidth="1"/>
    <col min="15598" max="15612" width="12.85546875" style="516"/>
    <col min="15613" max="15613" width="27.7109375" style="516" bestFit="1" customWidth="1"/>
    <col min="15614" max="15614" width="22.28515625" style="516" customWidth="1"/>
    <col min="15615" max="15617" width="10.140625" style="516" customWidth="1"/>
    <col min="15618" max="15618" width="1.7109375" style="516" customWidth="1"/>
    <col min="15619" max="15620" width="10.140625" style="516" customWidth="1"/>
    <col min="15621" max="15621" width="1.140625" style="516" customWidth="1"/>
    <col min="15622" max="15625" width="10.140625" style="516" customWidth="1"/>
    <col min="15626" max="15626" width="1.140625" style="516" customWidth="1"/>
    <col min="15627" max="15628" width="10.140625" style="516" customWidth="1"/>
    <col min="15629" max="15629" width="2" style="516" customWidth="1"/>
    <col min="15630" max="15853" width="11.7109375" style="516" customWidth="1"/>
    <col min="15854" max="15868" width="12.85546875" style="516"/>
    <col min="15869" max="15869" width="27.7109375" style="516" bestFit="1" customWidth="1"/>
    <col min="15870" max="15870" width="22.28515625" style="516" customWidth="1"/>
    <col min="15871" max="15873" width="10.140625" style="516" customWidth="1"/>
    <col min="15874" max="15874" width="1.7109375" style="516" customWidth="1"/>
    <col min="15875" max="15876" width="10.140625" style="516" customWidth="1"/>
    <col min="15877" max="15877" width="1.140625" style="516" customWidth="1"/>
    <col min="15878" max="15881" width="10.140625" style="516" customWidth="1"/>
    <col min="15882" max="15882" width="1.140625" style="516" customWidth="1"/>
    <col min="15883" max="15884" width="10.140625" style="516" customWidth="1"/>
    <col min="15885" max="15885" width="2" style="516" customWidth="1"/>
    <col min="15886" max="16109" width="11.7109375" style="516" customWidth="1"/>
    <col min="16110" max="16124" width="12.85546875" style="516"/>
    <col min="16125" max="16125" width="27.7109375" style="516" bestFit="1" customWidth="1"/>
    <col min="16126" max="16126" width="22.28515625" style="516" customWidth="1"/>
    <col min="16127" max="16129" width="10.140625" style="516" customWidth="1"/>
    <col min="16130" max="16130" width="1.7109375" style="516" customWidth="1"/>
    <col min="16131" max="16132" width="10.140625" style="516" customWidth="1"/>
    <col min="16133" max="16133" width="1.140625" style="516" customWidth="1"/>
    <col min="16134" max="16137" width="10.140625" style="516" customWidth="1"/>
    <col min="16138" max="16138" width="1.140625" style="516" customWidth="1"/>
    <col min="16139" max="16140" width="10.140625" style="516" customWidth="1"/>
    <col min="16141" max="16141" width="2" style="516" customWidth="1"/>
    <col min="16142" max="16365" width="11.7109375" style="516" customWidth="1"/>
    <col min="16366" max="16384" width="12.85546875" style="516"/>
  </cols>
  <sheetData>
    <row r="1" spans="1:245" ht="15" x14ac:dyDescent="0.25"/>
    <row r="2" spans="1:245" s="521" customFormat="1" ht="30" customHeight="1" x14ac:dyDescent="0.35">
      <c r="A2" s="519" t="str">
        <f>Konti_PTS!C7</f>
        <v>PTS  . . .</v>
      </c>
      <c r="B2" s="520"/>
      <c r="C2" s="520"/>
      <c r="D2" s="516"/>
      <c r="E2" s="516"/>
      <c r="F2" s="516"/>
      <c r="G2" s="516"/>
      <c r="H2" s="516"/>
      <c r="I2" s="516"/>
      <c r="J2" s="516"/>
      <c r="K2" s="516"/>
      <c r="L2" s="516"/>
      <c r="M2" s="516"/>
      <c r="N2" s="516"/>
      <c r="P2" s="516"/>
      <c r="Q2" s="522" t="str">
        <f>"Schuljahr 20"&amp;RIGHT(Konti_PTS!H1,5)</f>
        <v>Schuljahr 2024/25</v>
      </c>
      <c r="R2" s="516"/>
      <c r="S2" s="516"/>
    </row>
    <row r="3" spans="1:245" s="528" customFormat="1" ht="33" customHeight="1" x14ac:dyDescent="0.2">
      <c r="A3" s="523"/>
      <c r="B3" s="524"/>
      <c r="C3" s="524"/>
      <c r="D3" s="525"/>
      <c r="E3" s="525"/>
      <c r="F3" s="526"/>
      <c r="G3" s="527"/>
      <c r="H3" s="527"/>
      <c r="I3" s="527"/>
      <c r="J3" s="527"/>
      <c r="K3" s="527"/>
      <c r="L3" s="527"/>
      <c r="M3" s="527"/>
      <c r="N3" s="526"/>
      <c r="O3" s="527"/>
      <c r="P3" s="516"/>
      <c r="Q3" s="525"/>
      <c r="R3" s="516"/>
      <c r="S3" s="51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26"/>
      <c r="ED3" s="526"/>
      <c r="EE3" s="526"/>
      <c r="EF3" s="526"/>
      <c r="EG3" s="526"/>
      <c r="EH3" s="526"/>
      <c r="EI3" s="526"/>
      <c r="EJ3" s="526"/>
      <c r="EK3" s="526"/>
      <c r="EL3" s="526"/>
      <c r="EM3" s="526"/>
      <c r="EN3" s="526"/>
      <c r="EO3" s="526"/>
      <c r="EP3" s="526"/>
      <c r="EQ3" s="526"/>
      <c r="ER3" s="526"/>
      <c r="ES3" s="526"/>
      <c r="ET3" s="526"/>
      <c r="EU3" s="526"/>
      <c r="EV3" s="526"/>
      <c r="EW3" s="526"/>
      <c r="EX3" s="526"/>
      <c r="EY3" s="526"/>
      <c r="EZ3" s="526"/>
      <c r="FA3" s="526"/>
      <c r="FB3" s="526"/>
      <c r="FC3" s="526"/>
      <c r="FD3" s="526"/>
      <c r="FE3" s="526"/>
      <c r="FF3" s="526"/>
      <c r="FG3" s="526"/>
      <c r="FH3" s="526"/>
      <c r="FI3" s="526"/>
      <c r="FJ3" s="526"/>
      <c r="FK3" s="526"/>
      <c r="FL3" s="526"/>
      <c r="FM3" s="526"/>
      <c r="FN3" s="526"/>
      <c r="FO3" s="526"/>
      <c r="FP3" s="526"/>
      <c r="FQ3" s="526"/>
      <c r="FR3" s="526"/>
      <c r="FS3" s="526"/>
      <c r="FT3" s="526"/>
      <c r="FU3" s="526"/>
      <c r="FV3" s="526"/>
      <c r="FW3" s="526"/>
      <c r="FX3" s="526"/>
      <c r="FY3" s="526"/>
      <c r="FZ3" s="526"/>
      <c r="GA3" s="526"/>
      <c r="GB3" s="526"/>
      <c r="GC3" s="526"/>
      <c r="GD3" s="526"/>
      <c r="GE3" s="526"/>
      <c r="GF3" s="526"/>
      <c r="GG3" s="526"/>
      <c r="GH3" s="526"/>
      <c r="GI3" s="526"/>
      <c r="GJ3" s="526"/>
      <c r="GK3" s="526"/>
      <c r="GL3" s="526"/>
      <c r="GM3" s="526"/>
      <c r="GN3" s="526"/>
      <c r="GO3" s="526"/>
      <c r="GP3" s="526"/>
      <c r="GQ3" s="526"/>
      <c r="GR3" s="526"/>
      <c r="GS3" s="526"/>
      <c r="GT3" s="526"/>
      <c r="GU3" s="526"/>
      <c r="GV3" s="526"/>
      <c r="GW3" s="526"/>
      <c r="GX3" s="526"/>
      <c r="GY3" s="526"/>
      <c r="GZ3" s="526"/>
      <c r="HA3" s="526"/>
      <c r="HB3" s="526"/>
      <c r="HC3" s="526"/>
      <c r="HD3" s="526"/>
      <c r="HE3" s="526"/>
      <c r="HF3" s="526"/>
      <c r="HG3" s="526"/>
      <c r="HH3" s="526"/>
      <c r="HI3" s="526"/>
      <c r="HJ3" s="526"/>
      <c r="HK3" s="526"/>
      <c r="HL3" s="526"/>
      <c r="HM3" s="526"/>
      <c r="HN3" s="526"/>
      <c r="HO3" s="526"/>
      <c r="HP3" s="526"/>
      <c r="HQ3" s="526"/>
      <c r="HR3" s="526"/>
      <c r="HS3" s="526"/>
      <c r="HT3" s="526"/>
      <c r="HU3" s="526"/>
      <c r="HV3" s="526"/>
      <c r="HW3" s="526"/>
      <c r="HX3" s="526"/>
      <c r="HY3" s="526"/>
      <c r="HZ3" s="526"/>
      <c r="IA3" s="526"/>
      <c r="IB3" s="526"/>
      <c r="IC3" s="526"/>
      <c r="ID3" s="526"/>
      <c r="IE3" s="526"/>
      <c r="IF3" s="526"/>
      <c r="IG3" s="526"/>
      <c r="IH3" s="526"/>
      <c r="II3" s="526"/>
      <c r="IJ3" s="526"/>
      <c r="IK3" s="526"/>
    </row>
    <row r="4" spans="1:245" ht="155.25" customHeight="1" x14ac:dyDescent="0.25">
      <c r="A4" s="843" t="s">
        <v>386</v>
      </c>
      <c r="B4" s="844"/>
      <c r="C4" s="529"/>
      <c r="D4" s="530" t="s">
        <v>342</v>
      </c>
      <c r="E4" s="531" t="s">
        <v>343</v>
      </c>
      <c r="F4" s="532"/>
      <c r="G4" s="774" t="s">
        <v>390</v>
      </c>
      <c r="H4" s="533" t="s">
        <v>344</v>
      </c>
      <c r="I4" s="533" t="s">
        <v>387</v>
      </c>
      <c r="J4" s="534" t="s">
        <v>346</v>
      </c>
      <c r="K4" s="535" t="s">
        <v>347</v>
      </c>
      <c r="L4" s="536" t="s">
        <v>348</v>
      </c>
      <c r="M4" s="537" t="s">
        <v>349</v>
      </c>
      <c r="N4" s="532"/>
      <c r="O4" s="538" t="s">
        <v>350</v>
      </c>
      <c r="Q4" s="539" t="s">
        <v>351</v>
      </c>
    </row>
    <row r="5" spans="1:245" ht="23.25" customHeight="1" x14ac:dyDescent="0.25">
      <c r="A5" s="540"/>
      <c r="B5" s="541"/>
      <c r="C5" s="542"/>
      <c r="D5" s="543"/>
      <c r="E5" s="544"/>
      <c r="F5" s="545"/>
      <c r="G5" s="546"/>
      <c r="H5" s="547"/>
      <c r="I5" s="547"/>
      <c r="J5" s="547"/>
      <c r="K5" s="547"/>
      <c r="L5" s="547"/>
      <c r="M5" s="548"/>
      <c r="N5" s="549"/>
      <c r="O5" s="550"/>
      <c r="P5" s="551"/>
      <c r="Q5" s="752">
        <f t="shared" ref="Q5:Q45" si="0">SUM(G5:O5)</f>
        <v>0</v>
      </c>
    </row>
    <row r="6" spans="1:245" ht="23.25" customHeight="1" x14ac:dyDescent="0.25">
      <c r="A6" s="552"/>
      <c r="B6" s="553"/>
      <c r="C6" s="554"/>
      <c r="D6" s="555"/>
      <c r="E6" s="556"/>
      <c r="F6" s="545"/>
      <c r="G6" s="557"/>
      <c r="H6" s="558"/>
      <c r="I6" s="558"/>
      <c r="J6" s="558"/>
      <c r="K6" s="558"/>
      <c r="L6" s="559"/>
      <c r="M6" s="560"/>
      <c r="N6" s="561"/>
      <c r="O6" s="562"/>
      <c r="P6" s="551"/>
      <c r="Q6" s="753">
        <f t="shared" si="0"/>
        <v>0</v>
      </c>
    </row>
    <row r="7" spans="1:245" ht="23.25" customHeight="1" x14ac:dyDescent="0.25">
      <c r="A7" s="552"/>
      <c r="B7" s="553"/>
      <c r="C7" s="554"/>
      <c r="D7" s="555"/>
      <c r="E7" s="556"/>
      <c r="F7" s="545"/>
      <c r="G7" s="557"/>
      <c r="H7" s="558"/>
      <c r="I7" s="558"/>
      <c r="J7" s="558"/>
      <c r="K7" s="558"/>
      <c r="L7" s="559"/>
      <c r="M7" s="560"/>
      <c r="N7" s="561"/>
      <c r="O7" s="562"/>
      <c r="P7" s="551"/>
      <c r="Q7" s="753">
        <f t="shared" si="0"/>
        <v>0</v>
      </c>
    </row>
    <row r="8" spans="1:245" ht="23.25" customHeight="1" x14ac:dyDescent="0.25">
      <c r="A8" s="552"/>
      <c r="B8" s="553"/>
      <c r="C8" s="554"/>
      <c r="D8" s="555"/>
      <c r="E8" s="556"/>
      <c r="F8" s="545"/>
      <c r="G8" s="557"/>
      <c r="H8" s="558"/>
      <c r="I8" s="558"/>
      <c r="J8" s="558"/>
      <c r="K8" s="558"/>
      <c r="L8" s="559"/>
      <c r="M8" s="560"/>
      <c r="N8" s="561"/>
      <c r="O8" s="562"/>
      <c r="P8" s="551"/>
      <c r="Q8" s="753">
        <f t="shared" si="0"/>
        <v>0</v>
      </c>
    </row>
    <row r="9" spans="1:245" ht="23.25" customHeight="1" x14ac:dyDescent="0.25">
      <c r="A9" s="552"/>
      <c r="B9" s="553"/>
      <c r="C9" s="554"/>
      <c r="D9" s="555"/>
      <c r="E9" s="556"/>
      <c r="F9" s="545"/>
      <c r="G9" s="557"/>
      <c r="H9" s="558"/>
      <c r="I9" s="558"/>
      <c r="J9" s="558"/>
      <c r="K9" s="558"/>
      <c r="L9" s="559"/>
      <c r="M9" s="560"/>
      <c r="N9" s="561"/>
      <c r="O9" s="562"/>
      <c r="P9" s="551"/>
      <c r="Q9" s="753">
        <f t="shared" si="0"/>
        <v>0</v>
      </c>
    </row>
    <row r="10" spans="1:245" ht="23.25" customHeight="1" x14ac:dyDescent="0.25">
      <c r="A10" s="552"/>
      <c r="B10" s="553"/>
      <c r="C10" s="554"/>
      <c r="D10" s="555"/>
      <c r="E10" s="556"/>
      <c r="F10" s="545"/>
      <c r="G10" s="557"/>
      <c r="H10" s="558"/>
      <c r="I10" s="558"/>
      <c r="J10" s="558"/>
      <c r="K10" s="558"/>
      <c r="L10" s="559"/>
      <c r="M10" s="560"/>
      <c r="N10" s="561"/>
      <c r="O10" s="562"/>
      <c r="P10" s="551"/>
      <c r="Q10" s="753">
        <f t="shared" si="0"/>
        <v>0</v>
      </c>
    </row>
    <row r="11" spans="1:245" ht="23.25" customHeight="1" x14ac:dyDescent="0.25">
      <c r="A11" s="552"/>
      <c r="B11" s="553"/>
      <c r="C11" s="554"/>
      <c r="D11" s="555"/>
      <c r="E11" s="556"/>
      <c r="F11" s="545"/>
      <c r="G11" s="557"/>
      <c r="H11" s="558"/>
      <c r="I11" s="558"/>
      <c r="J11" s="558"/>
      <c r="K11" s="558"/>
      <c r="L11" s="559"/>
      <c r="M11" s="560"/>
      <c r="N11" s="561"/>
      <c r="O11" s="562"/>
      <c r="P11" s="551"/>
      <c r="Q11" s="753">
        <f t="shared" si="0"/>
        <v>0</v>
      </c>
    </row>
    <row r="12" spans="1:245" ht="23.25" customHeight="1" x14ac:dyDescent="0.25">
      <c r="A12" s="552"/>
      <c r="B12" s="553"/>
      <c r="C12" s="554"/>
      <c r="D12" s="555"/>
      <c r="E12" s="556"/>
      <c r="F12" s="545"/>
      <c r="G12" s="557"/>
      <c r="H12" s="558"/>
      <c r="I12" s="558"/>
      <c r="J12" s="558"/>
      <c r="K12" s="558"/>
      <c r="L12" s="559"/>
      <c r="M12" s="560"/>
      <c r="N12" s="561"/>
      <c r="O12" s="562"/>
      <c r="P12" s="551"/>
      <c r="Q12" s="753">
        <f t="shared" si="0"/>
        <v>0</v>
      </c>
    </row>
    <row r="13" spans="1:245" ht="23.25" customHeight="1" x14ac:dyDescent="0.25">
      <c r="A13" s="552"/>
      <c r="B13" s="553"/>
      <c r="C13" s="554"/>
      <c r="D13" s="555"/>
      <c r="E13" s="556"/>
      <c r="F13" s="545"/>
      <c r="G13" s="557"/>
      <c r="H13" s="558"/>
      <c r="I13" s="558"/>
      <c r="J13" s="558"/>
      <c r="K13" s="558"/>
      <c r="L13" s="559"/>
      <c r="M13" s="560"/>
      <c r="N13" s="561"/>
      <c r="O13" s="562"/>
      <c r="P13" s="551"/>
      <c r="Q13" s="753">
        <f t="shared" si="0"/>
        <v>0</v>
      </c>
    </row>
    <row r="14" spans="1:245" ht="23.25" customHeight="1" x14ac:dyDescent="0.25">
      <c r="A14" s="552"/>
      <c r="B14" s="553"/>
      <c r="C14" s="554"/>
      <c r="D14" s="555"/>
      <c r="E14" s="563"/>
      <c r="F14" s="545"/>
      <c r="G14" s="557"/>
      <c r="H14" s="558"/>
      <c r="I14" s="558"/>
      <c r="J14" s="558"/>
      <c r="K14" s="558"/>
      <c r="L14" s="559"/>
      <c r="M14" s="560"/>
      <c r="N14" s="561"/>
      <c r="O14" s="562"/>
      <c r="P14" s="551"/>
      <c r="Q14" s="753">
        <f t="shared" si="0"/>
        <v>0</v>
      </c>
    </row>
    <row r="15" spans="1:245" ht="23.25" customHeight="1" x14ac:dyDescent="0.25">
      <c r="A15" s="552"/>
      <c r="B15" s="553"/>
      <c r="C15" s="554"/>
      <c r="D15" s="555"/>
      <c r="E15" s="556"/>
      <c r="F15" s="545"/>
      <c r="G15" s="557"/>
      <c r="H15" s="558"/>
      <c r="I15" s="558"/>
      <c r="J15" s="558"/>
      <c r="K15" s="558"/>
      <c r="L15" s="559"/>
      <c r="M15" s="560"/>
      <c r="N15" s="561"/>
      <c r="O15" s="562"/>
      <c r="P15" s="551"/>
      <c r="Q15" s="753">
        <f t="shared" si="0"/>
        <v>0</v>
      </c>
    </row>
    <row r="16" spans="1:245" ht="23.25" customHeight="1" x14ac:dyDescent="0.25">
      <c r="A16" s="552"/>
      <c r="B16" s="553"/>
      <c r="C16" s="554"/>
      <c r="D16" s="555"/>
      <c r="E16" s="556"/>
      <c r="F16" s="545"/>
      <c r="G16" s="557"/>
      <c r="H16" s="558"/>
      <c r="I16" s="558"/>
      <c r="J16" s="558"/>
      <c r="K16" s="558"/>
      <c r="L16" s="559"/>
      <c r="M16" s="560"/>
      <c r="N16" s="561"/>
      <c r="O16" s="562"/>
      <c r="P16" s="551"/>
      <c r="Q16" s="753">
        <f t="shared" si="0"/>
        <v>0</v>
      </c>
    </row>
    <row r="17" spans="1:17" ht="23.25" customHeight="1" x14ac:dyDescent="0.25">
      <c r="A17" s="552"/>
      <c r="B17" s="553"/>
      <c r="C17" s="554"/>
      <c r="D17" s="555"/>
      <c r="E17" s="556"/>
      <c r="F17" s="545"/>
      <c r="G17" s="557"/>
      <c r="H17" s="558"/>
      <c r="I17" s="558"/>
      <c r="J17" s="558"/>
      <c r="K17" s="558"/>
      <c r="L17" s="559"/>
      <c r="M17" s="560"/>
      <c r="N17" s="561"/>
      <c r="O17" s="562"/>
      <c r="P17" s="551"/>
      <c r="Q17" s="753">
        <f t="shared" si="0"/>
        <v>0</v>
      </c>
    </row>
    <row r="18" spans="1:17" ht="23.25" customHeight="1" x14ac:dyDescent="0.25">
      <c r="A18" s="552"/>
      <c r="B18" s="553"/>
      <c r="C18" s="554"/>
      <c r="D18" s="555"/>
      <c r="E18" s="556"/>
      <c r="F18" s="545"/>
      <c r="G18" s="557"/>
      <c r="H18" s="558"/>
      <c r="I18" s="558"/>
      <c r="J18" s="558"/>
      <c r="K18" s="558"/>
      <c r="L18" s="559"/>
      <c r="M18" s="560"/>
      <c r="N18" s="561"/>
      <c r="O18" s="562"/>
      <c r="P18" s="551"/>
      <c r="Q18" s="753">
        <f t="shared" si="0"/>
        <v>0</v>
      </c>
    </row>
    <row r="19" spans="1:17" ht="23.25" customHeight="1" x14ac:dyDescent="0.25">
      <c r="A19" s="552"/>
      <c r="B19" s="553"/>
      <c r="C19" s="554"/>
      <c r="D19" s="555"/>
      <c r="E19" s="556"/>
      <c r="F19" s="545"/>
      <c r="G19" s="557"/>
      <c r="H19" s="558"/>
      <c r="I19" s="558"/>
      <c r="J19" s="558"/>
      <c r="K19" s="558"/>
      <c r="L19" s="559"/>
      <c r="M19" s="560"/>
      <c r="N19" s="561"/>
      <c r="O19" s="562"/>
      <c r="P19" s="551"/>
      <c r="Q19" s="753">
        <f t="shared" si="0"/>
        <v>0</v>
      </c>
    </row>
    <row r="20" spans="1:17" ht="23.25" customHeight="1" x14ac:dyDescent="0.25">
      <c r="A20" s="552"/>
      <c r="B20" s="553"/>
      <c r="C20" s="554"/>
      <c r="D20" s="555"/>
      <c r="E20" s="556"/>
      <c r="F20" s="545"/>
      <c r="G20" s="557"/>
      <c r="H20" s="558"/>
      <c r="I20" s="558"/>
      <c r="J20" s="558"/>
      <c r="K20" s="558"/>
      <c r="L20" s="559"/>
      <c r="M20" s="560"/>
      <c r="N20" s="561"/>
      <c r="O20" s="562"/>
      <c r="P20" s="551"/>
      <c r="Q20" s="753">
        <f t="shared" si="0"/>
        <v>0</v>
      </c>
    </row>
    <row r="21" spans="1:17" ht="23.25" customHeight="1" x14ac:dyDescent="0.25">
      <c r="A21" s="552"/>
      <c r="B21" s="553"/>
      <c r="C21" s="554"/>
      <c r="D21" s="555"/>
      <c r="E21" s="556"/>
      <c r="F21" s="545"/>
      <c r="G21" s="557"/>
      <c r="H21" s="558"/>
      <c r="I21" s="558"/>
      <c r="J21" s="558"/>
      <c r="K21" s="558"/>
      <c r="L21" s="559"/>
      <c r="M21" s="560"/>
      <c r="N21" s="561"/>
      <c r="O21" s="562"/>
      <c r="P21" s="551"/>
      <c r="Q21" s="753">
        <f t="shared" si="0"/>
        <v>0</v>
      </c>
    </row>
    <row r="22" spans="1:17" ht="23.25" customHeight="1" x14ac:dyDescent="0.25">
      <c r="A22" s="552"/>
      <c r="B22" s="553"/>
      <c r="C22" s="554"/>
      <c r="D22" s="555"/>
      <c r="E22" s="556"/>
      <c r="F22" s="545"/>
      <c r="G22" s="557"/>
      <c r="H22" s="558"/>
      <c r="I22" s="558"/>
      <c r="J22" s="558"/>
      <c r="K22" s="558"/>
      <c r="L22" s="559"/>
      <c r="M22" s="560"/>
      <c r="N22" s="561"/>
      <c r="O22" s="562"/>
      <c r="P22" s="551"/>
      <c r="Q22" s="753">
        <f t="shared" si="0"/>
        <v>0</v>
      </c>
    </row>
    <row r="23" spans="1:17" ht="23.25" customHeight="1" x14ac:dyDescent="0.25">
      <c r="A23" s="552"/>
      <c r="B23" s="553"/>
      <c r="C23" s="554"/>
      <c r="D23" s="555"/>
      <c r="E23" s="556"/>
      <c r="F23" s="545"/>
      <c r="G23" s="557"/>
      <c r="H23" s="558"/>
      <c r="I23" s="558"/>
      <c r="J23" s="558"/>
      <c r="K23" s="558"/>
      <c r="L23" s="559"/>
      <c r="M23" s="560"/>
      <c r="N23" s="561"/>
      <c r="O23" s="562"/>
      <c r="P23" s="551"/>
      <c r="Q23" s="753">
        <f t="shared" si="0"/>
        <v>0</v>
      </c>
    </row>
    <row r="24" spans="1:17" ht="23.25" customHeight="1" x14ac:dyDescent="0.25">
      <c r="A24" s="552"/>
      <c r="B24" s="553"/>
      <c r="C24" s="554"/>
      <c r="D24" s="555"/>
      <c r="E24" s="556"/>
      <c r="F24" s="545"/>
      <c r="G24" s="557"/>
      <c r="H24" s="558"/>
      <c r="I24" s="558"/>
      <c r="J24" s="558"/>
      <c r="K24" s="558"/>
      <c r="L24" s="559"/>
      <c r="M24" s="560"/>
      <c r="N24" s="561"/>
      <c r="O24" s="562"/>
      <c r="P24" s="551"/>
      <c r="Q24" s="753">
        <f t="shared" si="0"/>
        <v>0</v>
      </c>
    </row>
    <row r="25" spans="1:17" ht="23.25" customHeight="1" x14ac:dyDescent="0.25">
      <c r="A25" s="552"/>
      <c r="B25" s="553"/>
      <c r="C25" s="554"/>
      <c r="D25" s="555"/>
      <c r="E25" s="556"/>
      <c r="F25" s="545"/>
      <c r="G25" s="557"/>
      <c r="H25" s="558"/>
      <c r="I25" s="558"/>
      <c r="J25" s="558"/>
      <c r="K25" s="558"/>
      <c r="L25" s="559"/>
      <c r="M25" s="560"/>
      <c r="N25" s="561"/>
      <c r="O25" s="562"/>
      <c r="P25" s="551"/>
      <c r="Q25" s="753">
        <f t="shared" si="0"/>
        <v>0</v>
      </c>
    </row>
    <row r="26" spans="1:17" ht="23.25" customHeight="1" x14ac:dyDescent="0.25">
      <c r="A26" s="552"/>
      <c r="B26" s="553"/>
      <c r="C26" s="554"/>
      <c r="D26" s="555"/>
      <c r="E26" s="556"/>
      <c r="F26" s="545"/>
      <c r="G26" s="557"/>
      <c r="H26" s="558"/>
      <c r="I26" s="558"/>
      <c r="J26" s="558"/>
      <c r="K26" s="558"/>
      <c r="L26" s="559"/>
      <c r="M26" s="560"/>
      <c r="N26" s="561"/>
      <c r="O26" s="562"/>
      <c r="P26" s="551"/>
      <c r="Q26" s="753">
        <f t="shared" si="0"/>
        <v>0</v>
      </c>
    </row>
    <row r="27" spans="1:17" ht="23.25" customHeight="1" x14ac:dyDescent="0.25">
      <c r="A27" s="552"/>
      <c r="B27" s="553"/>
      <c r="C27" s="554"/>
      <c r="D27" s="555"/>
      <c r="E27" s="556"/>
      <c r="F27" s="545"/>
      <c r="G27" s="557"/>
      <c r="H27" s="558"/>
      <c r="I27" s="558"/>
      <c r="J27" s="558"/>
      <c r="K27" s="558"/>
      <c r="L27" s="559"/>
      <c r="M27" s="560"/>
      <c r="N27" s="561"/>
      <c r="O27" s="562"/>
      <c r="P27" s="551"/>
      <c r="Q27" s="753">
        <f t="shared" si="0"/>
        <v>0</v>
      </c>
    </row>
    <row r="28" spans="1:17" ht="23.25" customHeight="1" x14ac:dyDescent="0.25">
      <c r="A28" s="552"/>
      <c r="B28" s="553"/>
      <c r="C28" s="554"/>
      <c r="D28" s="555"/>
      <c r="E28" s="556"/>
      <c r="F28" s="545"/>
      <c r="G28" s="557"/>
      <c r="H28" s="558"/>
      <c r="I28" s="558"/>
      <c r="J28" s="558"/>
      <c r="K28" s="558"/>
      <c r="L28" s="559"/>
      <c r="M28" s="560"/>
      <c r="N28" s="561"/>
      <c r="O28" s="562"/>
      <c r="P28" s="551"/>
      <c r="Q28" s="753">
        <f t="shared" si="0"/>
        <v>0</v>
      </c>
    </row>
    <row r="29" spans="1:17" ht="23.25" customHeight="1" x14ac:dyDescent="0.25">
      <c r="A29" s="552"/>
      <c r="B29" s="553"/>
      <c r="C29" s="554"/>
      <c r="D29" s="555"/>
      <c r="E29" s="556"/>
      <c r="F29" s="545"/>
      <c r="G29" s="557"/>
      <c r="H29" s="558"/>
      <c r="I29" s="558"/>
      <c r="J29" s="558"/>
      <c r="K29" s="558"/>
      <c r="L29" s="559"/>
      <c r="M29" s="560"/>
      <c r="N29" s="561"/>
      <c r="O29" s="562"/>
      <c r="P29" s="551"/>
      <c r="Q29" s="753">
        <f t="shared" si="0"/>
        <v>0</v>
      </c>
    </row>
    <row r="30" spans="1:17" ht="23.25" customHeight="1" x14ac:dyDescent="0.25">
      <c r="A30" s="552"/>
      <c r="B30" s="553"/>
      <c r="C30" s="554"/>
      <c r="D30" s="555"/>
      <c r="E30" s="556"/>
      <c r="F30" s="545"/>
      <c r="G30" s="557"/>
      <c r="H30" s="558"/>
      <c r="I30" s="558"/>
      <c r="J30" s="558"/>
      <c r="K30" s="558"/>
      <c r="L30" s="559"/>
      <c r="M30" s="560"/>
      <c r="N30" s="561"/>
      <c r="O30" s="562"/>
      <c r="P30" s="551"/>
      <c r="Q30" s="753">
        <f t="shared" si="0"/>
        <v>0</v>
      </c>
    </row>
    <row r="31" spans="1:17" ht="23.25" customHeight="1" x14ac:dyDescent="0.25">
      <c r="A31" s="552"/>
      <c r="B31" s="553"/>
      <c r="C31" s="554"/>
      <c r="D31" s="555"/>
      <c r="E31" s="556"/>
      <c r="F31" s="545"/>
      <c r="G31" s="557"/>
      <c r="H31" s="558"/>
      <c r="I31" s="558"/>
      <c r="J31" s="558"/>
      <c r="K31" s="558"/>
      <c r="L31" s="559"/>
      <c r="M31" s="560"/>
      <c r="N31" s="561"/>
      <c r="O31" s="562"/>
      <c r="P31" s="551"/>
      <c r="Q31" s="753">
        <f t="shared" si="0"/>
        <v>0</v>
      </c>
    </row>
    <row r="32" spans="1:17" ht="23.25" customHeight="1" x14ac:dyDescent="0.25">
      <c r="A32" s="552"/>
      <c r="B32" s="553"/>
      <c r="C32" s="554"/>
      <c r="D32" s="555"/>
      <c r="E32" s="556"/>
      <c r="F32" s="545"/>
      <c r="G32" s="557"/>
      <c r="H32" s="558"/>
      <c r="I32" s="558"/>
      <c r="J32" s="558"/>
      <c r="K32" s="558"/>
      <c r="L32" s="559"/>
      <c r="M32" s="560"/>
      <c r="N32" s="561"/>
      <c r="O32" s="562"/>
      <c r="P32" s="551"/>
      <c r="Q32" s="753">
        <f t="shared" si="0"/>
        <v>0</v>
      </c>
    </row>
    <row r="33" spans="1:17" ht="23.25" customHeight="1" x14ac:dyDescent="0.25">
      <c r="A33" s="552"/>
      <c r="B33" s="553"/>
      <c r="C33" s="554"/>
      <c r="D33" s="555"/>
      <c r="E33" s="556"/>
      <c r="F33" s="545"/>
      <c r="G33" s="557"/>
      <c r="H33" s="558"/>
      <c r="I33" s="558"/>
      <c r="J33" s="558"/>
      <c r="K33" s="558"/>
      <c r="L33" s="559"/>
      <c r="M33" s="560"/>
      <c r="N33" s="561"/>
      <c r="O33" s="562"/>
      <c r="P33" s="551"/>
      <c r="Q33" s="753">
        <f t="shared" si="0"/>
        <v>0</v>
      </c>
    </row>
    <row r="34" spans="1:17" ht="23.25" customHeight="1" x14ac:dyDescent="0.25">
      <c r="A34" s="552"/>
      <c r="B34" s="553"/>
      <c r="C34" s="554"/>
      <c r="D34" s="555"/>
      <c r="E34" s="556"/>
      <c r="F34" s="545"/>
      <c r="G34" s="557"/>
      <c r="H34" s="558"/>
      <c r="I34" s="558"/>
      <c r="J34" s="558"/>
      <c r="K34" s="558"/>
      <c r="L34" s="559"/>
      <c r="M34" s="560"/>
      <c r="N34" s="561"/>
      <c r="O34" s="562"/>
      <c r="P34" s="551"/>
      <c r="Q34" s="753">
        <f t="shared" si="0"/>
        <v>0</v>
      </c>
    </row>
    <row r="35" spans="1:17" ht="23.25" customHeight="1" x14ac:dyDescent="0.25">
      <c r="A35" s="552"/>
      <c r="B35" s="553"/>
      <c r="C35" s="554"/>
      <c r="D35" s="555"/>
      <c r="E35" s="556"/>
      <c r="F35" s="545"/>
      <c r="G35" s="557"/>
      <c r="H35" s="558"/>
      <c r="I35" s="558"/>
      <c r="J35" s="558"/>
      <c r="K35" s="558"/>
      <c r="L35" s="559"/>
      <c r="M35" s="560"/>
      <c r="N35" s="561"/>
      <c r="O35" s="562"/>
      <c r="P35" s="551"/>
      <c r="Q35" s="753">
        <f t="shared" si="0"/>
        <v>0</v>
      </c>
    </row>
    <row r="36" spans="1:17" ht="23.25" customHeight="1" x14ac:dyDescent="0.25">
      <c r="A36" s="552"/>
      <c r="B36" s="553"/>
      <c r="C36" s="554"/>
      <c r="D36" s="555"/>
      <c r="E36" s="556"/>
      <c r="F36" s="545"/>
      <c r="G36" s="557"/>
      <c r="H36" s="558"/>
      <c r="I36" s="558"/>
      <c r="J36" s="558"/>
      <c r="K36" s="558"/>
      <c r="L36" s="559"/>
      <c r="M36" s="560"/>
      <c r="N36" s="561"/>
      <c r="O36" s="562"/>
      <c r="P36" s="551"/>
      <c r="Q36" s="753">
        <f t="shared" si="0"/>
        <v>0</v>
      </c>
    </row>
    <row r="37" spans="1:17" ht="23.25" customHeight="1" x14ac:dyDescent="0.25">
      <c r="A37" s="552"/>
      <c r="B37" s="553"/>
      <c r="C37" s="554"/>
      <c r="D37" s="555"/>
      <c r="E37" s="556"/>
      <c r="F37" s="545"/>
      <c r="G37" s="557"/>
      <c r="H37" s="558"/>
      <c r="I37" s="558"/>
      <c r="J37" s="558"/>
      <c r="K37" s="558"/>
      <c r="L37" s="559"/>
      <c r="M37" s="560"/>
      <c r="N37" s="561"/>
      <c r="O37" s="562"/>
      <c r="P37" s="551"/>
      <c r="Q37" s="753">
        <f t="shared" si="0"/>
        <v>0</v>
      </c>
    </row>
    <row r="38" spans="1:17" ht="23.25" customHeight="1" x14ac:dyDescent="0.25">
      <c r="A38" s="552"/>
      <c r="B38" s="553"/>
      <c r="C38" s="554"/>
      <c r="D38" s="555"/>
      <c r="E38" s="556"/>
      <c r="F38" s="545"/>
      <c r="G38" s="557"/>
      <c r="H38" s="558"/>
      <c r="I38" s="558"/>
      <c r="J38" s="558"/>
      <c r="K38" s="558"/>
      <c r="L38" s="559"/>
      <c r="M38" s="560"/>
      <c r="N38" s="561"/>
      <c r="O38" s="562"/>
      <c r="P38" s="551"/>
      <c r="Q38" s="753">
        <f t="shared" si="0"/>
        <v>0</v>
      </c>
    </row>
    <row r="39" spans="1:17" ht="23.25" customHeight="1" x14ac:dyDescent="0.25">
      <c r="A39" s="552"/>
      <c r="B39" s="553"/>
      <c r="C39" s="554"/>
      <c r="D39" s="555"/>
      <c r="E39" s="556"/>
      <c r="F39" s="545"/>
      <c r="G39" s="557"/>
      <c r="H39" s="558"/>
      <c r="I39" s="558"/>
      <c r="J39" s="558"/>
      <c r="K39" s="558"/>
      <c r="L39" s="559"/>
      <c r="M39" s="560"/>
      <c r="N39" s="561"/>
      <c r="O39" s="562"/>
      <c r="P39" s="551"/>
      <c r="Q39" s="753">
        <f t="shared" si="0"/>
        <v>0</v>
      </c>
    </row>
    <row r="40" spans="1:17" ht="23.25" customHeight="1" x14ac:dyDescent="0.25">
      <c r="A40" s="552"/>
      <c r="B40" s="553"/>
      <c r="C40" s="554"/>
      <c r="D40" s="555"/>
      <c r="E40" s="556"/>
      <c r="F40" s="545"/>
      <c r="G40" s="557"/>
      <c r="H40" s="558"/>
      <c r="I40" s="558"/>
      <c r="J40" s="558"/>
      <c r="K40" s="558"/>
      <c r="L40" s="559"/>
      <c r="M40" s="560"/>
      <c r="N40" s="561"/>
      <c r="O40" s="562"/>
      <c r="P40" s="551"/>
      <c r="Q40" s="753">
        <f t="shared" si="0"/>
        <v>0</v>
      </c>
    </row>
    <row r="41" spans="1:17" ht="23.25" customHeight="1" x14ac:dyDescent="0.25">
      <c r="A41" s="552"/>
      <c r="B41" s="553"/>
      <c r="C41" s="554"/>
      <c r="D41" s="555"/>
      <c r="E41" s="556"/>
      <c r="F41" s="545"/>
      <c r="G41" s="557"/>
      <c r="H41" s="558"/>
      <c r="I41" s="558"/>
      <c r="J41" s="558"/>
      <c r="K41" s="558"/>
      <c r="L41" s="559"/>
      <c r="M41" s="560"/>
      <c r="N41" s="561"/>
      <c r="O41" s="562"/>
      <c r="P41" s="551"/>
      <c r="Q41" s="753">
        <f t="shared" si="0"/>
        <v>0</v>
      </c>
    </row>
    <row r="42" spans="1:17" ht="23.25" customHeight="1" x14ac:dyDescent="0.25">
      <c r="A42" s="552"/>
      <c r="B42" s="553"/>
      <c r="C42" s="554"/>
      <c r="D42" s="555"/>
      <c r="E42" s="556"/>
      <c r="F42" s="545"/>
      <c r="G42" s="557"/>
      <c r="H42" s="558"/>
      <c r="I42" s="558"/>
      <c r="J42" s="558"/>
      <c r="K42" s="558"/>
      <c r="L42" s="559"/>
      <c r="M42" s="560"/>
      <c r="N42" s="561"/>
      <c r="O42" s="562"/>
      <c r="P42" s="551"/>
      <c r="Q42" s="753">
        <f t="shared" si="0"/>
        <v>0</v>
      </c>
    </row>
    <row r="43" spans="1:17" ht="23.25" customHeight="1" x14ac:dyDescent="0.25">
      <c r="A43" s="552"/>
      <c r="B43" s="553"/>
      <c r="C43" s="554"/>
      <c r="D43" s="555"/>
      <c r="E43" s="556"/>
      <c r="F43" s="545"/>
      <c r="G43" s="557"/>
      <c r="H43" s="558"/>
      <c r="I43" s="558"/>
      <c r="J43" s="558"/>
      <c r="K43" s="558"/>
      <c r="L43" s="559"/>
      <c r="M43" s="560"/>
      <c r="N43" s="561"/>
      <c r="O43" s="562"/>
      <c r="P43" s="551"/>
      <c r="Q43" s="753">
        <f t="shared" si="0"/>
        <v>0</v>
      </c>
    </row>
    <row r="44" spans="1:17" ht="23.25" customHeight="1" x14ac:dyDescent="0.25">
      <c r="A44" s="552"/>
      <c r="B44" s="553"/>
      <c r="C44" s="554"/>
      <c r="D44" s="555"/>
      <c r="E44" s="556"/>
      <c r="F44" s="545"/>
      <c r="G44" s="557"/>
      <c r="H44" s="558"/>
      <c r="I44" s="558"/>
      <c r="J44" s="558"/>
      <c r="K44" s="558"/>
      <c r="L44" s="559"/>
      <c r="M44" s="560"/>
      <c r="N44" s="561"/>
      <c r="O44" s="562"/>
      <c r="P44" s="551"/>
      <c r="Q44" s="753">
        <f t="shared" si="0"/>
        <v>0</v>
      </c>
    </row>
    <row r="45" spans="1:17" ht="23.25" customHeight="1" x14ac:dyDescent="0.25">
      <c r="A45" s="552"/>
      <c r="B45" s="553"/>
      <c r="C45" s="554"/>
      <c r="D45" s="555"/>
      <c r="E45" s="556"/>
      <c r="F45" s="545"/>
      <c r="G45" s="557"/>
      <c r="H45" s="558"/>
      <c r="I45" s="558"/>
      <c r="J45" s="558"/>
      <c r="K45" s="558"/>
      <c r="L45" s="559"/>
      <c r="M45" s="560"/>
      <c r="N45" s="561"/>
      <c r="O45" s="562"/>
      <c r="P45" s="551"/>
      <c r="Q45" s="753">
        <f t="shared" si="0"/>
        <v>0</v>
      </c>
    </row>
    <row r="46" spans="1:17" ht="23.25" customHeight="1" x14ac:dyDescent="0.25">
      <c r="A46" s="552"/>
      <c r="B46" s="553"/>
      <c r="C46" s="554"/>
      <c r="D46" s="555"/>
      <c r="E46" s="556"/>
      <c r="F46" s="545"/>
      <c r="G46" s="557"/>
      <c r="H46" s="558"/>
      <c r="I46" s="558"/>
      <c r="J46" s="558"/>
      <c r="K46" s="558"/>
      <c r="L46" s="559"/>
      <c r="M46" s="560"/>
      <c r="N46" s="561"/>
      <c r="O46" s="562"/>
      <c r="P46" s="551"/>
      <c r="Q46" s="753">
        <f>SUM(G46:O46)</f>
        <v>0</v>
      </c>
    </row>
    <row r="47" spans="1:17" ht="23.25" customHeight="1" x14ac:dyDescent="0.25">
      <c r="A47" s="552"/>
      <c r="B47" s="553"/>
      <c r="C47" s="554"/>
      <c r="D47" s="555"/>
      <c r="E47" s="556"/>
      <c r="F47" s="545"/>
      <c r="G47" s="557"/>
      <c r="H47" s="558"/>
      <c r="I47" s="558"/>
      <c r="J47" s="558"/>
      <c r="K47" s="558"/>
      <c r="L47" s="559"/>
      <c r="M47" s="560"/>
      <c r="N47" s="561"/>
      <c r="O47" s="562"/>
      <c r="P47" s="551"/>
      <c r="Q47" s="753">
        <f t="shared" ref="Q47:Q84" si="1">SUM(G47:O47)</f>
        <v>0</v>
      </c>
    </row>
    <row r="48" spans="1:17" ht="23.25" customHeight="1" x14ac:dyDescent="0.25">
      <c r="A48" s="552"/>
      <c r="B48" s="553"/>
      <c r="C48" s="554"/>
      <c r="D48" s="555"/>
      <c r="E48" s="556"/>
      <c r="F48" s="545"/>
      <c r="G48" s="557"/>
      <c r="H48" s="558"/>
      <c r="I48" s="558"/>
      <c r="J48" s="558"/>
      <c r="K48" s="558"/>
      <c r="L48" s="559"/>
      <c r="M48" s="560"/>
      <c r="N48" s="561"/>
      <c r="O48" s="562"/>
      <c r="P48" s="551"/>
      <c r="Q48" s="753">
        <f t="shared" si="1"/>
        <v>0</v>
      </c>
    </row>
    <row r="49" spans="1:17" ht="23.25" customHeight="1" x14ac:dyDescent="0.25">
      <c r="A49" s="552"/>
      <c r="B49" s="553"/>
      <c r="C49" s="554"/>
      <c r="D49" s="555"/>
      <c r="E49" s="556"/>
      <c r="F49" s="545"/>
      <c r="G49" s="557"/>
      <c r="H49" s="558"/>
      <c r="I49" s="558"/>
      <c r="J49" s="558"/>
      <c r="K49" s="558"/>
      <c r="L49" s="559"/>
      <c r="M49" s="560"/>
      <c r="N49" s="561"/>
      <c r="O49" s="562"/>
      <c r="P49" s="551"/>
      <c r="Q49" s="753">
        <f t="shared" si="1"/>
        <v>0</v>
      </c>
    </row>
    <row r="50" spans="1:17" ht="23.25" customHeight="1" x14ac:dyDescent="0.25">
      <c r="A50" s="552"/>
      <c r="B50" s="553"/>
      <c r="C50" s="554"/>
      <c r="D50" s="555"/>
      <c r="E50" s="556"/>
      <c r="F50" s="545"/>
      <c r="G50" s="557"/>
      <c r="H50" s="558"/>
      <c r="I50" s="558"/>
      <c r="J50" s="558"/>
      <c r="K50" s="558"/>
      <c r="L50" s="559"/>
      <c r="M50" s="560"/>
      <c r="N50" s="561"/>
      <c r="O50" s="562"/>
      <c r="P50" s="551"/>
      <c r="Q50" s="753">
        <f t="shared" si="1"/>
        <v>0</v>
      </c>
    </row>
    <row r="51" spans="1:17" ht="23.25" customHeight="1" x14ac:dyDescent="0.25">
      <c r="A51" s="552"/>
      <c r="B51" s="553"/>
      <c r="C51" s="554"/>
      <c r="D51" s="555"/>
      <c r="E51" s="556"/>
      <c r="F51" s="545"/>
      <c r="G51" s="557"/>
      <c r="H51" s="558"/>
      <c r="I51" s="558"/>
      <c r="J51" s="558"/>
      <c r="K51" s="558"/>
      <c r="L51" s="559"/>
      <c r="M51" s="560"/>
      <c r="N51" s="561"/>
      <c r="O51" s="562"/>
      <c r="P51" s="551"/>
      <c r="Q51" s="753">
        <f t="shared" si="1"/>
        <v>0</v>
      </c>
    </row>
    <row r="52" spans="1:17" ht="23.25" customHeight="1" x14ac:dyDescent="0.25">
      <c r="A52" s="552"/>
      <c r="B52" s="553"/>
      <c r="C52" s="554"/>
      <c r="D52" s="555"/>
      <c r="E52" s="556"/>
      <c r="F52" s="545"/>
      <c r="G52" s="557"/>
      <c r="H52" s="558"/>
      <c r="I52" s="558"/>
      <c r="J52" s="558"/>
      <c r="K52" s="558"/>
      <c r="L52" s="559"/>
      <c r="M52" s="560"/>
      <c r="N52" s="561"/>
      <c r="O52" s="562"/>
      <c r="P52" s="551"/>
      <c r="Q52" s="753">
        <f t="shared" si="1"/>
        <v>0</v>
      </c>
    </row>
    <row r="53" spans="1:17" ht="23.25" customHeight="1" x14ac:dyDescent="0.25">
      <c r="A53" s="552"/>
      <c r="B53" s="553"/>
      <c r="C53" s="554"/>
      <c r="D53" s="555"/>
      <c r="E53" s="556"/>
      <c r="F53" s="545"/>
      <c r="G53" s="557"/>
      <c r="H53" s="558"/>
      <c r="I53" s="558"/>
      <c r="J53" s="558"/>
      <c r="K53" s="558"/>
      <c r="L53" s="559"/>
      <c r="M53" s="560"/>
      <c r="N53" s="561"/>
      <c r="O53" s="562"/>
      <c r="P53" s="551"/>
      <c r="Q53" s="753">
        <f t="shared" si="1"/>
        <v>0</v>
      </c>
    </row>
    <row r="54" spans="1:17" ht="23.25" customHeight="1" x14ac:dyDescent="0.25">
      <c r="A54" s="552"/>
      <c r="B54" s="553"/>
      <c r="C54" s="554"/>
      <c r="D54" s="555"/>
      <c r="E54" s="556"/>
      <c r="F54" s="545"/>
      <c r="G54" s="557"/>
      <c r="H54" s="558"/>
      <c r="I54" s="558"/>
      <c r="J54" s="558"/>
      <c r="K54" s="558"/>
      <c r="L54" s="559"/>
      <c r="M54" s="560"/>
      <c r="N54" s="561"/>
      <c r="O54" s="562"/>
      <c r="P54" s="551"/>
      <c r="Q54" s="753">
        <f t="shared" si="1"/>
        <v>0</v>
      </c>
    </row>
    <row r="55" spans="1:17" ht="23.25" customHeight="1" x14ac:dyDescent="0.25">
      <c r="A55" s="552"/>
      <c r="B55" s="553"/>
      <c r="C55" s="554"/>
      <c r="D55" s="555"/>
      <c r="E55" s="556"/>
      <c r="F55" s="545"/>
      <c r="G55" s="557"/>
      <c r="H55" s="558"/>
      <c r="I55" s="558"/>
      <c r="J55" s="558"/>
      <c r="K55" s="558"/>
      <c r="L55" s="559"/>
      <c r="M55" s="560"/>
      <c r="N55" s="561"/>
      <c r="O55" s="562"/>
      <c r="P55" s="551"/>
      <c r="Q55" s="753">
        <f t="shared" si="1"/>
        <v>0</v>
      </c>
    </row>
    <row r="56" spans="1:17" ht="23.25" customHeight="1" x14ac:dyDescent="0.25">
      <c r="A56" s="552"/>
      <c r="B56" s="553"/>
      <c r="C56" s="554"/>
      <c r="D56" s="555"/>
      <c r="E56" s="556"/>
      <c r="F56" s="545"/>
      <c r="G56" s="557"/>
      <c r="H56" s="558"/>
      <c r="I56" s="558"/>
      <c r="J56" s="558"/>
      <c r="K56" s="558"/>
      <c r="L56" s="559"/>
      <c r="M56" s="560"/>
      <c r="N56" s="561"/>
      <c r="O56" s="562"/>
      <c r="P56" s="551"/>
      <c r="Q56" s="753">
        <f t="shared" si="1"/>
        <v>0</v>
      </c>
    </row>
    <row r="57" spans="1:17" ht="23.25" customHeight="1" x14ac:dyDescent="0.25">
      <c r="A57" s="552"/>
      <c r="B57" s="553"/>
      <c r="C57" s="554"/>
      <c r="D57" s="555"/>
      <c r="E57" s="556"/>
      <c r="F57" s="545"/>
      <c r="G57" s="557"/>
      <c r="H57" s="558"/>
      <c r="I57" s="558"/>
      <c r="J57" s="558"/>
      <c r="K57" s="558"/>
      <c r="L57" s="559"/>
      <c r="M57" s="560"/>
      <c r="N57" s="561"/>
      <c r="O57" s="562"/>
      <c r="P57" s="551"/>
      <c r="Q57" s="753">
        <f t="shared" si="1"/>
        <v>0</v>
      </c>
    </row>
    <row r="58" spans="1:17" ht="23.25" customHeight="1" x14ac:dyDescent="0.25">
      <c r="A58" s="552"/>
      <c r="B58" s="553"/>
      <c r="C58" s="554"/>
      <c r="D58" s="555"/>
      <c r="E58" s="556"/>
      <c r="F58" s="545"/>
      <c r="G58" s="557"/>
      <c r="H58" s="558"/>
      <c r="I58" s="558"/>
      <c r="J58" s="558"/>
      <c r="K58" s="558"/>
      <c r="L58" s="559"/>
      <c r="M58" s="560"/>
      <c r="N58" s="561"/>
      <c r="O58" s="562"/>
      <c r="P58" s="551"/>
      <c r="Q58" s="753">
        <f t="shared" si="1"/>
        <v>0</v>
      </c>
    </row>
    <row r="59" spans="1:17" ht="23.25" customHeight="1" x14ac:dyDescent="0.25">
      <c r="A59" s="552"/>
      <c r="B59" s="553"/>
      <c r="C59" s="554"/>
      <c r="D59" s="555"/>
      <c r="E59" s="556"/>
      <c r="F59" s="545"/>
      <c r="G59" s="557"/>
      <c r="H59" s="558"/>
      <c r="I59" s="558"/>
      <c r="J59" s="558"/>
      <c r="K59" s="558"/>
      <c r="L59" s="559"/>
      <c r="M59" s="560"/>
      <c r="N59" s="561"/>
      <c r="O59" s="562"/>
      <c r="P59" s="551"/>
      <c r="Q59" s="753">
        <f t="shared" si="1"/>
        <v>0</v>
      </c>
    </row>
    <row r="60" spans="1:17" ht="23.25" customHeight="1" x14ac:dyDescent="0.25">
      <c r="A60" s="552"/>
      <c r="B60" s="553"/>
      <c r="C60" s="554"/>
      <c r="D60" s="555"/>
      <c r="E60" s="556"/>
      <c r="F60" s="545"/>
      <c r="G60" s="557"/>
      <c r="H60" s="558"/>
      <c r="I60" s="558"/>
      <c r="J60" s="558"/>
      <c r="K60" s="558"/>
      <c r="L60" s="559"/>
      <c r="M60" s="560"/>
      <c r="N60" s="561"/>
      <c r="O60" s="562"/>
      <c r="P60" s="551"/>
      <c r="Q60" s="753">
        <f t="shared" si="1"/>
        <v>0</v>
      </c>
    </row>
    <row r="61" spans="1:17" ht="23.25" customHeight="1" x14ac:dyDescent="0.25">
      <c r="A61" s="552"/>
      <c r="B61" s="553"/>
      <c r="C61" s="554"/>
      <c r="D61" s="555"/>
      <c r="E61" s="556"/>
      <c r="F61" s="545"/>
      <c r="G61" s="557"/>
      <c r="H61" s="558"/>
      <c r="I61" s="558"/>
      <c r="J61" s="558"/>
      <c r="K61" s="558"/>
      <c r="L61" s="559"/>
      <c r="M61" s="560"/>
      <c r="N61" s="561"/>
      <c r="O61" s="562"/>
      <c r="P61" s="551"/>
      <c r="Q61" s="753">
        <f t="shared" si="1"/>
        <v>0</v>
      </c>
    </row>
    <row r="62" spans="1:17" ht="23.25" customHeight="1" x14ac:dyDescent="0.25">
      <c r="A62" s="552"/>
      <c r="B62" s="553"/>
      <c r="C62" s="554"/>
      <c r="D62" s="555"/>
      <c r="E62" s="556"/>
      <c r="F62" s="545"/>
      <c r="G62" s="557"/>
      <c r="H62" s="558"/>
      <c r="I62" s="558"/>
      <c r="J62" s="558"/>
      <c r="K62" s="558"/>
      <c r="L62" s="559"/>
      <c r="M62" s="560"/>
      <c r="N62" s="561"/>
      <c r="O62" s="562"/>
      <c r="P62" s="551"/>
      <c r="Q62" s="753">
        <f t="shared" si="1"/>
        <v>0</v>
      </c>
    </row>
    <row r="63" spans="1:17" ht="23.25" customHeight="1" x14ac:dyDescent="0.25">
      <c r="A63" s="552"/>
      <c r="B63" s="553"/>
      <c r="C63" s="554"/>
      <c r="D63" s="555"/>
      <c r="E63" s="556"/>
      <c r="F63" s="545"/>
      <c r="G63" s="557"/>
      <c r="H63" s="558"/>
      <c r="I63" s="558"/>
      <c r="J63" s="558"/>
      <c r="K63" s="558"/>
      <c r="L63" s="559"/>
      <c r="M63" s="560"/>
      <c r="N63" s="561"/>
      <c r="O63" s="562"/>
      <c r="P63" s="551"/>
      <c r="Q63" s="753">
        <f t="shared" si="1"/>
        <v>0</v>
      </c>
    </row>
    <row r="64" spans="1:17" ht="23.25" customHeight="1" x14ac:dyDescent="0.25">
      <c r="A64" s="552"/>
      <c r="B64" s="553"/>
      <c r="C64" s="554"/>
      <c r="D64" s="555"/>
      <c r="E64" s="556"/>
      <c r="F64" s="545"/>
      <c r="G64" s="557"/>
      <c r="H64" s="558"/>
      <c r="I64" s="558"/>
      <c r="J64" s="558"/>
      <c r="K64" s="558"/>
      <c r="L64" s="559"/>
      <c r="M64" s="560"/>
      <c r="N64" s="561"/>
      <c r="O64" s="562"/>
      <c r="P64" s="551"/>
      <c r="Q64" s="753">
        <f t="shared" si="1"/>
        <v>0</v>
      </c>
    </row>
    <row r="65" spans="1:17" ht="23.25" customHeight="1" x14ac:dyDescent="0.25">
      <c r="A65" s="552"/>
      <c r="B65" s="553"/>
      <c r="C65" s="554"/>
      <c r="D65" s="555"/>
      <c r="E65" s="556"/>
      <c r="F65" s="545"/>
      <c r="G65" s="557"/>
      <c r="H65" s="558"/>
      <c r="I65" s="558"/>
      <c r="J65" s="558"/>
      <c r="K65" s="558"/>
      <c r="L65" s="559"/>
      <c r="M65" s="560"/>
      <c r="N65" s="561"/>
      <c r="O65" s="562"/>
      <c r="P65" s="551"/>
      <c r="Q65" s="753">
        <f t="shared" si="1"/>
        <v>0</v>
      </c>
    </row>
    <row r="66" spans="1:17" ht="23.25" customHeight="1" x14ac:dyDescent="0.25">
      <c r="A66" s="552"/>
      <c r="B66" s="553"/>
      <c r="C66" s="554"/>
      <c r="D66" s="555"/>
      <c r="E66" s="556"/>
      <c r="F66" s="545"/>
      <c r="G66" s="557"/>
      <c r="H66" s="558"/>
      <c r="I66" s="558"/>
      <c r="J66" s="558"/>
      <c r="K66" s="558"/>
      <c r="L66" s="559"/>
      <c r="M66" s="560"/>
      <c r="N66" s="561"/>
      <c r="O66" s="562"/>
      <c r="P66" s="551"/>
      <c r="Q66" s="753">
        <f t="shared" si="1"/>
        <v>0</v>
      </c>
    </row>
    <row r="67" spans="1:17" ht="23.25" customHeight="1" x14ac:dyDescent="0.25">
      <c r="A67" s="552"/>
      <c r="B67" s="553"/>
      <c r="C67" s="554"/>
      <c r="D67" s="555"/>
      <c r="E67" s="556"/>
      <c r="F67" s="545"/>
      <c r="G67" s="557"/>
      <c r="H67" s="558"/>
      <c r="I67" s="558"/>
      <c r="J67" s="558"/>
      <c r="K67" s="558"/>
      <c r="L67" s="559"/>
      <c r="M67" s="560"/>
      <c r="N67" s="561"/>
      <c r="O67" s="562"/>
      <c r="P67" s="551"/>
      <c r="Q67" s="753">
        <f t="shared" si="1"/>
        <v>0</v>
      </c>
    </row>
    <row r="68" spans="1:17" ht="23.25" customHeight="1" x14ac:dyDescent="0.25">
      <c r="A68" s="552"/>
      <c r="B68" s="553"/>
      <c r="C68" s="554"/>
      <c r="D68" s="555"/>
      <c r="E68" s="556"/>
      <c r="F68" s="545"/>
      <c r="G68" s="557"/>
      <c r="H68" s="558"/>
      <c r="I68" s="558"/>
      <c r="J68" s="558"/>
      <c r="K68" s="558"/>
      <c r="L68" s="559"/>
      <c r="M68" s="560"/>
      <c r="N68" s="561"/>
      <c r="O68" s="562"/>
      <c r="P68" s="551"/>
      <c r="Q68" s="753">
        <f t="shared" si="1"/>
        <v>0</v>
      </c>
    </row>
    <row r="69" spans="1:17" ht="23.25" customHeight="1" x14ac:dyDescent="0.25">
      <c r="A69" s="552"/>
      <c r="B69" s="553"/>
      <c r="C69" s="554"/>
      <c r="D69" s="555"/>
      <c r="E69" s="556"/>
      <c r="F69" s="545"/>
      <c r="G69" s="557"/>
      <c r="H69" s="558"/>
      <c r="I69" s="558"/>
      <c r="J69" s="558"/>
      <c r="K69" s="558"/>
      <c r="L69" s="559"/>
      <c r="M69" s="560"/>
      <c r="N69" s="561"/>
      <c r="O69" s="562"/>
      <c r="P69" s="551"/>
      <c r="Q69" s="753">
        <f t="shared" si="1"/>
        <v>0</v>
      </c>
    </row>
    <row r="70" spans="1:17" ht="23.25" customHeight="1" x14ac:dyDescent="0.25">
      <c r="A70" s="552"/>
      <c r="B70" s="553"/>
      <c r="C70" s="554"/>
      <c r="D70" s="555"/>
      <c r="E70" s="556"/>
      <c r="F70" s="545"/>
      <c r="G70" s="557"/>
      <c r="H70" s="558"/>
      <c r="I70" s="558"/>
      <c r="J70" s="558"/>
      <c r="K70" s="558"/>
      <c r="L70" s="559"/>
      <c r="M70" s="560"/>
      <c r="N70" s="561"/>
      <c r="O70" s="562"/>
      <c r="P70" s="551"/>
      <c r="Q70" s="753">
        <f t="shared" si="1"/>
        <v>0</v>
      </c>
    </row>
    <row r="71" spans="1:17" ht="23.25" customHeight="1" x14ac:dyDescent="0.25">
      <c r="A71" s="552"/>
      <c r="B71" s="553"/>
      <c r="C71" s="554"/>
      <c r="D71" s="555"/>
      <c r="E71" s="556"/>
      <c r="F71" s="545"/>
      <c r="G71" s="557"/>
      <c r="H71" s="558"/>
      <c r="I71" s="558"/>
      <c r="J71" s="558"/>
      <c r="K71" s="558"/>
      <c r="L71" s="559"/>
      <c r="M71" s="560"/>
      <c r="N71" s="561"/>
      <c r="O71" s="562"/>
      <c r="P71" s="551"/>
      <c r="Q71" s="753">
        <f t="shared" si="1"/>
        <v>0</v>
      </c>
    </row>
    <row r="72" spans="1:17" ht="23.25" customHeight="1" x14ac:dyDescent="0.25">
      <c r="A72" s="552"/>
      <c r="B72" s="553"/>
      <c r="C72" s="554"/>
      <c r="D72" s="555"/>
      <c r="E72" s="556"/>
      <c r="F72" s="545"/>
      <c r="G72" s="557"/>
      <c r="H72" s="558"/>
      <c r="I72" s="558"/>
      <c r="J72" s="558"/>
      <c r="K72" s="558"/>
      <c r="L72" s="559"/>
      <c r="M72" s="560"/>
      <c r="N72" s="561"/>
      <c r="O72" s="562"/>
      <c r="P72" s="551"/>
      <c r="Q72" s="753">
        <f t="shared" si="1"/>
        <v>0</v>
      </c>
    </row>
    <row r="73" spans="1:17" ht="23.25" customHeight="1" x14ac:dyDescent="0.25">
      <c r="A73" s="552"/>
      <c r="B73" s="553"/>
      <c r="C73" s="554"/>
      <c r="D73" s="555"/>
      <c r="E73" s="556"/>
      <c r="F73" s="545"/>
      <c r="G73" s="557"/>
      <c r="H73" s="558"/>
      <c r="I73" s="558"/>
      <c r="J73" s="558"/>
      <c r="K73" s="558"/>
      <c r="L73" s="559"/>
      <c r="M73" s="560"/>
      <c r="N73" s="561"/>
      <c r="O73" s="562"/>
      <c r="P73" s="551"/>
      <c r="Q73" s="753">
        <f t="shared" si="1"/>
        <v>0</v>
      </c>
    </row>
    <row r="74" spans="1:17" ht="23.25" customHeight="1" x14ac:dyDescent="0.25">
      <c r="A74" s="552"/>
      <c r="B74" s="553"/>
      <c r="C74" s="554"/>
      <c r="D74" s="555"/>
      <c r="E74" s="556"/>
      <c r="F74" s="545"/>
      <c r="G74" s="557"/>
      <c r="H74" s="558"/>
      <c r="I74" s="558"/>
      <c r="J74" s="558"/>
      <c r="K74" s="558"/>
      <c r="L74" s="559"/>
      <c r="M74" s="560"/>
      <c r="N74" s="561"/>
      <c r="O74" s="562"/>
      <c r="P74" s="551"/>
      <c r="Q74" s="753">
        <f t="shared" si="1"/>
        <v>0</v>
      </c>
    </row>
    <row r="75" spans="1:17" ht="23.25" customHeight="1" x14ac:dyDescent="0.25">
      <c r="A75" s="552"/>
      <c r="B75" s="553"/>
      <c r="C75" s="554"/>
      <c r="D75" s="555"/>
      <c r="E75" s="556"/>
      <c r="F75" s="545"/>
      <c r="G75" s="557"/>
      <c r="H75" s="558"/>
      <c r="I75" s="558"/>
      <c r="J75" s="558"/>
      <c r="K75" s="558"/>
      <c r="L75" s="559"/>
      <c r="M75" s="560"/>
      <c r="N75" s="561"/>
      <c r="O75" s="562"/>
      <c r="P75" s="551"/>
      <c r="Q75" s="753">
        <f t="shared" si="1"/>
        <v>0</v>
      </c>
    </row>
    <row r="76" spans="1:17" ht="23.25" customHeight="1" x14ac:dyDescent="0.25">
      <c r="A76" s="552"/>
      <c r="B76" s="553"/>
      <c r="C76" s="554"/>
      <c r="D76" s="555"/>
      <c r="E76" s="556"/>
      <c r="F76" s="545"/>
      <c r="G76" s="557"/>
      <c r="H76" s="558"/>
      <c r="I76" s="558"/>
      <c r="J76" s="558"/>
      <c r="K76" s="558"/>
      <c r="L76" s="559"/>
      <c r="M76" s="560"/>
      <c r="N76" s="561"/>
      <c r="O76" s="562"/>
      <c r="P76" s="551"/>
      <c r="Q76" s="753">
        <f t="shared" si="1"/>
        <v>0</v>
      </c>
    </row>
    <row r="77" spans="1:17" ht="23.25" customHeight="1" x14ac:dyDescent="0.25">
      <c r="A77" s="552"/>
      <c r="B77" s="553"/>
      <c r="C77" s="554"/>
      <c r="D77" s="555"/>
      <c r="E77" s="556"/>
      <c r="F77" s="545"/>
      <c r="G77" s="557"/>
      <c r="H77" s="558"/>
      <c r="I77" s="558"/>
      <c r="J77" s="558"/>
      <c r="K77" s="558"/>
      <c r="L77" s="559"/>
      <c r="M77" s="560"/>
      <c r="N77" s="561"/>
      <c r="O77" s="562"/>
      <c r="P77" s="551"/>
      <c r="Q77" s="753">
        <f t="shared" si="1"/>
        <v>0</v>
      </c>
    </row>
    <row r="78" spans="1:17" ht="23.25" customHeight="1" x14ac:dyDescent="0.25">
      <c r="A78" s="552"/>
      <c r="B78" s="553"/>
      <c r="C78" s="554"/>
      <c r="D78" s="555"/>
      <c r="E78" s="556"/>
      <c r="F78" s="545"/>
      <c r="G78" s="557"/>
      <c r="H78" s="558"/>
      <c r="I78" s="558"/>
      <c r="J78" s="558"/>
      <c r="K78" s="558"/>
      <c r="L78" s="559"/>
      <c r="M78" s="560"/>
      <c r="N78" s="561"/>
      <c r="O78" s="562"/>
      <c r="P78" s="551"/>
      <c r="Q78" s="753">
        <f t="shared" si="1"/>
        <v>0</v>
      </c>
    </row>
    <row r="79" spans="1:17" ht="23.25" customHeight="1" x14ac:dyDescent="0.25">
      <c r="A79" s="552"/>
      <c r="B79" s="553"/>
      <c r="C79" s="554"/>
      <c r="D79" s="555"/>
      <c r="E79" s="556"/>
      <c r="F79" s="545"/>
      <c r="G79" s="557"/>
      <c r="H79" s="558"/>
      <c r="I79" s="558"/>
      <c r="J79" s="558"/>
      <c r="K79" s="558"/>
      <c r="L79" s="559"/>
      <c r="M79" s="560"/>
      <c r="N79" s="561"/>
      <c r="O79" s="562"/>
      <c r="P79" s="551"/>
      <c r="Q79" s="753">
        <f t="shared" si="1"/>
        <v>0</v>
      </c>
    </row>
    <row r="80" spans="1:17" ht="23.25" customHeight="1" x14ac:dyDescent="0.25">
      <c r="A80" s="552"/>
      <c r="B80" s="553"/>
      <c r="C80" s="554"/>
      <c r="D80" s="555"/>
      <c r="E80" s="556"/>
      <c r="F80" s="545"/>
      <c r="G80" s="557"/>
      <c r="H80" s="558"/>
      <c r="I80" s="558"/>
      <c r="J80" s="558"/>
      <c r="K80" s="558"/>
      <c r="L80" s="559"/>
      <c r="M80" s="560"/>
      <c r="N80" s="561"/>
      <c r="O80" s="562"/>
      <c r="P80" s="551"/>
      <c r="Q80" s="753">
        <f t="shared" si="1"/>
        <v>0</v>
      </c>
    </row>
    <row r="81" spans="1:17" ht="23.25" customHeight="1" x14ac:dyDescent="0.25">
      <c r="A81" s="552"/>
      <c r="B81" s="553"/>
      <c r="C81" s="554"/>
      <c r="D81" s="555"/>
      <c r="E81" s="556"/>
      <c r="F81" s="545"/>
      <c r="G81" s="557"/>
      <c r="H81" s="558"/>
      <c r="I81" s="558"/>
      <c r="J81" s="558"/>
      <c r="K81" s="558"/>
      <c r="L81" s="559"/>
      <c r="M81" s="560"/>
      <c r="N81" s="561"/>
      <c r="O81" s="562"/>
      <c r="P81" s="551"/>
      <c r="Q81" s="753">
        <f t="shared" si="1"/>
        <v>0</v>
      </c>
    </row>
    <row r="82" spans="1:17" ht="23.25" customHeight="1" x14ac:dyDescent="0.25">
      <c r="A82" s="552"/>
      <c r="B82" s="553"/>
      <c r="C82" s="554"/>
      <c r="D82" s="555"/>
      <c r="E82" s="556"/>
      <c r="F82" s="545"/>
      <c r="G82" s="557"/>
      <c r="H82" s="558"/>
      <c r="I82" s="558"/>
      <c r="J82" s="558"/>
      <c r="K82" s="558"/>
      <c r="L82" s="559"/>
      <c r="M82" s="560"/>
      <c r="N82" s="561"/>
      <c r="O82" s="562"/>
      <c r="P82" s="551"/>
      <c r="Q82" s="753">
        <f t="shared" si="1"/>
        <v>0</v>
      </c>
    </row>
    <row r="83" spans="1:17" ht="23.25" customHeight="1" x14ac:dyDescent="0.25">
      <c r="A83" s="552"/>
      <c r="B83" s="553"/>
      <c r="C83" s="554"/>
      <c r="D83" s="555"/>
      <c r="E83" s="556"/>
      <c r="F83" s="545"/>
      <c r="G83" s="557"/>
      <c r="H83" s="558"/>
      <c r="I83" s="558"/>
      <c r="J83" s="558"/>
      <c r="K83" s="558"/>
      <c r="L83" s="559"/>
      <c r="M83" s="560"/>
      <c r="N83" s="561"/>
      <c r="O83" s="562"/>
      <c r="P83" s="551"/>
      <c r="Q83" s="753">
        <f t="shared" si="1"/>
        <v>0</v>
      </c>
    </row>
    <row r="84" spans="1:17" ht="23.25" customHeight="1" thickBot="1" x14ac:dyDescent="0.3">
      <c r="A84" s="564"/>
      <c r="B84" s="565"/>
      <c r="C84" s="566"/>
      <c r="D84" s="567"/>
      <c r="E84" s="568"/>
      <c r="F84" s="545"/>
      <c r="G84" s="569"/>
      <c r="H84" s="570"/>
      <c r="I84" s="570"/>
      <c r="J84" s="570"/>
      <c r="K84" s="570"/>
      <c r="L84" s="571"/>
      <c r="M84" s="572"/>
      <c r="N84" s="561"/>
      <c r="O84" s="573"/>
      <c r="P84" s="551"/>
      <c r="Q84" s="772">
        <f t="shared" si="1"/>
        <v>0</v>
      </c>
    </row>
    <row r="85" spans="1:17" s="574" customFormat="1" ht="16.5" thickTop="1" thickBot="1" x14ac:dyDescent="0.3">
      <c r="B85" s="575"/>
      <c r="C85" s="576"/>
      <c r="D85" s="577"/>
      <c r="E85" s="575" t="s">
        <v>352</v>
      </c>
      <c r="F85" s="578"/>
      <c r="G85" s="579">
        <f t="shared" ref="G85:M85" si="2">SUM(G5:G84)</f>
        <v>0</v>
      </c>
      <c r="H85" s="580">
        <f t="shared" si="2"/>
        <v>0</v>
      </c>
      <c r="I85" s="580">
        <f t="shared" si="2"/>
        <v>0</v>
      </c>
      <c r="J85" s="579">
        <f t="shared" si="2"/>
        <v>0</v>
      </c>
      <c r="K85" s="579">
        <f t="shared" si="2"/>
        <v>0</v>
      </c>
      <c r="L85" s="581">
        <f t="shared" si="2"/>
        <v>0</v>
      </c>
      <c r="M85" s="582">
        <f t="shared" si="2"/>
        <v>0</v>
      </c>
      <c r="N85" s="583"/>
      <c r="O85" s="584">
        <f>SUM(O5:O84)</f>
        <v>0</v>
      </c>
      <c r="P85" s="585"/>
      <c r="Q85" s="586">
        <f>SUM(Q5:Q84)</f>
        <v>0</v>
      </c>
    </row>
    <row r="86" spans="1:17" s="587" customFormat="1" ht="3.75" customHeight="1" thickTop="1" x14ac:dyDescent="0.25">
      <c r="F86" s="588"/>
      <c r="L86" s="516"/>
      <c r="M86" s="516"/>
      <c r="O86" s="516"/>
      <c r="P86" s="516"/>
    </row>
    <row r="87" spans="1:17" s="587" customFormat="1" ht="15" x14ac:dyDescent="0.25">
      <c r="B87" s="575"/>
      <c r="C87" s="589"/>
      <c r="D87" s="589"/>
      <c r="E87" s="575" t="s">
        <v>353</v>
      </c>
      <c r="F87" s="588"/>
      <c r="G87" s="590">
        <f>SUM(Konti_PTS!E33,Konti_PTS!F36,Konti_PTS!E39:E40,Konti_PTS!B66)</f>
        <v>0</v>
      </c>
      <c r="H87" s="591">
        <f>Konti_PTS!D81</f>
        <v>0</v>
      </c>
      <c r="I87" s="592"/>
      <c r="J87" s="589"/>
      <c r="K87" s="589"/>
      <c r="L87" s="593">
        <f>Konti_PTS!D76</f>
        <v>0</v>
      </c>
      <c r="M87" s="594">
        <f>Konti_PTS!L53</f>
        <v>0</v>
      </c>
      <c r="N87" s="595"/>
      <c r="O87" s="518"/>
      <c r="P87" s="518"/>
    </row>
    <row r="88" spans="1:17" s="587" customFormat="1" ht="3.75" customHeight="1" x14ac:dyDescent="0.25">
      <c r="F88" s="588"/>
      <c r="L88" s="516"/>
      <c r="M88" s="516"/>
      <c r="O88" s="516"/>
      <c r="P88" s="516"/>
    </row>
    <row r="89" spans="1:17" s="587" customFormat="1" ht="15" x14ac:dyDescent="0.25">
      <c r="B89" s="575"/>
      <c r="C89" s="589"/>
      <c r="D89" s="589"/>
      <c r="E89" s="575" t="s">
        <v>354</v>
      </c>
      <c r="F89" s="588"/>
      <c r="G89" s="590">
        <f>G87-G85-J85-K85</f>
        <v>0</v>
      </c>
      <c r="H89" s="591">
        <f>H87-H85</f>
        <v>0</v>
      </c>
      <c r="I89" s="592"/>
      <c r="J89" s="589"/>
      <c r="K89" s="589"/>
      <c r="L89" s="593">
        <f>L87-L85</f>
        <v>0</v>
      </c>
      <c r="M89" s="593">
        <f>M87-M85</f>
        <v>0</v>
      </c>
      <c r="N89" s="595"/>
      <c r="O89" s="518"/>
      <c r="P89" s="518"/>
    </row>
    <row r="90" spans="1:17" ht="23.25" customHeight="1" x14ac:dyDescent="0.25">
      <c r="D90" s="518"/>
      <c r="O90" s="596"/>
    </row>
    <row r="91" spans="1:17" ht="23.25" customHeight="1" x14ac:dyDescent="0.25">
      <c r="D91" s="518"/>
      <c r="O91" s="596"/>
    </row>
    <row r="92" spans="1:17" ht="23.25" customHeight="1" x14ac:dyDescent="0.25">
      <c r="D92" s="518"/>
      <c r="O92" s="596"/>
    </row>
    <row r="93" spans="1:17" ht="23.25" customHeight="1" x14ac:dyDescent="0.25">
      <c r="D93" s="518"/>
      <c r="O93" s="596"/>
    </row>
    <row r="94" spans="1:17" ht="23.25" customHeight="1" x14ac:dyDescent="0.25">
      <c r="D94" s="518"/>
      <c r="O94" s="596"/>
    </row>
    <row r="95" spans="1:17" ht="23.25" customHeight="1" x14ac:dyDescent="0.25">
      <c r="D95" s="518"/>
      <c r="O95" s="596"/>
    </row>
    <row r="96" spans="1:17" ht="23.25" customHeight="1" x14ac:dyDescent="0.25">
      <c r="D96" s="518"/>
      <c r="O96" s="596"/>
    </row>
    <row r="97" spans="4:15" ht="23.25" customHeight="1" x14ac:dyDescent="0.25">
      <c r="D97" s="518"/>
      <c r="O97" s="596"/>
    </row>
    <row r="98" spans="4:15" ht="23.25" customHeight="1" x14ac:dyDescent="0.25">
      <c r="D98" s="518"/>
      <c r="O98" s="596"/>
    </row>
    <row r="99" spans="4:15" ht="23.25" customHeight="1" x14ac:dyDescent="0.25">
      <c r="D99" s="518"/>
      <c r="O99" s="596"/>
    </row>
    <row r="100" spans="4:15" ht="23.25" customHeight="1" x14ac:dyDescent="0.25">
      <c r="D100" s="518"/>
      <c r="O100" s="596"/>
    </row>
    <row r="101" spans="4:15" ht="23.25" customHeight="1" x14ac:dyDescent="0.25">
      <c r="D101" s="518"/>
      <c r="O101" s="596"/>
    </row>
    <row r="102" spans="4:15" ht="23.25" customHeight="1" x14ac:dyDescent="0.25">
      <c r="D102" s="518"/>
      <c r="O102" s="596"/>
    </row>
    <row r="103" spans="4:15" ht="23.25" customHeight="1" x14ac:dyDescent="0.25">
      <c r="D103" s="518"/>
      <c r="O103" s="596"/>
    </row>
    <row r="104" spans="4:15" ht="23.25" customHeight="1" x14ac:dyDescent="0.25">
      <c r="D104" s="518"/>
      <c r="O104" s="596"/>
    </row>
    <row r="105" spans="4:15" ht="23.25" customHeight="1" x14ac:dyDescent="0.25">
      <c r="D105" s="518"/>
      <c r="O105" s="596"/>
    </row>
    <row r="106" spans="4:15" ht="23.25" customHeight="1" x14ac:dyDescent="0.25">
      <c r="D106" s="518"/>
      <c r="O106" s="596"/>
    </row>
    <row r="107" spans="4:15" ht="23.25" customHeight="1" x14ac:dyDescent="0.25">
      <c r="D107" s="518"/>
      <c r="O107" s="596"/>
    </row>
    <row r="108" spans="4:15" ht="23.25" customHeight="1" x14ac:dyDescent="0.25">
      <c r="D108" s="518"/>
      <c r="O108" s="596"/>
    </row>
    <row r="109" spans="4:15" ht="23.25" customHeight="1" x14ac:dyDescent="0.25">
      <c r="D109" s="518"/>
      <c r="O109" s="596"/>
    </row>
    <row r="110" spans="4:15" ht="23.25" customHeight="1" x14ac:dyDescent="0.25">
      <c r="D110" s="518"/>
      <c r="O110" s="596"/>
    </row>
    <row r="111" spans="4:15" ht="23.25" customHeight="1" x14ac:dyDescent="0.25">
      <c r="D111" s="518"/>
      <c r="O111" s="596"/>
    </row>
    <row r="112" spans="4:15" ht="23.25" customHeight="1" x14ac:dyDescent="0.25">
      <c r="D112" s="518"/>
      <c r="O112" s="596"/>
    </row>
    <row r="113" spans="1:17" ht="23.25" customHeight="1" x14ac:dyDescent="0.25">
      <c r="D113" s="518"/>
      <c r="O113" s="596"/>
    </row>
    <row r="114" spans="1:17" ht="23.25" customHeight="1" x14ac:dyDescent="0.25">
      <c r="D114" s="518"/>
      <c r="O114" s="596"/>
    </row>
    <row r="115" spans="1:17" ht="23.25" customHeight="1" x14ac:dyDescent="0.25">
      <c r="D115" s="518"/>
      <c r="O115" s="596"/>
    </row>
    <row r="116" spans="1:17" ht="23.25" customHeight="1" x14ac:dyDescent="0.25">
      <c r="D116" s="518"/>
      <c r="O116" s="596"/>
    </row>
    <row r="117" spans="1:17" ht="23.25" customHeight="1" x14ac:dyDescent="0.25">
      <c r="D117" s="518"/>
      <c r="O117" s="596"/>
    </row>
    <row r="118" spans="1:17" ht="23.25" customHeight="1" x14ac:dyDescent="0.25">
      <c r="D118" s="518"/>
      <c r="O118" s="596"/>
    </row>
    <row r="119" spans="1:17" ht="23.25" customHeight="1" x14ac:dyDescent="0.25">
      <c r="D119" s="518"/>
      <c r="O119" s="596"/>
    </row>
    <row r="120" spans="1:17" ht="23.25" customHeight="1" x14ac:dyDescent="0.25">
      <c r="D120" s="518"/>
      <c r="O120" s="596"/>
    </row>
    <row r="121" spans="1:17" ht="23.25" customHeight="1" x14ac:dyDescent="0.25">
      <c r="D121" s="518"/>
      <c r="O121" s="596"/>
    </row>
    <row r="122" spans="1:17" ht="23.25" customHeight="1" x14ac:dyDescent="0.25">
      <c r="D122" s="518"/>
      <c r="O122" s="596"/>
    </row>
    <row r="123" spans="1:17" ht="23.25" customHeight="1" x14ac:dyDescent="0.25">
      <c r="D123" s="518"/>
      <c r="O123" s="596"/>
    </row>
    <row r="124" spans="1:17" ht="23.25" customHeight="1" x14ac:dyDescent="0.25">
      <c r="D124" s="518"/>
      <c r="O124" s="596"/>
    </row>
    <row r="125" spans="1:17" ht="23.25" customHeight="1" x14ac:dyDescent="0.25">
      <c r="D125" s="518"/>
      <c r="O125" s="596"/>
    </row>
    <row r="126" spans="1:17" ht="23.25" customHeight="1" x14ac:dyDescent="0.25">
      <c r="D126" s="518"/>
      <c r="O126" s="596"/>
    </row>
    <row r="127" spans="1:17" ht="15" x14ac:dyDescent="0.25">
      <c r="D127" s="518"/>
      <c r="O127" s="596"/>
    </row>
    <row r="128" spans="1:17" s="597" customFormat="1" ht="18.75" x14ac:dyDescent="0.25">
      <c r="A128" s="516"/>
      <c r="B128" s="516"/>
      <c r="C128" s="516"/>
      <c r="D128" s="518"/>
      <c r="E128" s="516"/>
      <c r="F128" s="517"/>
      <c r="G128" s="516"/>
      <c r="H128" s="516"/>
      <c r="I128" s="516"/>
      <c r="J128" s="516"/>
      <c r="K128" s="516"/>
      <c r="L128" s="516"/>
      <c r="M128" s="516"/>
      <c r="N128" s="516"/>
      <c r="O128" s="596"/>
      <c r="Q128" s="516"/>
    </row>
    <row r="129" spans="1:17" s="598" customFormat="1" ht="15" x14ac:dyDescent="0.25">
      <c r="A129" s="516"/>
      <c r="B129" s="516"/>
      <c r="C129" s="516"/>
      <c r="D129" s="518"/>
      <c r="E129" s="516"/>
      <c r="F129" s="517"/>
      <c r="G129" s="516"/>
      <c r="H129" s="516"/>
      <c r="I129" s="516"/>
      <c r="J129" s="516"/>
      <c r="K129" s="516"/>
      <c r="L129" s="516"/>
      <c r="M129" s="516"/>
      <c r="N129" s="516"/>
      <c r="O129" s="596"/>
      <c r="Q129" s="516"/>
    </row>
    <row r="130" spans="1:17" ht="15" x14ac:dyDescent="0.25">
      <c r="D130" s="518"/>
      <c r="O130" s="596"/>
    </row>
    <row r="131" spans="1:17" ht="15" hidden="1" customHeight="1" x14ac:dyDescent="0.25">
      <c r="D131" s="518"/>
      <c r="O131" s="596"/>
    </row>
    <row r="132" spans="1:17" ht="15" hidden="1" customHeight="1" x14ac:dyDescent="0.25">
      <c r="D132" s="518"/>
      <c r="O132" s="596"/>
    </row>
    <row r="133" spans="1:17" ht="15" hidden="1" customHeight="1" x14ac:dyDescent="0.25">
      <c r="D133" s="518"/>
      <c r="O133" s="596"/>
    </row>
    <row r="134" spans="1:17" ht="15" hidden="1" customHeight="1" x14ac:dyDescent="0.25">
      <c r="D134" s="518"/>
      <c r="O134" s="596"/>
    </row>
    <row r="135" spans="1:17" ht="15" hidden="1" x14ac:dyDescent="0.25">
      <c r="D135" s="518"/>
      <c r="O135" s="596"/>
    </row>
    <row r="136" spans="1:17" ht="15" hidden="1" x14ac:dyDescent="0.25">
      <c r="D136" s="518"/>
      <c r="O136" s="596"/>
    </row>
    <row r="137" spans="1:17" ht="15" hidden="1" x14ac:dyDescent="0.25">
      <c r="D137" s="518"/>
      <c r="O137" s="596"/>
    </row>
    <row r="138" spans="1:17" ht="15" hidden="1" x14ac:dyDescent="0.25">
      <c r="D138" s="518"/>
      <c r="O138" s="596"/>
    </row>
    <row r="139" spans="1:17" ht="15" hidden="1" x14ac:dyDescent="0.25">
      <c r="D139" s="518"/>
      <c r="O139" s="596"/>
    </row>
    <row r="140" spans="1:17" ht="15" hidden="1" x14ac:dyDescent="0.25">
      <c r="D140" s="518"/>
      <c r="O140" s="596"/>
    </row>
    <row r="141" spans="1:17" ht="15" hidden="1" x14ac:dyDescent="0.25">
      <c r="D141" s="518"/>
      <c r="O141" s="596"/>
    </row>
    <row r="142" spans="1:17" ht="15" hidden="1" x14ac:dyDescent="0.25">
      <c r="D142" s="518"/>
      <c r="O142" s="596"/>
    </row>
    <row r="143" spans="1:17" ht="15" hidden="1" x14ac:dyDescent="0.25">
      <c r="D143" s="518"/>
      <c r="O143" s="596"/>
    </row>
    <row r="144" spans="1:17" ht="15" hidden="1" x14ac:dyDescent="0.25">
      <c r="D144" s="518"/>
      <c r="O144" s="596"/>
    </row>
    <row r="145" spans="4:15" ht="15" hidden="1" x14ac:dyDescent="0.25">
      <c r="D145" s="518"/>
      <c r="O145" s="596"/>
    </row>
    <row r="146" spans="4:15" ht="15" hidden="1" x14ac:dyDescent="0.25">
      <c r="D146" s="518"/>
      <c r="O146" s="596"/>
    </row>
    <row r="147" spans="4:15" ht="15" hidden="1" x14ac:dyDescent="0.25">
      <c r="D147" s="518"/>
      <c r="O147" s="596"/>
    </row>
    <row r="148" spans="4:15" ht="15" hidden="1" x14ac:dyDescent="0.25">
      <c r="D148" s="518"/>
      <c r="O148" s="596"/>
    </row>
    <row r="149" spans="4:15" ht="15" hidden="1" x14ac:dyDescent="0.25">
      <c r="D149" s="518"/>
      <c r="O149" s="596"/>
    </row>
    <row r="150" spans="4:15" ht="15" hidden="1" x14ac:dyDescent="0.25">
      <c r="D150" s="518"/>
      <c r="O150" s="596"/>
    </row>
    <row r="151" spans="4:15" ht="15" hidden="1" x14ac:dyDescent="0.25">
      <c r="D151" s="518"/>
      <c r="O151" s="596"/>
    </row>
    <row r="152" spans="4:15" ht="15" hidden="1" x14ac:dyDescent="0.25">
      <c r="D152" s="518"/>
      <c r="O152" s="596"/>
    </row>
    <row r="153" spans="4:15" ht="15" hidden="1" x14ac:dyDescent="0.25">
      <c r="D153" s="518"/>
      <c r="O153" s="596"/>
    </row>
    <row r="154" spans="4:15" ht="15" hidden="1" x14ac:dyDescent="0.25">
      <c r="D154" s="518"/>
      <c r="O154" s="596"/>
    </row>
    <row r="155" spans="4:15" ht="15" hidden="1" x14ac:dyDescent="0.25">
      <c r="D155" s="518"/>
      <c r="O155" s="596"/>
    </row>
    <row r="156" spans="4:15" ht="15" hidden="1" x14ac:dyDescent="0.25">
      <c r="D156" s="518"/>
      <c r="O156" s="596"/>
    </row>
    <row r="157" spans="4:15" ht="15" hidden="1" x14ac:dyDescent="0.25">
      <c r="D157" s="518"/>
      <c r="O157" s="596"/>
    </row>
    <row r="158" spans="4:15" ht="15" hidden="1" x14ac:dyDescent="0.25">
      <c r="D158" s="518"/>
      <c r="O158" s="596"/>
    </row>
    <row r="159" spans="4:15" ht="15" hidden="1" x14ac:dyDescent="0.25">
      <c r="D159" s="518"/>
      <c r="O159" s="596"/>
    </row>
    <row r="160" spans="4:15" ht="15" hidden="1" x14ac:dyDescent="0.25">
      <c r="D160" s="518"/>
      <c r="O160" s="596"/>
    </row>
    <row r="161" spans="4:15" ht="15" hidden="1" x14ac:dyDescent="0.25">
      <c r="D161" s="518"/>
      <c r="O161" s="596"/>
    </row>
    <row r="162" spans="4:15" ht="15" hidden="1" x14ac:dyDescent="0.25">
      <c r="D162" s="518"/>
      <c r="O162" s="596"/>
    </row>
    <row r="163" spans="4:15" ht="15" hidden="1" x14ac:dyDescent="0.25">
      <c r="D163" s="518"/>
      <c r="O163" s="596"/>
    </row>
    <row r="164" spans="4:15" ht="15" hidden="1" x14ac:dyDescent="0.25">
      <c r="D164" s="518"/>
      <c r="O164" s="596"/>
    </row>
    <row r="165" spans="4:15" ht="15" hidden="1" x14ac:dyDescent="0.25">
      <c r="D165" s="518"/>
      <c r="O165" s="596"/>
    </row>
    <row r="166" spans="4:15" ht="15" hidden="1" x14ac:dyDescent="0.25">
      <c r="D166" s="518"/>
      <c r="O166" s="596"/>
    </row>
    <row r="167" spans="4:15" ht="15" hidden="1" x14ac:dyDescent="0.25">
      <c r="D167" s="518"/>
      <c r="O167" s="596"/>
    </row>
    <row r="168" spans="4:15" ht="15" hidden="1" x14ac:dyDescent="0.25">
      <c r="D168" s="518"/>
      <c r="O168" s="596"/>
    </row>
    <row r="169" spans="4:15" ht="15" hidden="1" x14ac:dyDescent="0.25">
      <c r="D169" s="518"/>
      <c r="O169" s="596"/>
    </row>
    <row r="170" spans="4:15" ht="15" hidden="1" x14ac:dyDescent="0.25">
      <c r="D170" s="518"/>
      <c r="O170" s="596"/>
    </row>
    <row r="171" spans="4:15" ht="15" hidden="1" x14ac:dyDescent="0.25">
      <c r="D171" s="518"/>
      <c r="O171" s="596"/>
    </row>
    <row r="172" spans="4:15" ht="15" hidden="1" x14ac:dyDescent="0.25">
      <c r="D172" s="518"/>
      <c r="O172" s="596"/>
    </row>
    <row r="173" spans="4:15" ht="15" hidden="1" x14ac:dyDescent="0.25">
      <c r="D173" s="518"/>
      <c r="O173" s="596"/>
    </row>
    <row r="174" spans="4:15" ht="15" hidden="1" x14ac:dyDescent="0.25">
      <c r="D174" s="518"/>
      <c r="O174" s="596"/>
    </row>
    <row r="175" spans="4:15" ht="15" hidden="1" x14ac:dyDescent="0.25">
      <c r="D175" s="518"/>
      <c r="O175" s="596"/>
    </row>
    <row r="176" spans="4:15" ht="15" hidden="1" x14ac:dyDescent="0.25">
      <c r="D176" s="518"/>
      <c r="O176" s="596"/>
    </row>
    <row r="177" spans="4:15" ht="15" hidden="1" x14ac:dyDescent="0.25">
      <c r="D177" s="518"/>
      <c r="O177" s="596"/>
    </row>
    <row r="178" spans="4:15" ht="15" hidden="1" x14ac:dyDescent="0.25">
      <c r="D178" s="518"/>
      <c r="O178" s="596"/>
    </row>
    <row r="179" spans="4:15" ht="15" hidden="1" x14ac:dyDescent="0.25">
      <c r="D179" s="518"/>
      <c r="O179" s="596"/>
    </row>
    <row r="180" spans="4:15" ht="15" hidden="1" x14ac:dyDescent="0.25">
      <c r="D180" s="518"/>
      <c r="O180" s="596"/>
    </row>
    <row r="181" spans="4:15" ht="15" hidden="1" x14ac:dyDescent="0.25">
      <c r="D181" s="518"/>
      <c r="O181" s="596"/>
    </row>
    <row r="182" spans="4:15" ht="15" hidden="1" x14ac:dyDescent="0.25">
      <c r="D182" s="518"/>
      <c r="O182" s="596"/>
    </row>
    <row r="183" spans="4:15" ht="15" hidden="1" x14ac:dyDescent="0.25">
      <c r="D183" s="518"/>
      <c r="O183" s="596"/>
    </row>
    <row r="184" spans="4:15" ht="15" hidden="1" x14ac:dyDescent="0.25">
      <c r="D184" s="518"/>
      <c r="O184" s="596"/>
    </row>
    <row r="185" spans="4:15" ht="15" hidden="1" x14ac:dyDescent="0.25">
      <c r="D185" s="518"/>
      <c r="O185" s="596"/>
    </row>
    <row r="186" spans="4:15" ht="15" hidden="1" x14ac:dyDescent="0.25">
      <c r="D186" s="518"/>
      <c r="O186" s="596"/>
    </row>
    <row r="187" spans="4:15" ht="15" hidden="1" x14ac:dyDescent="0.25">
      <c r="D187" s="518"/>
      <c r="O187" s="596"/>
    </row>
    <row r="188" spans="4:15" ht="15" hidden="1" x14ac:dyDescent="0.25">
      <c r="D188" s="518"/>
      <c r="O188" s="596"/>
    </row>
    <row r="189" spans="4:15" ht="15" hidden="1" x14ac:dyDescent="0.25">
      <c r="D189" s="518"/>
      <c r="O189" s="596"/>
    </row>
    <row r="190" spans="4:15" ht="15" x14ac:dyDescent="0.25">
      <c r="D190" s="518"/>
      <c r="O190" s="596"/>
    </row>
    <row r="191" spans="4:15" ht="15" x14ac:dyDescent="0.25">
      <c r="D191" s="518"/>
      <c r="O191" s="596"/>
    </row>
    <row r="192" spans="4:15" ht="15" x14ac:dyDescent="0.25">
      <c r="D192" s="518"/>
      <c r="O192" s="596"/>
    </row>
    <row r="193" spans="4:15" ht="15" x14ac:dyDescent="0.25">
      <c r="D193" s="518"/>
      <c r="O193" s="596"/>
    </row>
    <row r="194" spans="4:15" ht="15" x14ac:dyDescent="0.25">
      <c r="D194" s="518"/>
      <c r="O194" s="596"/>
    </row>
    <row r="195" spans="4:15" ht="15" x14ac:dyDescent="0.25">
      <c r="D195" s="518"/>
      <c r="O195" s="596"/>
    </row>
    <row r="196" spans="4:15" ht="15" x14ac:dyDescent="0.25">
      <c r="D196" s="518"/>
      <c r="O196" s="596"/>
    </row>
    <row r="197" spans="4:15" ht="15" x14ac:dyDescent="0.25">
      <c r="D197" s="518"/>
      <c r="O197" s="596"/>
    </row>
    <row r="198" spans="4:15" ht="15" x14ac:dyDescent="0.25">
      <c r="D198" s="518"/>
      <c r="O198" s="596"/>
    </row>
    <row r="199" spans="4:15" ht="15" x14ac:dyDescent="0.25">
      <c r="D199" s="518"/>
      <c r="O199" s="596"/>
    </row>
    <row r="200" spans="4:15" ht="15" x14ac:dyDescent="0.25">
      <c r="D200" s="518"/>
      <c r="O200" s="596"/>
    </row>
    <row r="201" spans="4:15" ht="15" x14ac:dyDescent="0.25">
      <c r="D201" s="518"/>
      <c r="O201" s="596"/>
    </row>
    <row r="202" spans="4:15" ht="15" x14ac:dyDescent="0.25">
      <c r="D202" s="518"/>
      <c r="O202" s="596"/>
    </row>
    <row r="203" spans="4:15" ht="15" x14ac:dyDescent="0.25">
      <c r="D203" s="518"/>
      <c r="O203" s="596"/>
    </row>
    <row r="204" spans="4:15" ht="15" x14ac:dyDescent="0.25">
      <c r="D204" s="518"/>
      <c r="O204" s="596"/>
    </row>
    <row r="205" spans="4:15" ht="15" x14ac:dyDescent="0.25">
      <c r="D205" s="518"/>
      <c r="O205" s="596"/>
    </row>
    <row r="206" spans="4:15" ht="15" x14ac:dyDescent="0.25">
      <c r="D206" s="518"/>
      <c r="O206" s="596"/>
    </row>
    <row r="207" spans="4:15" ht="15" x14ac:dyDescent="0.25">
      <c r="D207" s="518"/>
      <c r="O207" s="596"/>
    </row>
    <row r="208" spans="4:15" ht="15" x14ac:dyDescent="0.25">
      <c r="D208" s="518"/>
      <c r="O208" s="596"/>
    </row>
    <row r="209" spans="4:15" ht="15" x14ac:dyDescent="0.25">
      <c r="D209" s="518"/>
      <c r="O209" s="596"/>
    </row>
    <row r="210" spans="4:15" ht="15" x14ac:dyDescent="0.25">
      <c r="D210" s="518"/>
      <c r="O210" s="596"/>
    </row>
    <row r="211" spans="4:15" ht="15" x14ac:dyDescent="0.25">
      <c r="D211" s="518"/>
      <c r="O211" s="596"/>
    </row>
    <row r="212" spans="4:15" ht="15" x14ac:dyDescent="0.25">
      <c r="D212" s="518"/>
      <c r="O212" s="596"/>
    </row>
    <row r="213" spans="4:15" ht="15" x14ac:dyDescent="0.25">
      <c r="D213" s="518"/>
      <c r="O213" s="596"/>
    </row>
    <row r="214" spans="4:15" ht="15" x14ac:dyDescent="0.25">
      <c r="D214" s="518"/>
      <c r="O214" s="596"/>
    </row>
    <row r="215" spans="4:15" ht="15" x14ac:dyDescent="0.25">
      <c r="D215" s="518"/>
      <c r="O215" s="596"/>
    </row>
    <row r="216" spans="4:15" ht="15" x14ac:dyDescent="0.25">
      <c r="D216" s="518"/>
      <c r="O216" s="596"/>
    </row>
    <row r="217" spans="4:15" ht="15" x14ac:dyDescent="0.25">
      <c r="D217" s="518"/>
      <c r="O217" s="596"/>
    </row>
    <row r="218" spans="4:15" ht="15" x14ac:dyDescent="0.25">
      <c r="D218" s="518"/>
      <c r="O218" s="596"/>
    </row>
    <row r="219" spans="4:15" ht="15" x14ac:dyDescent="0.25">
      <c r="D219" s="518"/>
      <c r="O219" s="596"/>
    </row>
    <row r="220" spans="4:15" ht="15" x14ac:dyDescent="0.25">
      <c r="D220" s="518"/>
      <c r="O220" s="596"/>
    </row>
    <row r="221" spans="4:15" ht="15" x14ac:dyDescent="0.25">
      <c r="D221" s="518"/>
      <c r="O221" s="596"/>
    </row>
    <row r="222" spans="4:15" ht="15" x14ac:dyDescent="0.25">
      <c r="D222" s="518"/>
      <c r="O222" s="596"/>
    </row>
    <row r="223" spans="4:15" ht="15" x14ac:dyDescent="0.25">
      <c r="D223" s="518"/>
      <c r="O223" s="596"/>
    </row>
    <row r="224" spans="4:15" ht="15" x14ac:dyDescent="0.25">
      <c r="D224" s="518"/>
      <c r="O224" s="596"/>
    </row>
    <row r="225" spans="4:15" ht="15" x14ac:dyDescent="0.25">
      <c r="D225" s="518"/>
      <c r="O225" s="596"/>
    </row>
    <row r="226" spans="4:15" ht="15" x14ac:dyDescent="0.25">
      <c r="D226" s="518"/>
      <c r="O226" s="596"/>
    </row>
    <row r="227" spans="4:15" ht="15" x14ac:dyDescent="0.25">
      <c r="D227" s="518"/>
      <c r="O227" s="596"/>
    </row>
    <row r="228" spans="4:15" ht="15" x14ac:dyDescent="0.25">
      <c r="D228" s="518"/>
      <c r="O228" s="596"/>
    </row>
    <row r="229" spans="4:15" ht="15" x14ac:dyDescent="0.25">
      <c r="D229" s="518"/>
      <c r="O229" s="596"/>
    </row>
    <row r="230" spans="4:15" ht="15" x14ac:dyDescent="0.25">
      <c r="D230" s="518"/>
      <c r="O230" s="596"/>
    </row>
    <row r="231" spans="4:15" ht="15" x14ac:dyDescent="0.25">
      <c r="D231" s="518"/>
      <c r="O231" s="596"/>
    </row>
    <row r="232" spans="4:15" ht="15" x14ac:dyDescent="0.25">
      <c r="D232" s="518"/>
      <c r="O232" s="596"/>
    </row>
    <row r="233" spans="4:15" ht="15" x14ac:dyDescent="0.25">
      <c r="D233" s="518"/>
      <c r="O233" s="596"/>
    </row>
    <row r="234" spans="4:15" ht="15" x14ac:dyDescent="0.25">
      <c r="D234" s="518"/>
      <c r="O234" s="596"/>
    </row>
    <row r="235" spans="4:15" ht="15" x14ac:dyDescent="0.25">
      <c r="D235" s="518"/>
      <c r="O235" s="596"/>
    </row>
    <row r="236" spans="4:15" ht="15" x14ac:dyDescent="0.25">
      <c r="D236" s="518"/>
      <c r="O236" s="596"/>
    </row>
    <row r="237" spans="4:15" ht="15" x14ac:dyDescent="0.25">
      <c r="D237" s="518"/>
      <c r="O237" s="596"/>
    </row>
    <row r="238" spans="4:15" ht="15" x14ac:dyDescent="0.25">
      <c r="D238" s="518"/>
      <c r="O238" s="596"/>
    </row>
    <row r="239" spans="4:15" ht="15" x14ac:dyDescent="0.25">
      <c r="D239" s="518"/>
      <c r="O239" s="596"/>
    </row>
    <row r="240" spans="4:15" ht="15" x14ac:dyDescent="0.25">
      <c r="D240" s="518"/>
      <c r="O240" s="596"/>
    </row>
    <row r="241" spans="4:15" ht="15" x14ac:dyDescent="0.25">
      <c r="D241" s="518"/>
      <c r="O241" s="596"/>
    </row>
    <row r="242" spans="4:15" ht="15" x14ac:dyDescent="0.25">
      <c r="D242" s="518"/>
      <c r="O242" s="596"/>
    </row>
    <row r="243" spans="4:15" ht="15" x14ac:dyDescent="0.25">
      <c r="D243" s="518"/>
      <c r="O243" s="596"/>
    </row>
    <row r="244" spans="4:15" ht="15" x14ac:dyDescent="0.25">
      <c r="D244" s="518"/>
      <c r="O244" s="596"/>
    </row>
    <row r="245" spans="4:15" ht="15" x14ac:dyDescent="0.25">
      <c r="D245" s="518"/>
      <c r="O245" s="596"/>
    </row>
    <row r="246" spans="4:15" ht="15" x14ac:dyDescent="0.25">
      <c r="D246" s="518"/>
      <c r="O246" s="596"/>
    </row>
    <row r="247" spans="4:15" ht="15" x14ac:dyDescent="0.25">
      <c r="D247" s="518"/>
      <c r="O247" s="596"/>
    </row>
    <row r="248" spans="4:15" ht="15" x14ac:dyDescent="0.25">
      <c r="D248" s="518"/>
      <c r="O248" s="596"/>
    </row>
    <row r="249" spans="4:15" ht="15" x14ac:dyDescent="0.25">
      <c r="D249" s="518"/>
      <c r="O249" s="596"/>
    </row>
  </sheetData>
  <sheetProtection algorithmName="SHA-512" hashValue="R2lFgULtRUr7N/QpYCGsucqZQzYweph1EFOJZ979ZDm1zpoD2KxBrVF6vGl/ShsJ7hxyPVokA/eQeklXOEbE6Q==" saltValue="o8RwpjhAEJzCVDHDb9ls1g==" spinCount="100000" sheet="1" formatRows="0"/>
  <mergeCells count="1">
    <mergeCell ref="A4:B4"/>
  </mergeCells>
  <conditionalFormatting sqref="G89:H89 L89:M89">
    <cfRule type="cellIs" dxfId="1" priority="2" operator="lessThan">
      <formula>0</formula>
    </cfRule>
  </conditionalFormatting>
  <dataValidations count="11">
    <dataValidation type="decimal" allowBlank="1" showInputMessage="1" showErrorMessage="1" promptTitle="Stütz- und BegleitlehrerIn" prompt="Die Lehrperson muss über einen entsprechenden Dienstvertrag als &quot;Stütz- und BegleitlehrerIn&quot; verfügen." sqref="L5:L84">
      <formula1>0</formula1>
      <formula2>40</formula2>
    </dataValidation>
    <dataValidation type="decimal" allowBlank="1" showInputMessage="1" showErrorMessage="1" errorTitle="Keine Eingabe" promptTitle="Summebildung" prompt="Die Anzahl der Unterrichtstunden in den entsprechenden Fächern in den Spalte G bis O eintragen." sqref="Q5:Q84">
      <formula1>0</formula1>
      <formula2>40</formula2>
    </dataValidation>
    <dataValidation allowBlank="1" showInputMessage="1" showErrorMessage="1" prompt="bitte auch die Lehrpersonen OHNE aktive Dienstleistung anführen!" sqref="WVU983088:WVU983126 IS6:IS84 SO6:SO84 ACK6:ACK84 AMG6:AMG84 AWC6:AWC84 BFY6:BFY84 BPU6:BPU84 BZQ6:BZQ84 CJM6:CJM84 CTI6:CTI84 DDE6:DDE84 DNA6:DNA84 DWW6:DWW84 EGS6:EGS84 EQO6:EQO84 FAK6:FAK84 FKG6:FKG84 FUC6:FUC84 GDY6:GDY84 GNU6:GNU84 GXQ6:GXQ84 HHM6:HHM84 HRI6:HRI84 IBE6:IBE84 ILA6:ILA84 IUW6:IUW84 JES6:JES84 JOO6:JOO84 JYK6:JYK84 KIG6:KIG84 KSC6:KSC84 LBY6:LBY84 LLU6:LLU84 LVQ6:LVQ84 MFM6:MFM84 MPI6:MPI84 MZE6:MZE84 NJA6:NJA84 NSW6:NSW84 OCS6:OCS84 OMO6:OMO84 OWK6:OWK84 PGG6:PGG84 PQC6:PQC84 PZY6:PZY84 QJU6:QJU84 QTQ6:QTQ84 RDM6:RDM84 RNI6:RNI84 RXE6:RXE84 SHA6:SHA84 SQW6:SQW84 TAS6:TAS84 TKO6:TKO84 TUK6:TUK84 UEG6:UEG84 UOC6:UOC84 UXY6:UXY84 VHU6:VHU84 VRQ6:VRQ84 WBM6:WBM84 WLI6:WLI84 WVE6:WVE84 IS65585:IS65620 SO65585:SO65620 ACK65585:ACK65620 AMG65585:AMG65620 AWC65585:AWC65620 BFY65585:BFY65620 BPU65585:BPU65620 BZQ65585:BZQ65620 CJM65585:CJM65620 CTI65585:CTI65620 DDE65585:DDE65620 DNA65585:DNA65620 DWW65585:DWW65620 EGS65585:EGS65620 EQO65585:EQO65620 FAK65585:FAK65620 FKG65585:FKG65620 FUC65585:FUC65620 GDY65585:GDY65620 GNU65585:GNU65620 GXQ65585:GXQ65620 HHM65585:HHM65620 HRI65585:HRI65620 IBE65585:IBE65620 ILA65585:ILA65620 IUW65585:IUW65620 JES65585:JES65620 JOO65585:JOO65620 JYK65585:JYK65620 KIG65585:KIG65620 KSC65585:KSC65620 LBY65585:LBY65620 LLU65585:LLU65620 LVQ65585:LVQ65620 MFM65585:MFM65620 MPI65585:MPI65620 MZE65585:MZE65620 NJA65585:NJA65620 NSW65585:NSW65620 OCS65585:OCS65620 OMO65585:OMO65620 OWK65585:OWK65620 PGG65585:PGG65620 PQC65585:PQC65620 PZY65585:PZY65620 QJU65585:QJU65620 QTQ65585:QTQ65620 RDM65585:RDM65620 RNI65585:RNI65620 RXE65585:RXE65620 SHA65585:SHA65620 SQW65585:SQW65620 TAS65585:TAS65620 TKO65585:TKO65620 TUK65585:TUK65620 UEG65585:UEG65620 UOC65585:UOC65620 UXY65585:UXY65620 VHU65585:VHU65620 VRQ65585:VRQ65620 WBM65585:WBM65620 WLI65585:WLI65620 WVE65585:WVE65620 IS131121:IS131156 SO131121:SO131156 ACK131121:ACK131156 AMG131121:AMG131156 AWC131121:AWC131156 BFY131121:BFY131156 BPU131121:BPU131156 BZQ131121:BZQ131156 CJM131121:CJM131156 CTI131121:CTI131156 DDE131121:DDE131156 DNA131121:DNA131156 DWW131121:DWW131156 EGS131121:EGS131156 EQO131121:EQO131156 FAK131121:FAK131156 FKG131121:FKG131156 FUC131121:FUC131156 GDY131121:GDY131156 GNU131121:GNU131156 GXQ131121:GXQ131156 HHM131121:HHM131156 HRI131121:HRI131156 IBE131121:IBE131156 ILA131121:ILA131156 IUW131121:IUW131156 JES131121:JES131156 JOO131121:JOO131156 JYK131121:JYK131156 KIG131121:KIG131156 KSC131121:KSC131156 LBY131121:LBY131156 LLU131121:LLU131156 LVQ131121:LVQ131156 MFM131121:MFM131156 MPI131121:MPI131156 MZE131121:MZE131156 NJA131121:NJA131156 NSW131121:NSW131156 OCS131121:OCS131156 OMO131121:OMO131156 OWK131121:OWK131156 PGG131121:PGG131156 PQC131121:PQC131156 PZY131121:PZY131156 QJU131121:QJU131156 QTQ131121:QTQ131156 RDM131121:RDM131156 RNI131121:RNI131156 RXE131121:RXE131156 SHA131121:SHA131156 SQW131121:SQW131156 TAS131121:TAS131156 TKO131121:TKO131156 TUK131121:TUK131156 UEG131121:UEG131156 UOC131121:UOC131156 UXY131121:UXY131156 VHU131121:VHU131156 VRQ131121:VRQ131156 WBM131121:WBM131156 WLI131121:WLI131156 WVE131121:WVE131156 IS196657:IS196692 SO196657:SO196692 ACK196657:ACK196692 AMG196657:AMG196692 AWC196657:AWC196692 BFY196657:BFY196692 BPU196657:BPU196692 BZQ196657:BZQ196692 CJM196657:CJM196692 CTI196657:CTI196692 DDE196657:DDE196692 DNA196657:DNA196692 DWW196657:DWW196692 EGS196657:EGS196692 EQO196657:EQO196692 FAK196657:FAK196692 FKG196657:FKG196692 FUC196657:FUC196692 GDY196657:GDY196692 GNU196657:GNU196692 GXQ196657:GXQ196692 HHM196657:HHM196692 HRI196657:HRI196692 IBE196657:IBE196692 ILA196657:ILA196692 IUW196657:IUW196692 JES196657:JES196692 JOO196657:JOO196692 JYK196657:JYK196692 KIG196657:KIG196692 KSC196657:KSC196692 LBY196657:LBY196692 LLU196657:LLU196692 LVQ196657:LVQ196692 MFM196657:MFM196692 MPI196657:MPI196692 MZE196657:MZE196692 NJA196657:NJA196692 NSW196657:NSW196692 OCS196657:OCS196692 OMO196657:OMO196692 OWK196657:OWK196692 PGG196657:PGG196692 PQC196657:PQC196692 PZY196657:PZY196692 QJU196657:QJU196692 QTQ196657:QTQ196692 RDM196657:RDM196692 RNI196657:RNI196692 RXE196657:RXE196692 SHA196657:SHA196692 SQW196657:SQW196692 TAS196657:TAS196692 TKO196657:TKO196692 TUK196657:TUK196692 UEG196657:UEG196692 UOC196657:UOC196692 UXY196657:UXY196692 VHU196657:VHU196692 VRQ196657:VRQ196692 WBM196657:WBM196692 WLI196657:WLI196692 WVE196657:WVE196692 IS262193:IS262228 SO262193:SO262228 ACK262193:ACK262228 AMG262193:AMG262228 AWC262193:AWC262228 BFY262193:BFY262228 BPU262193:BPU262228 BZQ262193:BZQ262228 CJM262193:CJM262228 CTI262193:CTI262228 DDE262193:DDE262228 DNA262193:DNA262228 DWW262193:DWW262228 EGS262193:EGS262228 EQO262193:EQO262228 FAK262193:FAK262228 FKG262193:FKG262228 FUC262193:FUC262228 GDY262193:GDY262228 GNU262193:GNU262228 GXQ262193:GXQ262228 HHM262193:HHM262228 HRI262193:HRI262228 IBE262193:IBE262228 ILA262193:ILA262228 IUW262193:IUW262228 JES262193:JES262228 JOO262193:JOO262228 JYK262193:JYK262228 KIG262193:KIG262228 KSC262193:KSC262228 LBY262193:LBY262228 LLU262193:LLU262228 LVQ262193:LVQ262228 MFM262193:MFM262228 MPI262193:MPI262228 MZE262193:MZE262228 NJA262193:NJA262228 NSW262193:NSW262228 OCS262193:OCS262228 OMO262193:OMO262228 OWK262193:OWK262228 PGG262193:PGG262228 PQC262193:PQC262228 PZY262193:PZY262228 QJU262193:QJU262228 QTQ262193:QTQ262228 RDM262193:RDM262228 RNI262193:RNI262228 RXE262193:RXE262228 SHA262193:SHA262228 SQW262193:SQW262228 TAS262193:TAS262228 TKO262193:TKO262228 TUK262193:TUK262228 UEG262193:UEG262228 UOC262193:UOC262228 UXY262193:UXY262228 VHU262193:VHU262228 VRQ262193:VRQ262228 WBM262193:WBM262228 WLI262193:WLI262228 WVE262193:WVE262228 IS327729:IS327764 SO327729:SO327764 ACK327729:ACK327764 AMG327729:AMG327764 AWC327729:AWC327764 BFY327729:BFY327764 BPU327729:BPU327764 BZQ327729:BZQ327764 CJM327729:CJM327764 CTI327729:CTI327764 DDE327729:DDE327764 DNA327729:DNA327764 DWW327729:DWW327764 EGS327729:EGS327764 EQO327729:EQO327764 FAK327729:FAK327764 FKG327729:FKG327764 FUC327729:FUC327764 GDY327729:GDY327764 GNU327729:GNU327764 GXQ327729:GXQ327764 HHM327729:HHM327764 HRI327729:HRI327764 IBE327729:IBE327764 ILA327729:ILA327764 IUW327729:IUW327764 JES327729:JES327764 JOO327729:JOO327764 JYK327729:JYK327764 KIG327729:KIG327764 KSC327729:KSC327764 LBY327729:LBY327764 LLU327729:LLU327764 LVQ327729:LVQ327764 MFM327729:MFM327764 MPI327729:MPI327764 MZE327729:MZE327764 NJA327729:NJA327764 NSW327729:NSW327764 OCS327729:OCS327764 OMO327729:OMO327764 OWK327729:OWK327764 PGG327729:PGG327764 PQC327729:PQC327764 PZY327729:PZY327764 QJU327729:QJU327764 QTQ327729:QTQ327764 RDM327729:RDM327764 RNI327729:RNI327764 RXE327729:RXE327764 SHA327729:SHA327764 SQW327729:SQW327764 TAS327729:TAS327764 TKO327729:TKO327764 TUK327729:TUK327764 UEG327729:UEG327764 UOC327729:UOC327764 UXY327729:UXY327764 VHU327729:VHU327764 VRQ327729:VRQ327764 WBM327729:WBM327764 WLI327729:WLI327764 WVE327729:WVE327764 IS393265:IS393300 SO393265:SO393300 ACK393265:ACK393300 AMG393265:AMG393300 AWC393265:AWC393300 BFY393265:BFY393300 BPU393265:BPU393300 BZQ393265:BZQ393300 CJM393265:CJM393300 CTI393265:CTI393300 DDE393265:DDE393300 DNA393265:DNA393300 DWW393265:DWW393300 EGS393265:EGS393300 EQO393265:EQO393300 FAK393265:FAK393300 FKG393265:FKG393300 FUC393265:FUC393300 GDY393265:GDY393300 GNU393265:GNU393300 GXQ393265:GXQ393300 HHM393265:HHM393300 HRI393265:HRI393300 IBE393265:IBE393300 ILA393265:ILA393300 IUW393265:IUW393300 JES393265:JES393300 JOO393265:JOO393300 JYK393265:JYK393300 KIG393265:KIG393300 KSC393265:KSC393300 LBY393265:LBY393300 LLU393265:LLU393300 LVQ393265:LVQ393300 MFM393265:MFM393300 MPI393265:MPI393300 MZE393265:MZE393300 NJA393265:NJA393300 NSW393265:NSW393300 OCS393265:OCS393300 OMO393265:OMO393300 OWK393265:OWK393300 PGG393265:PGG393300 PQC393265:PQC393300 PZY393265:PZY393300 QJU393265:QJU393300 QTQ393265:QTQ393300 RDM393265:RDM393300 RNI393265:RNI393300 RXE393265:RXE393300 SHA393265:SHA393300 SQW393265:SQW393300 TAS393265:TAS393300 TKO393265:TKO393300 TUK393265:TUK393300 UEG393265:UEG393300 UOC393265:UOC393300 UXY393265:UXY393300 VHU393265:VHU393300 VRQ393265:VRQ393300 WBM393265:WBM393300 WLI393265:WLI393300 WVE393265:WVE393300 IS458801:IS458836 SO458801:SO458836 ACK458801:ACK458836 AMG458801:AMG458836 AWC458801:AWC458836 BFY458801:BFY458836 BPU458801:BPU458836 BZQ458801:BZQ458836 CJM458801:CJM458836 CTI458801:CTI458836 DDE458801:DDE458836 DNA458801:DNA458836 DWW458801:DWW458836 EGS458801:EGS458836 EQO458801:EQO458836 FAK458801:FAK458836 FKG458801:FKG458836 FUC458801:FUC458836 GDY458801:GDY458836 GNU458801:GNU458836 GXQ458801:GXQ458836 HHM458801:HHM458836 HRI458801:HRI458836 IBE458801:IBE458836 ILA458801:ILA458836 IUW458801:IUW458836 JES458801:JES458836 JOO458801:JOO458836 JYK458801:JYK458836 KIG458801:KIG458836 KSC458801:KSC458836 LBY458801:LBY458836 LLU458801:LLU458836 LVQ458801:LVQ458836 MFM458801:MFM458836 MPI458801:MPI458836 MZE458801:MZE458836 NJA458801:NJA458836 NSW458801:NSW458836 OCS458801:OCS458836 OMO458801:OMO458836 OWK458801:OWK458836 PGG458801:PGG458836 PQC458801:PQC458836 PZY458801:PZY458836 QJU458801:QJU458836 QTQ458801:QTQ458836 RDM458801:RDM458836 RNI458801:RNI458836 RXE458801:RXE458836 SHA458801:SHA458836 SQW458801:SQW458836 TAS458801:TAS458836 TKO458801:TKO458836 TUK458801:TUK458836 UEG458801:UEG458836 UOC458801:UOC458836 UXY458801:UXY458836 VHU458801:VHU458836 VRQ458801:VRQ458836 WBM458801:WBM458836 WLI458801:WLI458836 WVE458801:WVE458836 IS524337:IS524372 SO524337:SO524372 ACK524337:ACK524372 AMG524337:AMG524372 AWC524337:AWC524372 BFY524337:BFY524372 BPU524337:BPU524372 BZQ524337:BZQ524372 CJM524337:CJM524372 CTI524337:CTI524372 DDE524337:DDE524372 DNA524337:DNA524372 DWW524337:DWW524372 EGS524337:EGS524372 EQO524337:EQO524372 FAK524337:FAK524372 FKG524337:FKG524372 FUC524337:FUC524372 GDY524337:GDY524372 GNU524337:GNU524372 GXQ524337:GXQ524372 HHM524337:HHM524372 HRI524337:HRI524372 IBE524337:IBE524372 ILA524337:ILA524372 IUW524337:IUW524372 JES524337:JES524372 JOO524337:JOO524372 JYK524337:JYK524372 KIG524337:KIG524372 KSC524337:KSC524372 LBY524337:LBY524372 LLU524337:LLU524372 LVQ524337:LVQ524372 MFM524337:MFM524372 MPI524337:MPI524372 MZE524337:MZE524372 NJA524337:NJA524372 NSW524337:NSW524372 OCS524337:OCS524372 OMO524337:OMO524372 OWK524337:OWK524372 PGG524337:PGG524372 PQC524337:PQC524372 PZY524337:PZY524372 QJU524337:QJU524372 QTQ524337:QTQ524372 RDM524337:RDM524372 RNI524337:RNI524372 RXE524337:RXE524372 SHA524337:SHA524372 SQW524337:SQW524372 TAS524337:TAS524372 TKO524337:TKO524372 TUK524337:TUK524372 UEG524337:UEG524372 UOC524337:UOC524372 UXY524337:UXY524372 VHU524337:VHU524372 VRQ524337:VRQ524372 WBM524337:WBM524372 WLI524337:WLI524372 WVE524337:WVE524372 IS589873:IS589908 SO589873:SO589908 ACK589873:ACK589908 AMG589873:AMG589908 AWC589873:AWC589908 BFY589873:BFY589908 BPU589873:BPU589908 BZQ589873:BZQ589908 CJM589873:CJM589908 CTI589873:CTI589908 DDE589873:DDE589908 DNA589873:DNA589908 DWW589873:DWW589908 EGS589873:EGS589908 EQO589873:EQO589908 FAK589873:FAK589908 FKG589873:FKG589908 FUC589873:FUC589908 GDY589873:GDY589908 GNU589873:GNU589908 GXQ589873:GXQ589908 HHM589873:HHM589908 HRI589873:HRI589908 IBE589873:IBE589908 ILA589873:ILA589908 IUW589873:IUW589908 JES589873:JES589908 JOO589873:JOO589908 JYK589873:JYK589908 KIG589873:KIG589908 KSC589873:KSC589908 LBY589873:LBY589908 LLU589873:LLU589908 LVQ589873:LVQ589908 MFM589873:MFM589908 MPI589873:MPI589908 MZE589873:MZE589908 NJA589873:NJA589908 NSW589873:NSW589908 OCS589873:OCS589908 OMO589873:OMO589908 OWK589873:OWK589908 PGG589873:PGG589908 PQC589873:PQC589908 PZY589873:PZY589908 QJU589873:QJU589908 QTQ589873:QTQ589908 RDM589873:RDM589908 RNI589873:RNI589908 RXE589873:RXE589908 SHA589873:SHA589908 SQW589873:SQW589908 TAS589873:TAS589908 TKO589873:TKO589908 TUK589873:TUK589908 UEG589873:UEG589908 UOC589873:UOC589908 UXY589873:UXY589908 VHU589873:VHU589908 VRQ589873:VRQ589908 WBM589873:WBM589908 WLI589873:WLI589908 WVE589873:WVE589908 IS655409:IS655444 SO655409:SO655444 ACK655409:ACK655444 AMG655409:AMG655444 AWC655409:AWC655444 BFY655409:BFY655444 BPU655409:BPU655444 BZQ655409:BZQ655444 CJM655409:CJM655444 CTI655409:CTI655444 DDE655409:DDE655444 DNA655409:DNA655444 DWW655409:DWW655444 EGS655409:EGS655444 EQO655409:EQO655444 FAK655409:FAK655444 FKG655409:FKG655444 FUC655409:FUC655444 GDY655409:GDY655444 GNU655409:GNU655444 GXQ655409:GXQ655444 HHM655409:HHM655444 HRI655409:HRI655444 IBE655409:IBE655444 ILA655409:ILA655444 IUW655409:IUW655444 JES655409:JES655444 JOO655409:JOO655444 JYK655409:JYK655444 KIG655409:KIG655444 KSC655409:KSC655444 LBY655409:LBY655444 LLU655409:LLU655444 LVQ655409:LVQ655444 MFM655409:MFM655444 MPI655409:MPI655444 MZE655409:MZE655444 NJA655409:NJA655444 NSW655409:NSW655444 OCS655409:OCS655444 OMO655409:OMO655444 OWK655409:OWK655444 PGG655409:PGG655444 PQC655409:PQC655444 PZY655409:PZY655444 QJU655409:QJU655444 QTQ655409:QTQ655444 RDM655409:RDM655444 RNI655409:RNI655444 RXE655409:RXE655444 SHA655409:SHA655444 SQW655409:SQW655444 TAS655409:TAS655444 TKO655409:TKO655444 TUK655409:TUK655444 UEG655409:UEG655444 UOC655409:UOC655444 UXY655409:UXY655444 VHU655409:VHU655444 VRQ655409:VRQ655444 WBM655409:WBM655444 WLI655409:WLI655444 WVE655409:WVE655444 IS720945:IS720980 SO720945:SO720980 ACK720945:ACK720980 AMG720945:AMG720980 AWC720945:AWC720980 BFY720945:BFY720980 BPU720945:BPU720980 BZQ720945:BZQ720980 CJM720945:CJM720980 CTI720945:CTI720980 DDE720945:DDE720980 DNA720945:DNA720980 DWW720945:DWW720980 EGS720945:EGS720980 EQO720945:EQO720980 FAK720945:FAK720980 FKG720945:FKG720980 FUC720945:FUC720980 GDY720945:GDY720980 GNU720945:GNU720980 GXQ720945:GXQ720980 HHM720945:HHM720980 HRI720945:HRI720980 IBE720945:IBE720980 ILA720945:ILA720980 IUW720945:IUW720980 JES720945:JES720980 JOO720945:JOO720980 JYK720945:JYK720980 KIG720945:KIG720980 KSC720945:KSC720980 LBY720945:LBY720980 LLU720945:LLU720980 LVQ720945:LVQ720980 MFM720945:MFM720980 MPI720945:MPI720980 MZE720945:MZE720980 NJA720945:NJA720980 NSW720945:NSW720980 OCS720945:OCS720980 OMO720945:OMO720980 OWK720945:OWK720980 PGG720945:PGG720980 PQC720945:PQC720980 PZY720945:PZY720980 QJU720945:QJU720980 QTQ720945:QTQ720980 RDM720945:RDM720980 RNI720945:RNI720980 RXE720945:RXE720980 SHA720945:SHA720980 SQW720945:SQW720980 TAS720945:TAS720980 TKO720945:TKO720980 TUK720945:TUK720980 UEG720945:UEG720980 UOC720945:UOC720980 UXY720945:UXY720980 VHU720945:VHU720980 VRQ720945:VRQ720980 WBM720945:WBM720980 WLI720945:WLI720980 WVE720945:WVE720980 IS786481:IS786516 SO786481:SO786516 ACK786481:ACK786516 AMG786481:AMG786516 AWC786481:AWC786516 BFY786481:BFY786516 BPU786481:BPU786516 BZQ786481:BZQ786516 CJM786481:CJM786516 CTI786481:CTI786516 DDE786481:DDE786516 DNA786481:DNA786516 DWW786481:DWW786516 EGS786481:EGS786516 EQO786481:EQO786516 FAK786481:FAK786516 FKG786481:FKG786516 FUC786481:FUC786516 GDY786481:GDY786516 GNU786481:GNU786516 GXQ786481:GXQ786516 HHM786481:HHM786516 HRI786481:HRI786516 IBE786481:IBE786516 ILA786481:ILA786516 IUW786481:IUW786516 JES786481:JES786516 JOO786481:JOO786516 JYK786481:JYK786516 KIG786481:KIG786516 KSC786481:KSC786516 LBY786481:LBY786516 LLU786481:LLU786516 LVQ786481:LVQ786516 MFM786481:MFM786516 MPI786481:MPI786516 MZE786481:MZE786516 NJA786481:NJA786516 NSW786481:NSW786516 OCS786481:OCS786516 OMO786481:OMO786516 OWK786481:OWK786516 PGG786481:PGG786516 PQC786481:PQC786516 PZY786481:PZY786516 QJU786481:QJU786516 QTQ786481:QTQ786516 RDM786481:RDM786516 RNI786481:RNI786516 RXE786481:RXE786516 SHA786481:SHA786516 SQW786481:SQW786516 TAS786481:TAS786516 TKO786481:TKO786516 TUK786481:TUK786516 UEG786481:UEG786516 UOC786481:UOC786516 UXY786481:UXY786516 VHU786481:VHU786516 VRQ786481:VRQ786516 WBM786481:WBM786516 WLI786481:WLI786516 WVE786481:WVE786516 IS852017:IS852052 SO852017:SO852052 ACK852017:ACK852052 AMG852017:AMG852052 AWC852017:AWC852052 BFY852017:BFY852052 BPU852017:BPU852052 BZQ852017:BZQ852052 CJM852017:CJM852052 CTI852017:CTI852052 DDE852017:DDE852052 DNA852017:DNA852052 DWW852017:DWW852052 EGS852017:EGS852052 EQO852017:EQO852052 FAK852017:FAK852052 FKG852017:FKG852052 FUC852017:FUC852052 GDY852017:GDY852052 GNU852017:GNU852052 GXQ852017:GXQ852052 HHM852017:HHM852052 HRI852017:HRI852052 IBE852017:IBE852052 ILA852017:ILA852052 IUW852017:IUW852052 JES852017:JES852052 JOO852017:JOO852052 JYK852017:JYK852052 KIG852017:KIG852052 KSC852017:KSC852052 LBY852017:LBY852052 LLU852017:LLU852052 LVQ852017:LVQ852052 MFM852017:MFM852052 MPI852017:MPI852052 MZE852017:MZE852052 NJA852017:NJA852052 NSW852017:NSW852052 OCS852017:OCS852052 OMO852017:OMO852052 OWK852017:OWK852052 PGG852017:PGG852052 PQC852017:PQC852052 PZY852017:PZY852052 QJU852017:QJU852052 QTQ852017:QTQ852052 RDM852017:RDM852052 RNI852017:RNI852052 RXE852017:RXE852052 SHA852017:SHA852052 SQW852017:SQW852052 TAS852017:TAS852052 TKO852017:TKO852052 TUK852017:TUK852052 UEG852017:UEG852052 UOC852017:UOC852052 UXY852017:UXY852052 VHU852017:VHU852052 VRQ852017:VRQ852052 WBM852017:WBM852052 WLI852017:WLI852052 WVE852017:WVE852052 IS917553:IS917588 SO917553:SO917588 ACK917553:ACK917588 AMG917553:AMG917588 AWC917553:AWC917588 BFY917553:BFY917588 BPU917553:BPU917588 BZQ917553:BZQ917588 CJM917553:CJM917588 CTI917553:CTI917588 DDE917553:DDE917588 DNA917553:DNA917588 DWW917553:DWW917588 EGS917553:EGS917588 EQO917553:EQO917588 FAK917553:FAK917588 FKG917553:FKG917588 FUC917553:FUC917588 GDY917553:GDY917588 GNU917553:GNU917588 GXQ917553:GXQ917588 HHM917553:HHM917588 HRI917553:HRI917588 IBE917553:IBE917588 ILA917553:ILA917588 IUW917553:IUW917588 JES917553:JES917588 JOO917553:JOO917588 JYK917553:JYK917588 KIG917553:KIG917588 KSC917553:KSC917588 LBY917553:LBY917588 LLU917553:LLU917588 LVQ917553:LVQ917588 MFM917553:MFM917588 MPI917553:MPI917588 MZE917553:MZE917588 NJA917553:NJA917588 NSW917553:NSW917588 OCS917553:OCS917588 OMO917553:OMO917588 OWK917553:OWK917588 PGG917553:PGG917588 PQC917553:PQC917588 PZY917553:PZY917588 QJU917553:QJU917588 QTQ917553:QTQ917588 RDM917553:RDM917588 RNI917553:RNI917588 RXE917553:RXE917588 SHA917553:SHA917588 SQW917553:SQW917588 TAS917553:TAS917588 TKO917553:TKO917588 TUK917553:TUK917588 UEG917553:UEG917588 UOC917553:UOC917588 UXY917553:UXY917588 VHU917553:VHU917588 VRQ917553:VRQ917588 WBM917553:WBM917588 WLI917553:WLI917588 WVE917553:WVE917588 IS983089:IS983124 SO983089:SO983124 ACK983089:ACK983124 AMG983089:AMG983124 AWC983089:AWC983124 BFY983089:BFY983124 BPU983089:BPU983124 BZQ983089:BZQ983124 CJM983089:CJM983124 CTI983089:CTI983124 DDE983089:DDE983124 DNA983089:DNA983124 DWW983089:DWW983124 EGS983089:EGS983124 EQO983089:EQO983124 FAK983089:FAK983124 FKG983089:FKG983124 FUC983089:FUC983124 GDY983089:GDY983124 GNU983089:GNU983124 GXQ983089:GXQ983124 HHM983089:HHM983124 HRI983089:HRI983124 IBE983089:IBE983124 ILA983089:ILA983124 IUW983089:IUW983124 JES983089:JES983124 JOO983089:JOO983124 JYK983089:JYK983124 KIG983089:KIG983124 KSC983089:KSC983124 LBY983089:LBY983124 LLU983089:LLU983124 LVQ983089:LVQ983124 MFM983089:MFM983124 MPI983089:MPI983124 MZE983089:MZE983124 NJA983089:NJA983124 NSW983089:NSW983124 OCS983089:OCS983124 OMO983089:OMO983124 OWK983089:OWK983124 PGG983089:PGG983124 PQC983089:PQC983124 PZY983089:PZY983124 QJU983089:QJU983124 QTQ983089:QTQ983124 RDM983089:RDM983124 RNI983089:RNI983124 RXE983089:RXE983124 SHA983089:SHA983124 SQW983089:SQW983124 TAS983089:TAS983124 TKO983089:TKO983124 TUK983089:TUK983124 UEG983089:UEG983124 UOC983089:UOC983124 UXY983089:UXY983124 VHU983089:VHU983124 VRQ983089:VRQ983124 WBM983089:WBM983124 WLI983089:WLI983124 WVE983089:WVE983124 JI65584:JI65622 TE65584:TE65622 ADA65584:ADA65622 AMW65584:AMW65622 AWS65584:AWS65622 BGO65584:BGO65622 BQK65584:BQK65622 CAG65584:CAG65622 CKC65584:CKC65622 CTY65584:CTY65622 DDU65584:DDU65622 DNQ65584:DNQ65622 DXM65584:DXM65622 EHI65584:EHI65622 ERE65584:ERE65622 FBA65584:FBA65622 FKW65584:FKW65622 FUS65584:FUS65622 GEO65584:GEO65622 GOK65584:GOK65622 GYG65584:GYG65622 HIC65584:HIC65622 HRY65584:HRY65622 IBU65584:IBU65622 ILQ65584:ILQ65622 IVM65584:IVM65622 JFI65584:JFI65622 JPE65584:JPE65622 JZA65584:JZA65622 KIW65584:KIW65622 KSS65584:KSS65622 LCO65584:LCO65622 LMK65584:LMK65622 LWG65584:LWG65622 MGC65584:MGC65622 MPY65584:MPY65622 MZU65584:MZU65622 NJQ65584:NJQ65622 NTM65584:NTM65622 ODI65584:ODI65622 ONE65584:ONE65622 OXA65584:OXA65622 PGW65584:PGW65622 PQS65584:PQS65622 QAO65584:QAO65622 QKK65584:QKK65622 QUG65584:QUG65622 REC65584:REC65622 RNY65584:RNY65622 RXU65584:RXU65622 SHQ65584:SHQ65622 SRM65584:SRM65622 TBI65584:TBI65622 TLE65584:TLE65622 TVA65584:TVA65622 UEW65584:UEW65622 UOS65584:UOS65622 UYO65584:UYO65622 VIK65584:VIK65622 VSG65584:VSG65622 WCC65584:WCC65622 WLY65584:WLY65622 WVU65584:WVU65622 JI131120:JI131158 TE131120:TE131158 ADA131120:ADA131158 AMW131120:AMW131158 AWS131120:AWS131158 BGO131120:BGO131158 BQK131120:BQK131158 CAG131120:CAG131158 CKC131120:CKC131158 CTY131120:CTY131158 DDU131120:DDU131158 DNQ131120:DNQ131158 DXM131120:DXM131158 EHI131120:EHI131158 ERE131120:ERE131158 FBA131120:FBA131158 FKW131120:FKW131158 FUS131120:FUS131158 GEO131120:GEO131158 GOK131120:GOK131158 GYG131120:GYG131158 HIC131120:HIC131158 HRY131120:HRY131158 IBU131120:IBU131158 ILQ131120:ILQ131158 IVM131120:IVM131158 JFI131120:JFI131158 JPE131120:JPE131158 JZA131120:JZA131158 KIW131120:KIW131158 KSS131120:KSS131158 LCO131120:LCO131158 LMK131120:LMK131158 LWG131120:LWG131158 MGC131120:MGC131158 MPY131120:MPY131158 MZU131120:MZU131158 NJQ131120:NJQ131158 NTM131120:NTM131158 ODI131120:ODI131158 ONE131120:ONE131158 OXA131120:OXA131158 PGW131120:PGW131158 PQS131120:PQS131158 QAO131120:QAO131158 QKK131120:QKK131158 QUG131120:QUG131158 REC131120:REC131158 RNY131120:RNY131158 RXU131120:RXU131158 SHQ131120:SHQ131158 SRM131120:SRM131158 TBI131120:TBI131158 TLE131120:TLE131158 TVA131120:TVA131158 UEW131120:UEW131158 UOS131120:UOS131158 UYO131120:UYO131158 VIK131120:VIK131158 VSG131120:VSG131158 WCC131120:WCC131158 WLY131120:WLY131158 WVU131120:WVU131158 JI196656:JI196694 TE196656:TE196694 ADA196656:ADA196694 AMW196656:AMW196694 AWS196656:AWS196694 BGO196656:BGO196694 BQK196656:BQK196694 CAG196656:CAG196694 CKC196656:CKC196694 CTY196656:CTY196694 DDU196656:DDU196694 DNQ196656:DNQ196694 DXM196656:DXM196694 EHI196656:EHI196694 ERE196656:ERE196694 FBA196656:FBA196694 FKW196656:FKW196694 FUS196656:FUS196694 GEO196656:GEO196694 GOK196656:GOK196694 GYG196656:GYG196694 HIC196656:HIC196694 HRY196656:HRY196694 IBU196656:IBU196694 ILQ196656:ILQ196694 IVM196656:IVM196694 JFI196656:JFI196694 JPE196656:JPE196694 JZA196656:JZA196694 KIW196656:KIW196694 KSS196656:KSS196694 LCO196656:LCO196694 LMK196656:LMK196694 LWG196656:LWG196694 MGC196656:MGC196694 MPY196656:MPY196694 MZU196656:MZU196694 NJQ196656:NJQ196694 NTM196656:NTM196694 ODI196656:ODI196694 ONE196656:ONE196694 OXA196656:OXA196694 PGW196656:PGW196694 PQS196656:PQS196694 QAO196656:QAO196694 QKK196656:QKK196694 QUG196656:QUG196694 REC196656:REC196694 RNY196656:RNY196694 RXU196656:RXU196694 SHQ196656:SHQ196694 SRM196656:SRM196694 TBI196656:TBI196694 TLE196656:TLE196694 TVA196656:TVA196694 UEW196656:UEW196694 UOS196656:UOS196694 UYO196656:UYO196694 VIK196656:VIK196694 VSG196656:VSG196694 WCC196656:WCC196694 WLY196656:WLY196694 WVU196656:WVU196694 JI262192:JI262230 TE262192:TE262230 ADA262192:ADA262230 AMW262192:AMW262230 AWS262192:AWS262230 BGO262192:BGO262230 BQK262192:BQK262230 CAG262192:CAG262230 CKC262192:CKC262230 CTY262192:CTY262230 DDU262192:DDU262230 DNQ262192:DNQ262230 DXM262192:DXM262230 EHI262192:EHI262230 ERE262192:ERE262230 FBA262192:FBA262230 FKW262192:FKW262230 FUS262192:FUS262230 GEO262192:GEO262230 GOK262192:GOK262230 GYG262192:GYG262230 HIC262192:HIC262230 HRY262192:HRY262230 IBU262192:IBU262230 ILQ262192:ILQ262230 IVM262192:IVM262230 JFI262192:JFI262230 JPE262192:JPE262230 JZA262192:JZA262230 KIW262192:KIW262230 KSS262192:KSS262230 LCO262192:LCO262230 LMK262192:LMK262230 LWG262192:LWG262230 MGC262192:MGC262230 MPY262192:MPY262230 MZU262192:MZU262230 NJQ262192:NJQ262230 NTM262192:NTM262230 ODI262192:ODI262230 ONE262192:ONE262230 OXA262192:OXA262230 PGW262192:PGW262230 PQS262192:PQS262230 QAO262192:QAO262230 QKK262192:QKK262230 QUG262192:QUG262230 REC262192:REC262230 RNY262192:RNY262230 RXU262192:RXU262230 SHQ262192:SHQ262230 SRM262192:SRM262230 TBI262192:TBI262230 TLE262192:TLE262230 TVA262192:TVA262230 UEW262192:UEW262230 UOS262192:UOS262230 UYO262192:UYO262230 VIK262192:VIK262230 VSG262192:VSG262230 WCC262192:WCC262230 WLY262192:WLY262230 WVU262192:WVU262230 JI327728:JI327766 TE327728:TE327766 ADA327728:ADA327766 AMW327728:AMW327766 AWS327728:AWS327766 BGO327728:BGO327766 BQK327728:BQK327766 CAG327728:CAG327766 CKC327728:CKC327766 CTY327728:CTY327766 DDU327728:DDU327766 DNQ327728:DNQ327766 DXM327728:DXM327766 EHI327728:EHI327766 ERE327728:ERE327766 FBA327728:FBA327766 FKW327728:FKW327766 FUS327728:FUS327766 GEO327728:GEO327766 GOK327728:GOK327766 GYG327728:GYG327766 HIC327728:HIC327766 HRY327728:HRY327766 IBU327728:IBU327766 ILQ327728:ILQ327766 IVM327728:IVM327766 JFI327728:JFI327766 JPE327728:JPE327766 JZA327728:JZA327766 KIW327728:KIW327766 KSS327728:KSS327766 LCO327728:LCO327766 LMK327728:LMK327766 LWG327728:LWG327766 MGC327728:MGC327766 MPY327728:MPY327766 MZU327728:MZU327766 NJQ327728:NJQ327766 NTM327728:NTM327766 ODI327728:ODI327766 ONE327728:ONE327766 OXA327728:OXA327766 PGW327728:PGW327766 PQS327728:PQS327766 QAO327728:QAO327766 QKK327728:QKK327766 QUG327728:QUG327766 REC327728:REC327766 RNY327728:RNY327766 RXU327728:RXU327766 SHQ327728:SHQ327766 SRM327728:SRM327766 TBI327728:TBI327766 TLE327728:TLE327766 TVA327728:TVA327766 UEW327728:UEW327766 UOS327728:UOS327766 UYO327728:UYO327766 VIK327728:VIK327766 VSG327728:VSG327766 WCC327728:WCC327766 WLY327728:WLY327766 WVU327728:WVU327766 JI393264:JI393302 TE393264:TE393302 ADA393264:ADA393302 AMW393264:AMW393302 AWS393264:AWS393302 BGO393264:BGO393302 BQK393264:BQK393302 CAG393264:CAG393302 CKC393264:CKC393302 CTY393264:CTY393302 DDU393264:DDU393302 DNQ393264:DNQ393302 DXM393264:DXM393302 EHI393264:EHI393302 ERE393264:ERE393302 FBA393264:FBA393302 FKW393264:FKW393302 FUS393264:FUS393302 GEO393264:GEO393302 GOK393264:GOK393302 GYG393264:GYG393302 HIC393264:HIC393302 HRY393264:HRY393302 IBU393264:IBU393302 ILQ393264:ILQ393302 IVM393264:IVM393302 JFI393264:JFI393302 JPE393264:JPE393302 JZA393264:JZA393302 KIW393264:KIW393302 KSS393264:KSS393302 LCO393264:LCO393302 LMK393264:LMK393302 LWG393264:LWG393302 MGC393264:MGC393302 MPY393264:MPY393302 MZU393264:MZU393302 NJQ393264:NJQ393302 NTM393264:NTM393302 ODI393264:ODI393302 ONE393264:ONE393302 OXA393264:OXA393302 PGW393264:PGW393302 PQS393264:PQS393302 QAO393264:QAO393302 QKK393264:QKK393302 QUG393264:QUG393302 REC393264:REC393302 RNY393264:RNY393302 RXU393264:RXU393302 SHQ393264:SHQ393302 SRM393264:SRM393302 TBI393264:TBI393302 TLE393264:TLE393302 TVA393264:TVA393302 UEW393264:UEW393302 UOS393264:UOS393302 UYO393264:UYO393302 VIK393264:VIK393302 VSG393264:VSG393302 WCC393264:WCC393302 WLY393264:WLY393302 WVU393264:WVU393302 JI458800:JI458838 TE458800:TE458838 ADA458800:ADA458838 AMW458800:AMW458838 AWS458800:AWS458838 BGO458800:BGO458838 BQK458800:BQK458838 CAG458800:CAG458838 CKC458800:CKC458838 CTY458800:CTY458838 DDU458800:DDU458838 DNQ458800:DNQ458838 DXM458800:DXM458838 EHI458800:EHI458838 ERE458800:ERE458838 FBA458800:FBA458838 FKW458800:FKW458838 FUS458800:FUS458838 GEO458800:GEO458838 GOK458800:GOK458838 GYG458800:GYG458838 HIC458800:HIC458838 HRY458800:HRY458838 IBU458800:IBU458838 ILQ458800:ILQ458838 IVM458800:IVM458838 JFI458800:JFI458838 JPE458800:JPE458838 JZA458800:JZA458838 KIW458800:KIW458838 KSS458800:KSS458838 LCO458800:LCO458838 LMK458800:LMK458838 LWG458800:LWG458838 MGC458800:MGC458838 MPY458800:MPY458838 MZU458800:MZU458838 NJQ458800:NJQ458838 NTM458800:NTM458838 ODI458800:ODI458838 ONE458800:ONE458838 OXA458800:OXA458838 PGW458800:PGW458838 PQS458800:PQS458838 QAO458800:QAO458838 QKK458800:QKK458838 QUG458800:QUG458838 REC458800:REC458838 RNY458800:RNY458838 RXU458800:RXU458838 SHQ458800:SHQ458838 SRM458800:SRM458838 TBI458800:TBI458838 TLE458800:TLE458838 TVA458800:TVA458838 UEW458800:UEW458838 UOS458800:UOS458838 UYO458800:UYO458838 VIK458800:VIK458838 VSG458800:VSG458838 WCC458800:WCC458838 WLY458800:WLY458838 WVU458800:WVU458838 JI524336:JI524374 TE524336:TE524374 ADA524336:ADA524374 AMW524336:AMW524374 AWS524336:AWS524374 BGO524336:BGO524374 BQK524336:BQK524374 CAG524336:CAG524374 CKC524336:CKC524374 CTY524336:CTY524374 DDU524336:DDU524374 DNQ524336:DNQ524374 DXM524336:DXM524374 EHI524336:EHI524374 ERE524336:ERE524374 FBA524336:FBA524374 FKW524336:FKW524374 FUS524336:FUS524374 GEO524336:GEO524374 GOK524336:GOK524374 GYG524336:GYG524374 HIC524336:HIC524374 HRY524336:HRY524374 IBU524336:IBU524374 ILQ524336:ILQ524374 IVM524336:IVM524374 JFI524336:JFI524374 JPE524336:JPE524374 JZA524336:JZA524374 KIW524336:KIW524374 KSS524336:KSS524374 LCO524336:LCO524374 LMK524336:LMK524374 LWG524336:LWG524374 MGC524336:MGC524374 MPY524336:MPY524374 MZU524336:MZU524374 NJQ524336:NJQ524374 NTM524336:NTM524374 ODI524336:ODI524374 ONE524336:ONE524374 OXA524336:OXA524374 PGW524336:PGW524374 PQS524336:PQS524374 QAO524336:QAO524374 QKK524336:QKK524374 QUG524336:QUG524374 REC524336:REC524374 RNY524336:RNY524374 RXU524336:RXU524374 SHQ524336:SHQ524374 SRM524336:SRM524374 TBI524336:TBI524374 TLE524336:TLE524374 TVA524336:TVA524374 UEW524336:UEW524374 UOS524336:UOS524374 UYO524336:UYO524374 VIK524336:VIK524374 VSG524336:VSG524374 WCC524336:WCC524374 WLY524336:WLY524374 WVU524336:WVU524374 JI589872:JI589910 TE589872:TE589910 ADA589872:ADA589910 AMW589872:AMW589910 AWS589872:AWS589910 BGO589872:BGO589910 BQK589872:BQK589910 CAG589872:CAG589910 CKC589872:CKC589910 CTY589872:CTY589910 DDU589872:DDU589910 DNQ589872:DNQ589910 DXM589872:DXM589910 EHI589872:EHI589910 ERE589872:ERE589910 FBA589872:FBA589910 FKW589872:FKW589910 FUS589872:FUS589910 GEO589872:GEO589910 GOK589872:GOK589910 GYG589872:GYG589910 HIC589872:HIC589910 HRY589872:HRY589910 IBU589872:IBU589910 ILQ589872:ILQ589910 IVM589872:IVM589910 JFI589872:JFI589910 JPE589872:JPE589910 JZA589872:JZA589910 KIW589872:KIW589910 KSS589872:KSS589910 LCO589872:LCO589910 LMK589872:LMK589910 LWG589872:LWG589910 MGC589872:MGC589910 MPY589872:MPY589910 MZU589872:MZU589910 NJQ589872:NJQ589910 NTM589872:NTM589910 ODI589872:ODI589910 ONE589872:ONE589910 OXA589872:OXA589910 PGW589872:PGW589910 PQS589872:PQS589910 QAO589872:QAO589910 QKK589872:QKK589910 QUG589872:QUG589910 REC589872:REC589910 RNY589872:RNY589910 RXU589872:RXU589910 SHQ589872:SHQ589910 SRM589872:SRM589910 TBI589872:TBI589910 TLE589872:TLE589910 TVA589872:TVA589910 UEW589872:UEW589910 UOS589872:UOS589910 UYO589872:UYO589910 VIK589872:VIK589910 VSG589872:VSG589910 WCC589872:WCC589910 WLY589872:WLY589910 WVU589872:WVU589910 JI655408:JI655446 TE655408:TE655446 ADA655408:ADA655446 AMW655408:AMW655446 AWS655408:AWS655446 BGO655408:BGO655446 BQK655408:BQK655446 CAG655408:CAG655446 CKC655408:CKC655446 CTY655408:CTY655446 DDU655408:DDU655446 DNQ655408:DNQ655446 DXM655408:DXM655446 EHI655408:EHI655446 ERE655408:ERE655446 FBA655408:FBA655446 FKW655408:FKW655446 FUS655408:FUS655446 GEO655408:GEO655446 GOK655408:GOK655446 GYG655408:GYG655446 HIC655408:HIC655446 HRY655408:HRY655446 IBU655408:IBU655446 ILQ655408:ILQ655446 IVM655408:IVM655446 JFI655408:JFI655446 JPE655408:JPE655446 JZA655408:JZA655446 KIW655408:KIW655446 KSS655408:KSS655446 LCO655408:LCO655446 LMK655408:LMK655446 LWG655408:LWG655446 MGC655408:MGC655446 MPY655408:MPY655446 MZU655408:MZU655446 NJQ655408:NJQ655446 NTM655408:NTM655446 ODI655408:ODI655446 ONE655408:ONE655446 OXA655408:OXA655446 PGW655408:PGW655446 PQS655408:PQS655446 QAO655408:QAO655446 QKK655408:QKK655446 QUG655408:QUG655446 REC655408:REC655446 RNY655408:RNY655446 RXU655408:RXU655446 SHQ655408:SHQ655446 SRM655408:SRM655446 TBI655408:TBI655446 TLE655408:TLE655446 TVA655408:TVA655446 UEW655408:UEW655446 UOS655408:UOS655446 UYO655408:UYO655446 VIK655408:VIK655446 VSG655408:VSG655446 WCC655408:WCC655446 WLY655408:WLY655446 WVU655408:WVU655446 JI720944:JI720982 TE720944:TE720982 ADA720944:ADA720982 AMW720944:AMW720982 AWS720944:AWS720982 BGO720944:BGO720982 BQK720944:BQK720982 CAG720944:CAG720982 CKC720944:CKC720982 CTY720944:CTY720982 DDU720944:DDU720982 DNQ720944:DNQ720982 DXM720944:DXM720982 EHI720944:EHI720982 ERE720944:ERE720982 FBA720944:FBA720982 FKW720944:FKW720982 FUS720944:FUS720982 GEO720944:GEO720982 GOK720944:GOK720982 GYG720944:GYG720982 HIC720944:HIC720982 HRY720944:HRY720982 IBU720944:IBU720982 ILQ720944:ILQ720982 IVM720944:IVM720982 JFI720944:JFI720982 JPE720944:JPE720982 JZA720944:JZA720982 KIW720944:KIW720982 KSS720944:KSS720982 LCO720944:LCO720982 LMK720944:LMK720982 LWG720944:LWG720982 MGC720944:MGC720982 MPY720944:MPY720982 MZU720944:MZU720982 NJQ720944:NJQ720982 NTM720944:NTM720982 ODI720944:ODI720982 ONE720944:ONE720982 OXA720944:OXA720982 PGW720944:PGW720982 PQS720944:PQS720982 QAO720944:QAO720982 QKK720944:QKK720982 QUG720944:QUG720982 REC720944:REC720982 RNY720944:RNY720982 RXU720944:RXU720982 SHQ720944:SHQ720982 SRM720944:SRM720982 TBI720944:TBI720982 TLE720944:TLE720982 TVA720944:TVA720982 UEW720944:UEW720982 UOS720944:UOS720982 UYO720944:UYO720982 VIK720944:VIK720982 VSG720944:VSG720982 WCC720944:WCC720982 WLY720944:WLY720982 WVU720944:WVU720982 JI786480:JI786518 TE786480:TE786518 ADA786480:ADA786518 AMW786480:AMW786518 AWS786480:AWS786518 BGO786480:BGO786518 BQK786480:BQK786518 CAG786480:CAG786518 CKC786480:CKC786518 CTY786480:CTY786518 DDU786480:DDU786518 DNQ786480:DNQ786518 DXM786480:DXM786518 EHI786480:EHI786518 ERE786480:ERE786518 FBA786480:FBA786518 FKW786480:FKW786518 FUS786480:FUS786518 GEO786480:GEO786518 GOK786480:GOK786518 GYG786480:GYG786518 HIC786480:HIC786518 HRY786480:HRY786518 IBU786480:IBU786518 ILQ786480:ILQ786518 IVM786480:IVM786518 JFI786480:JFI786518 JPE786480:JPE786518 JZA786480:JZA786518 KIW786480:KIW786518 KSS786480:KSS786518 LCO786480:LCO786518 LMK786480:LMK786518 LWG786480:LWG786518 MGC786480:MGC786518 MPY786480:MPY786518 MZU786480:MZU786518 NJQ786480:NJQ786518 NTM786480:NTM786518 ODI786480:ODI786518 ONE786480:ONE786518 OXA786480:OXA786518 PGW786480:PGW786518 PQS786480:PQS786518 QAO786480:QAO786518 QKK786480:QKK786518 QUG786480:QUG786518 REC786480:REC786518 RNY786480:RNY786518 RXU786480:RXU786518 SHQ786480:SHQ786518 SRM786480:SRM786518 TBI786480:TBI786518 TLE786480:TLE786518 TVA786480:TVA786518 UEW786480:UEW786518 UOS786480:UOS786518 UYO786480:UYO786518 VIK786480:VIK786518 VSG786480:VSG786518 WCC786480:WCC786518 WLY786480:WLY786518 WVU786480:WVU786518 JI852016:JI852054 TE852016:TE852054 ADA852016:ADA852054 AMW852016:AMW852054 AWS852016:AWS852054 BGO852016:BGO852054 BQK852016:BQK852054 CAG852016:CAG852054 CKC852016:CKC852054 CTY852016:CTY852054 DDU852016:DDU852054 DNQ852016:DNQ852054 DXM852016:DXM852054 EHI852016:EHI852054 ERE852016:ERE852054 FBA852016:FBA852054 FKW852016:FKW852054 FUS852016:FUS852054 GEO852016:GEO852054 GOK852016:GOK852054 GYG852016:GYG852054 HIC852016:HIC852054 HRY852016:HRY852054 IBU852016:IBU852054 ILQ852016:ILQ852054 IVM852016:IVM852054 JFI852016:JFI852054 JPE852016:JPE852054 JZA852016:JZA852054 KIW852016:KIW852054 KSS852016:KSS852054 LCO852016:LCO852054 LMK852016:LMK852054 LWG852016:LWG852054 MGC852016:MGC852054 MPY852016:MPY852054 MZU852016:MZU852054 NJQ852016:NJQ852054 NTM852016:NTM852054 ODI852016:ODI852054 ONE852016:ONE852054 OXA852016:OXA852054 PGW852016:PGW852054 PQS852016:PQS852054 QAO852016:QAO852054 QKK852016:QKK852054 QUG852016:QUG852054 REC852016:REC852054 RNY852016:RNY852054 RXU852016:RXU852054 SHQ852016:SHQ852054 SRM852016:SRM852054 TBI852016:TBI852054 TLE852016:TLE852054 TVA852016:TVA852054 UEW852016:UEW852054 UOS852016:UOS852054 UYO852016:UYO852054 VIK852016:VIK852054 VSG852016:VSG852054 WCC852016:WCC852054 WLY852016:WLY852054 WVU852016:WVU852054 JI917552:JI917590 TE917552:TE917590 ADA917552:ADA917590 AMW917552:AMW917590 AWS917552:AWS917590 BGO917552:BGO917590 BQK917552:BQK917590 CAG917552:CAG917590 CKC917552:CKC917590 CTY917552:CTY917590 DDU917552:DDU917590 DNQ917552:DNQ917590 DXM917552:DXM917590 EHI917552:EHI917590 ERE917552:ERE917590 FBA917552:FBA917590 FKW917552:FKW917590 FUS917552:FUS917590 GEO917552:GEO917590 GOK917552:GOK917590 GYG917552:GYG917590 HIC917552:HIC917590 HRY917552:HRY917590 IBU917552:IBU917590 ILQ917552:ILQ917590 IVM917552:IVM917590 JFI917552:JFI917590 JPE917552:JPE917590 JZA917552:JZA917590 KIW917552:KIW917590 KSS917552:KSS917590 LCO917552:LCO917590 LMK917552:LMK917590 LWG917552:LWG917590 MGC917552:MGC917590 MPY917552:MPY917590 MZU917552:MZU917590 NJQ917552:NJQ917590 NTM917552:NTM917590 ODI917552:ODI917590 ONE917552:ONE917590 OXA917552:OXA917590 PGW917552:PGW917590 PQS917552:PQS917590 QAO917552:QAO917590 QKK917552:QKK917590 QUG917552:QUG917590 REC917552:REC917590 RNY917552:RNY917590 RXU917552:RXU917590 SHQ917552:SHQ917590 SRM917552:SRM917590 TBI917552:TBI917590 TLE917552:TLE917590 TVA917552:TVA917590 UEW917552:UEW917590 UOS917552:UOS917590 UYO917552:UYO917590 VIK917552:VIK917590 VSG917552:VSG917590 WCC917552:WCC917590 WLY917552:WLY917590 WVU917552:WVU917590 JI983088:JI983126 TE983088:TE983126 ADA983088:ADA983126 AMW983088:AMW983126 AWS983088:AWS983126 BGO983088:BGO983126 BQK983088:BQK983126 CAG983088:CAG983126 CKC983088:CKC983126 CTY983088:CTY983126 DDU983088:DDU983126 DNQ983088:DNQ983126 DXM983088:DXM983126 EHI983088:EHI983126 ERE983088:ERE983126 FBA983088:FBA983126 FKW983088:FKW983126 FUS983088:FUS983126 GEO983088:GEO983126 GOK983088:GOK983126 GYG983088:GYG983126 HIC983088:HIC983126 HRY983088:HRY983126 IBU983088:IBU983126 ILQ983088:ILQ983126 IVM983088:IVM983126 JFI983088:JFI983126 JPE983088:JPE983126 JZA983088:JZA983126 KIW983088:KIW983126 KSS983088:KSS983126 LCO983088:LCO983126 LMK983088:LMK983126 LWG983088:LWG983126 MGC983088:MGC983126 MPY983088:MPY983126 MZU983088:MZU983126 NJQ983088:NJQ983126 NTM983088:NTM983126 ODI983088:ODI983126 ONE983088:ONE983126 OXA983088:OXA983126 PGW983088:PGW983126 PQS983088:PQS983126 QAO983088:QAO983126 QKK983088:QKK983126 QUG983088:QUG983126 REC983088:REC983126 RNY983088:RNY983126 RXU983088:RXU983126 SHQ983088:SHQ983126 SRM983088:SRM983126 TBI983088:TBI983126 TLE983088:TLE983126 TVA983088:TVA983126 UEW983088:UEW983126 UOS983088:UOS983126 UYO983088:UYO983126 VIK983088:VIK983126 VSG983088:VSG983126 WCC983088:WCC983126 WLY983088:WLY983126 A65585:A65620 A983089:A983124 A917553:A917588 A852017:A852052 A786481:A786516 A720945:A720980 A655409:A655444 A589873:A589908 A524337:A524372 A458801:A458836 A393265:A393300 A327729:A327764 A262193:A262228 A196657:A196692 A131121:A131156 A6:A84 WVU5:WVU86 WLY5:WLY86 WCC5:WCC86 VSG5:VSG86 VIK5:VIK86 UYO5:UYO86 UOS5:UOS86 UEW5:UEW86 TVA5:TVA86 TLE5:TLE86 TBI5:TBI86 SRM5:SRM86 SHQ5:SHQ86 RXU5:RXU86 RNY5:RNY86 REC5:REC86 QUG5:QUG86 QKK5:QKK86 QAO5:QAO86 PQS5:PQS86 PGW5:PGW86 OXA5:OXA86 ONE5:ONE86 ODI5:ODI86 NTM5:NTM86 NJQ5:NJQ86 MZU5:MZU86 MPY5:MPY86 MGC5:MGC86 LWG5:LWG86 LMK5:LMK86 LCO5:LCO86 KSS5:KSS86 KIW5:KIW86 JZA5:JZA86 JPE5:JPE86 JFI5:JFI86 IVM5:IVM86 ILQ5:ILQ86 IBU5:IBU86 HRY5:HRY86 HIC5:HIC86 GYG5:GYG86 GOK5:GOK86 GEO5:GEO86 FUS5:FUS86 FKW5:FKW86 FBA5:FBA86 ERE5:ERE86 EHI5:EHI86 DXM5:DXM86 DNQ5:DNQ86 DDU5:DDU86 CTY5:CTY86 CKC5:CKC86 CAG5:CAG86 BQK5:BQK86 BGO5:BGO86 AWS5:AWS86 AMW5:AMW86 ADA5:ADA86 TE5:TE86 JI5:JI86"/>
    <dataValidation type="decimal" allowBlank="1" showInputMessage="1" showErrorMessage="1" prompt="bei Zutreffen Stundenzahl eingeben" sqref="WVK983088:WVL983124 IY5:IZ84 SU5:SV84 ACQ5:ACR84 AMM5:AMN84 AWI5:AWJ84 BGE5:BGF84 BQA5:BQB84 BZW5:BZX84 CJS5:CJT84 CTO5:CTP84 DDK5:DDL84 DNG5:DNH84 DXC5:DXD84 EGY5:EGZ84 EQU5:EQV84 FAQ5:FAR84 FKM5:FKN84 FUI5:FUJ84 GEE5:GEF84 GOA5:GOB84 GXW5:GXX84 HHS5:HHT84 HRO5:HRP84 IBK5:IBL84 ILG5:ILH84 IVC5:IVD84 JEY5:JEZ84 JOU5:JOV84 JYQ5:JYR84 KIM5:KIN84 KSI5:KSJ84 LCE5:LCF84 LMA5:LMB84 LVW5:LVX84 MFS5:MFT84 MPO5:MPP84 MZK5:MZL84 NJG5:NJH84 NTC5:NTD84 OCY5:OCZ84 OMU5:OMV84 OWQ5:OWR84 PGM5:PGN84 PQI5:PQJ84 QAE5:QAF84 QKA5:QKB84 QTW5:QTX84 RDS5:RDT84 RNO5:RNP84 RXK5:RXL84 SHG5:SHH84 SRC5:SRD84 TAY5:TAZ84 TKU5:TKV84 TUQ5:TUR84 UEM5:UEN84 UOI5:UOJ84 UYE5:UYF84 VIA5:VIB84 VRW5:VRX84 WBS5:WBT84 WLO5:WLP84 WVK5:WVL84 IY65584:IZ65620 SU65584:SV65620 ACQ65584:ACR65620 AMM65584:AMN65620 AWI65584:AWJ65620 BGE65584:BGF65620 BQA65584:BQB65620 BZW65584:BZX65620 CJS65584:CJT65620 CTO65584:CTP65620 DDK65584:DDL65620 DNG65584:DNH65620 DXC65584:DXD65620 EGY65584:EGZ65620 EQU65584:EQV65620 FAQ65584:FAR65620 FKM65584:FKN65620 FUI65584:FUJ65620 GEE65584:GEF65620 GOA65584:GOB65620 GXW65584:GXX65620 HHS65584:HHT65620 HRO65584:HRP65620 IBK65584:IBL65620 ILG65584:ILH65620 IVC65584:IVD65620 JEY65584:JEZ65620 JOU65584:JOV65620 JYQ65584:JYR65620 KIM65584:KIN65620 KSI65584:KSJ65620 LCE65584:LCF65620 LMA65584:LMB65620 LVW65584:LVX65620 MFS65584:MFT65620 MPO65584:MPP65620 MZK65584:MZL65620 NJG65584:NJH65620 NTC65584:NTD65620 OCY65584:OCZ65620 OMU65584:OMV65620 OWQ65584:OWR65620 PGM65584:PGN65620 PQI65584:PQJ65620 QAE65584:QAF65620 QKA65584:QKB65620 QTW65584:QTX65620 RDS65584:RDT65620 RNO65584:RNP65620 RXK65584:RXL65620 SHG65584:SHH65620 SRC65584:SRD65620 TAY65584:TAZ65620 TKU65584:TKV65620 TUQ65584:TUR65620 UEM65584:UEN65620 UOI65584:UOJ65620 UYE65584:UYF65620 VIA65584:VIB65620 VRW65584:VRX65620 WBS65584:WBT65620 WLO65584:WLP65620 WVK65584:WVL65620 IY131120:IZ131156 SU131120:SV131156 ACQ131120:ACR131156 AMM131120:AMN131156 AWI131120:AWJ131156 BGE131120:BGF131156 BQA131120:BQB131156 BZW131120:BZX131156 CJS131120:CJT131156 CTO131120:CTP131156 DDK131120:DDL131156 DNG131120:DNH131156 DXC131120:DXD131156 EGY131120:EGZ131156 EQU131120:EQV131156 FAQ131120:FAR131156 FKM131120:FKN131156 FUI131120:FUJ131156 GEE131120:GEF131156 GOA131120:GOB131156 GXW131120:GXX131156 HHS131120:HHT131156 HRO131120:HRP131156 IBK131120:IBL131156 ILG131120:ILH131156 IVC131120:IVD131156 JEY131120:JEZ131156 JOU131120:JOV131156 JYQ131120:JYR131156 KIM131120:KIN131156 KSI131120:KSJ131156 LCE131120:LCF131156 LMA131120:LMB131156 LVW131120:LVX131156 MFS131120:MFT131156 MPO131120:MPP131156 MZK131120:MZL131156 NJG131120:NJH131156 NTC131120:NTD131156 OCY131120:OCZ131156 OMU131120:OMV131156 OWQ131120:OWR131156 PGM131120:PGN131156 PQI131120:PQJ131156 QAE131120:QAF131156 QKA131120:QKB131156 QTW131120:QTX131156 RDS131120:RDT131156 RNO131120:RNP131156 RXK131120:RXL131156 SHG131120:SHH131156 SRC131120:SRD131156 TAY131120:TAZ131156 TKU131120:TKV131156 TUQ131120:TUR131156 UEM131120:UEN131156 UOI131120:UOJ131156 UYE131120:UYF131156 VIA131120:VIB131156 VRW131120:VRX131156 WBS131120:WBT131156 WLO131120:WLP131156 WVK131120:WVL131156 IY196656:IZ196692 SU196656:SV196692 ACQ196656:ACR196692 AMM196656:AMN196692 AWI196656:AWJ196692 BGE196656:BGF196692 BQA196656:BQB196692 BZW196656:BZX196692 CJS196656:CJT196692 CTO196656:CTP196692 DDK196656:DDL196692 DNG196656:DNH196692 DXC196656:DXD196692 EGY196656:EGZ196692 EQU196656:EQV196692 FAQ196656:FAR196692 FKM196656:FKN196692 FUI196656:FUJ196692 GEE196656:GEF196692 GOA196656:GOB196692 GXW196656:GXX196692 HHS196656:HHT196692 HRO196656:HRP196692 IBK196656:IBL196692 ILG196656:ILH196692 IVC196656:IVD196692 JEY196656:JEZ196692 JOU196656:JOV196692 JYQ196656:JYR196692 KIM196656:KIN196692 KSI196656:KSJ196692 LCE196656:LCF196692 LMA196656:LMB196692 LVW196656:LVX196692 MFS196656:MFT196692 MPO196656:MPP196692 MZK196656:MZL196692 NJG196656:NJH196692 NTC196656:NTD196692 OCY196656:OCZ196692 OMU196656:OMV196692 OWQ196656:OWR196692 PGM196656:PGN196692 PQI196656:PQJ196692 QAE196656:QAF196692 QKA196656:QKB196692 QTW196656:QTX196692 RDS196656:RDT196692 RNO196656:RNP196692 RXK196656:RXL196692 SHG196656:SHH196692 SRC196656:SRD196692 TAY196656:TAZ196692 TKU196656:TKV196692 TUQ196656:TUR196692 UEM196656:UEN196692 UOI196656:UOJ196692 UYE196656:UYF196692 VIA196656:VIB196692 VRW196656:VRX196692 WBS196656:WBT196692 WLO196656:WLP196692 WVK196656:WVL196692 IY262192:IZ262228 SU262192:SV262228 ACQ262192:ACR262228 AMM262192:AMN262228 AWI262192:AWJ262228 BGE262192:BGF262228 BQA262192:BQB262228 BZW262192:BZX262228 CJS262192:CJT262228 CTO262192:CTP262228 DDK262192:DDL262228 DNG262192:DNH262228 DXC262192:DXD262228 EGY262192:EGZ262228 EQU262192:EQV262228 FAQ262192:FAR262228 FKM262192:FKN262228 FUI262192:FUJ262228 GEE262192:GEF262228 GOA262192:GOB262228 GXW262192:GXX262228 HHS262192:HHT262228 HRO262192:HRP262228 IBK262192:IBL262228 ILG262192:ILH262228 IVC262192:IVD262228 JEY262192:JEZ262228 JOU262192:JOV262228 JYQ262192:JYR262228 KIM262192:KIN262228 KSI262192:KSJ262228 LCE262192:LCF262228 LMA262192:LMB262228 LVW262192:LVX262228 MFS262192:MFT262228 MPO262192:MPP262228 MZK262192:MZL262228 NJG262192:NJH262228 NTC262192:NTD262228 OCY262192:OCZ262228 OMU262192:OMV262228 OWQ262192:OWR262228 PGM262192:PGN262228 PQI262192:PQJ262228 QAE262192:QAF262228 QKA262192:QKB262228 QTW262192:QTX262228 RDS262192:RDT262228 RNO262192:RNP262228 RXK262192:RXL262228 SHG262192:SHH262228 SRC262192:SRD262228 TAY262192:TAZ262228 TKU262192:TKV262228 TUQ262192:TUR262228 UEM262192:UEN262228 UOI262192:UOJ262228 UYE262192:UYF262228 VIA262192:VIB262228 VRW262192:VRX262228 WBS262192:WBT262228 WLO262192:WLP262228 WVK262192:WVL262228 IY327728:IZ327764 SU327728:SV327764 ACQ327728:ACR327764 AMM327728:AMN327764 AWI327728:AWJ327764 BGE327728:BGF327764 BQA327728:BQB327764 BZW327728:BZX327764 CJS327728:CJT327764 CTO327728:CTP327764 DDK327728:DDL327764 DNG327728:DNH327764 DXC327728:DXD327764 EGY327728:EGZ327764 EQU327728:EQV327764 FAQ327728:FAR327764 FKM327728:FKN327764 FUI327728:FUJ327764 GEE327728:GEF327764 GOA327728:GOB327764 GXW327728:GXX327764 HHS327728:HHT327764 HRO327728:HRP327764 IBK327728:IBL327764 ILG327728:ILH327764 IVC327728:IVD327764 JEY327728:JEZ327764 JOU327728:JOV327764 JYQ327728:JYR327764 KIM327728:KIN327764 KSI327728:KSJ327764 LCE327728:LCF327764 LMA327728:LMB327764 LVW327728:LVX327764 MFS327728:MFT327764 MPO327728:MPP327764 MZK327728:MZL327764 NJG327728:NJH327764 NTC327728:NTD327764 OCY327728:OCZ327764 OMU327728:OMV327764 OWQ327728:OWR327764 PGM327728:PGN327764 PQI327728:PQJ327764 QAE327728:QAF327764 QKA327728:QKB327764 QTW327728:QTX327764 RDS327728:RDT327764 RNO327728:RNP327764 RXK327728:RXL327764 SHG327728:SHH327764 SRC327728:SRD327764 TAY327728:TAZ327764 TKU327728:TKV327764 TUQ327728:TUR327764 UEM327728:UEN327764 UOI327728:UOJ327764 UYE327728:UYF327764 VIA327728:VIB327764 VRW327728:VRX327764 WBS327728:WBT327764 WLO327728:WLP327764 WVK327728:WVL327764 IY393264:IZ393300 SU393264:SV393300 ACQ393264:ACR393300 AMM393264:AMN393300 AWI393264:AWJ393300 BGE393264:BGF393300 BQA393264:BQB393300 BZW393264:BZX393300 CJS393264:CJT393300 CTO393264:CTP393300 DDK393264:DDL393300 DNG393264:DNH393300 DXC393264:DXD393300 EGY393264:EGZ393300 EQU393264:EQV393300 FAQ393264:FAR393300 FKM393264:FKN393300 FUI393264:FUJ393300 GEE393264:GEF393300 GOA393264:GOB393300 GXW393264:GXX393300 HHS393264:HHT393300 HRO393264:HRP393300 IBK393264:IBL393300 ILG393264:ILH393300 IVC393264:IVD393300 JEY393264:JEZ393300 JOU393264:JOV393300 JYQ393264:JYR393300 KIM393264:KIN393300 KSI393264:KSJ393300 LCE393264:LCF393300 LMA393264:LMB393300 LVW393264:LVX393300 MFS393264:MFT393300 MPO393264:MPP393300 MZK393264:MZL393300 NJG393264:NJH393300 NTC393264:NTD393300 OCY393264:OCZ393300 OMU393264:OMV393300 OWQ393264:OWR393300 PGM393264:PGN393300 PQI393264:PQJ393300 QAE393264:QAF393300 QKA393264:QKB393300 QTW393264:QTX393300 RDS393264:RDT393300 RNO393264:RNP393300 RXK393264:RXL393300 SHG393264:SHH393300 SRC393264:SRD393300 TAY393264:TAZ393300 TKU393264:TKV393300 TUQ393264:TUR393300 UEM393264:UEN393300 UOI393264:UOJ393300 UYE393264:UYF393300 VIA393264:VIB393300 VRW393264:VRX393300 WBS393264:WBT393300 WLO393264:WLP393300 WVK393264:WVL393300 IY458800:IZ458836 SU458800:SV458836 ACQ458800:ACR458836 AMM458800:AMN458836 AWI458800:AWJ458836 BGE458800:BGF458836 BQA458800:BQB458836 BZW458800:BZX458836 CJS458800:CJT458836 CTO458800:CTP458836 DDK458800:DDL458836 DNG458800:DNH458836 DXC458800:DXD458836 EGY458800:EGZ458836 EQU458800:EQV458836 FAQ458800:FAR458836 FKM458800:FKN458836 FUI458800:FUJ458836 GEE458800:GEF458836 GOA458800:GOB458836 GXW458800:GXX458836 HHS458800:HHT458836 HRO458800:HRP458836 IBK458800:IBL458836 ILG458800:ILH458836 IVC458800:IVD458836 JEY458800:JEZ458836 JOU458800:JOV458836 JYQ458800:JYR458836 KIM458800:KIN458836 KSI458800:KSJ458836 LCE458800:LCF458836 LMA458800:LMB458836 LVW458800:LVX458836 MFS458800:MFT458836 MPO458800:MPP458836 MZK458800:MZL458836 NJG458800:NJH458836 NTC458800:NTD458836 OCY458800:OCZ458836 OMU458800:OMV458836 OWQ458800:OWR458836 PGM458800:PGN458836 PQI458800:PQJ458836 QAE458800:QAF458836 QKA458800:QKB458836 QTW458800:QTX458836 RDS458800:RDT458836 RNO458800:RNP458836 RXK458800:RXL458836 SHG458800:SHH458836 SRC458800:SRD458836 TAY458800:TAZ458836 TKU458800:TKV458836 TUQ458800:TUR458836 UEM458800:UEN458836 UOI458800:UOJ458836 UYE458800:UYF458836 VIA458800:VIB458836 VRW458800:VRX458836 WBS458800:WBT458836 WLO458800:WLP458836 WVK458800:WVL458836 IY524336:IZ524372 SU524336:SV524372 ACQ524336:ACR524372 AMM524336:AMN524372 AWI524336:AWJ524372 BGE524336:BGF524372 BQA524336:BQB524372 BZW524336:BZX524372 CJS524336:CJT524372 CTO524336:CTP524372 DDK524336:DDL524372 DNG524336:DNH524372 DXC524336:DXD524372 EGY524336:EGZ524372 EQU524336:EQV524372 FAQ524336:FAR524372 FKM524336:FKN524372 FUI524336:FUJ524372 GEE524336:GEF524372 GOA524336:GOB524372 GXW524336:GXX524372 HHS524336:HHT524372 HRO524336:HRP524372 IBK524336:IBL524372 ILG524336:ILH524372 IVC524336:IVD524372 JEY524336:JEZ524372 JOU524336:JOV524372 JYQ524336:JYR524372 KIM524336:KIN524372 KSI524336:KSJ524372 LCE524336:LCF524372 LMA524336:LMB524372 LVW524336:LVX524372 MFS524336:MFT524372 MPO524336:MPP524372 MZK524336:MZL524372 NJG524336:NJH524372 NTC524336:NTD524372 OCY524336:OCZ524372 OMU524336:OMV524372 OWQ524336:OWR524372 PGM524336:PGN524372 PQI524336:PQJ524372 QAE524336:QAF524372 QKA524336:QKB524372 QTW524336:QTX524372 RDS524336:RDT524372 RNO524336:RNP524372 RXK524336:RXL524372 SHG524336:SHH524372 SRC524336:SRD524372 TAY524336:TAZ524372 TKU524336:TKV524372 TUQ524336:TUR524372 UEM524336:UEN524372 UOI524336:UOJ524372 UYE524336:UYF524372 VIA524336:VIB524372 VRW524336:VRX524372 WBS524336:WBT524372 WLO524336:WLP524372 WVK524336:WVL524372 IY589872:IZ589908 SU589872:SV589908 ACQ589872:ACR589908 AMM589872:AMN589908 AWI589872:AWJ589908 BGE589872:BGF589908 BQA589872:BQB589908 BZW589872:BZX589908 CJS589872:CJT589908 CTO589872:CTP589908 DDK589872:DDL589908 DNG589872:DNH589908 DXC589872:DXD589908 EGY589872:EGZ589908 EQU589872:EQV589908 FAQ589872:FAR589908 FKM589872:FKN589908 FUI589872:FUJ589908 GEE589872:GEF589908 GOA589872:GOB589908 GXW589872:GXX589908 HHS589872:HHT589908 HRO589872:HRP589908 IBK589872:IBL589908 ILG589872:ILH589908 IVC589872:IVD589908 JEY589872:JEZ589908 JOU589872:JOV589908 JYQ589872:JYR589908 KIM589872:KIN589908 KSI589872:KSJ589908 LCE589872:LCF589908 LMA589872:LMB589908 LVW589872:LVX589908 MFS589872:MFT589908 MPO589872:MPP589908 MZK589872:MZL589908 NJG589872:NJH589908 NTC589872:NTD589908 OCY589872:OCZ589908 OMU589872:OMV589908 OWQ589872:OWR589908 PGM589872:PGN589908 PQI589872:PQJ589908 QAE589872:QAF589908 QKA589872:QKB589908 QTW589872:QTX589908 RDS589872:RDT589908 RNO589872:RNP589908 RXK589872:RXL589908 SHG589872:SHH589908 SRC589872:SRD589908 TAY589872:TAZ589908 TKU589872:TKV589908 TUQ589872:TUR589908 UEM589872:UEN589908 UOI589872:UOJ589908 UYE589872:UYF589908 VIA589872:VIB589908 VRW589872:VRX589908 WBS589872:WBT589908 WLO589872:WLP589908 WVK589872:WVL589908 IY655408:IZ655444 SU655408:SV655444 ACQ655408:ACR655444 AMM655408:AMN655444 AWI655408:AWJ655444 BGE655408:BGF655444 BQA655408:BQB655444 BZW655408:BZX655444 CJS655408:CJT655444 CTO655408:CTP655444 DDK655408:DDL655444 DNG655408:DNH655444 DXC655408:DXD655444 EGY655408:EGZ655444 EQU655408:EQV655444 FAQ655408:FAR655444 FKM655408:FKN655444 FUI655408:FUJ655444 GEE655408:GEF655444 GOA655408:GOB655444 GXW655408:GXX655444 HHS655408:HHT655444 HRO655408:HRP655444 IBK655408:IBL655444 ILG655408:ILH655444 IVC655408:IVD655444 JEY655408:JEZ655444 JOU655408:JOV655444 JYQ655408:JYR655444 KIM655408:KIN655444 KSI655408:KSJ655444 LCE655408:LCF655444 LMA655408:LMB655444 LVW655408:LVX655444 MFS655408:MFT655444 MPO655408:MPP655444 MZK655408:MZL655444 NJG655408:NJH655444 NTC655408:NTD655444 OCY655408:OCZ655444 OMU655408:OMV655444 OWQ655408:OWR655444 PGM655408:PGN655444 PQI655408:PQJ655444 QAE655408:QAF655444 QKA655408:QKB655444 QTW655408:QTX655444 RDS655408:RDT655444 RNO655408:RNP655444 RXK655408:RXL655444 SHG655408:SHH655444 SRC655408:SRD655444 TAY655408:TAZ655444 TKU655408:TKV655444 TUQ655408:TUR655444 UEM655408:UEN655444 UOI655408:UOJ655444 UYE655408:UYF655444 VIA655408:VIB655444 VRW655408:VRX655444 WBS655408:WBT655444 WLO655408:WLP655444 WVK655408:WVL655444 IY720944:IZ720980 SU720944:SV720980 ACQ720944:ACR720980 AMM720944:AMN720980 AWI720944:AWJ720980 BGE720944:BGF720980 BQA720944:BQB720980 BZW720944:BZX720980 CJS720944:CJT720980 CTO720944:CTP720980 DDK720944:DDL720980 DNG720944:DNH720980 DXC720944:DXD720980 EGY720944:EGZ720980 EQU720944:EQV720980 FAQ720944:FAR720980 FKM720944:FKN720980 FUI720944:FUJ720980 GEE720944:GEF720980 GOA720944:GOB720980 GXW720944:GXX720980 HHS720944:HHT720980 HRO720944:HRP720980 IBK720944:IBL720980 ILG720944:ILH720980 IVC720944:IVD720980 JEY720944:JEZ720980 JOU720944:JOV720980 JYQ720944:JYR720980 KIM720944:KIN720980 KSI720944:KSJ720980 LCE720944:LCF720980 LMA720944:LMB720980 LVW720944:LVX720980 MFS720944:MFT720980 MPO720944:MPP720980 MZK720944:MZL720980 NJG720944:NJH720980 NTC720944:NTD720980 OCY720944:OCZ720980 OMU720944:OMV720980 OWQ720944:OWR720980 PGM720944:PGN720980 PQI720944:PQJ720980 QAE720944:QAF720980 QKA720944:QKB720980 QTW720944:QTX720980 RDS720944:RDT720980 RNO720944:RNP720980 RXK720944:RXL720980 SHG720944:SHH720980 SRC720944:SRD720980 TAY720944:TAZ720980 TKU720944:TKV720980 TUQ720944:TUR720980 UEM720944:UEN720980 UOI720944:UOJ720980 UYE720944:UYF720980 VIA720944:VIB720980 VRW720944:VRX720980 WBS720944:WBT720980 WLO720944:WLP720980 WVK720944:WVL720980 IY786480:IZ786516 SU786480:SV786516 ACQ786480:ACR786516 AMM786480:AMN786516 AWI786480:AWJ786516 BGE786480:BGF786516 BQA786480:BQB786516 BZW786480:BZX786516 CJS786480:CJT786516 CTO786480:CTP786516 DDK786480:DDL786516 DNG786480:DNH786516 DXC786480:DXD786516 EGY786480:EGZ786516 EQU786480:EQV786516 FAQ786480:FAR786516 FKM786480:FKN786516 FUI786480:FUJ786516 GEE786480:GEF786516 GOA786480:GOB786516 GXW786480:GXX786516 HHS786480:HHT786516 HRO786480:HRP786516 IBK786480:IBL786516 ILG786480:ILH786516 IVC786480:IVD786516 JEY786480:JEZ786516 JOU786480:JOV786516 JYQ786480:JYR786516 KIM786480:KIN786516 KSI786480:KSJ786516 LCE786480:LCF786516 LMA786480:LMB786516 LVW786480:LVX786516 MFS786480:MFT786516 MPO786480:MPP786516 MZK786480:MZL786516 NJG786480:NJH786516 NTC786480:NTD786516 OCY786480:OCZ786516 OMU786480:OMV786516 OWQ786480:OWR786516 PGM786480:PGN786516 PQI786480:PQJ786516 QAE786480:QAF786516 QKA786480:QKB786516 QTW786480:QTX786516 RDS786480:RDT786516 RNO786480:RNP786516 RXK786480:RXL786516 SHG786480:SHH786516 SRC786480:SRD786516 TAY786480:TAZ786516 TKU786480:TKV786516 TUQ786480:TUR786516 UEM786480:UEN786516 UOI786480:UOJ786516 UYE786480:UYF786516 VIA786480:VIB786516 VRW786480:VRX786516 WBS786480:WBT786516 WLO786480:WLP786516 WVK786480:WVL786516 IY852016:IZ852052 SU852016:SV852052 ACQ852016:ACR852052 AMM852016:AMN852052 AWI852016:AWJ852052 BGE852016:BGF852052 BQA852016:BQB852052 BZW852016:BZX852052 CJS852016:CJT852052 CTO852016:CTP852052 DDK852016:DDL852052 DNG852016:DNH852052 DXC852016:DXD852052 EGY852016:EGZ852052 EQU852016:EQV852052 FAQ852016:FAR852052 FKM852016:FKN852052 FUI852016:FUJ852052 GEE852016:GEF852052 GOA852016:GOB852052 GXW852016:GXX852052 HHS852016:HHT852052 HRO852016:HRP852052 IBK852016:IBL852052 ILG852016:ILH852052 IVC852016:IVD852052 JEY852016:JEZ852052 JOU852016:JOV852052 JYQ852016:JYR852052 KIM852016:KIN852052 KSI852016:KSJ852052 LCE852016:LCF852052 LMA852016:LMB852052 LVW852016:LVX852052 MFS852016:MFT852052 MPO852016:MPP852052 MZK852016:MZL852052 NJG852016:NJH852052 NTC852016:NTD852052 OCY852016:OCZ852052 OMU852016:OMV852052 OWQ852016:OWR852052 PGM852016:PGN852052 PQI852016:PQJ852052 QAE852016:QAF852052 QKA852016:QKB852052 QTW852016:QTX852052 RDS852016:RDT852052 RNO852016:RNP852052 RXK852016:RXL852052 SHG852016:SHH852052 SRC852016:SRD852052 TAY852016:TAZ852052 TKU852016:TKV852052 TUQ852016:TUR852052 UEM852016:UEN852052 UOI852016:UOJ852052 UYE852016:UYF852052 VIA852016:VIB852052 VRW852016:VRX852052 WBS852016:WBT852052 WLO852016:WLP852052 WVK852016:WVL852052 IY917552:IZ917588 SU917552:SV917588 ACQ917552:ACR917588 AMM917552:AMN917588 AWI917552:AWJ917588 BGE917552:BGF917588 BQA917552:BQB917588 BZW917552:BZX917588 CJS917552:CJT917588 CTO917552:CTP917588 DDK917552:DDL917588 DNG917552:DNH917588 DXC917552:DXD917588 EGY917552:EGZ917588 EQU917552:EQV917588 FAQ917552:FAR917588 FKM917552:FKN917588 FUI917552:FUJ917588 GEE917552:GEF917588 GOA917552:GOB917588 GXW917552:GXX917588 HHS917552:HHT917588 HRO917552:HRP917588 IBK917552:IBL917588 ILG917552:ILH917588 IVC917552:IVD917588 JEY917552:JEZ917588 JOU917552:JOV917588 JYQ917552:JYR917588 KIM917552:KIN917588 KSI917552:KSJ917588 LCE917552:LCF917588 LMA917552:LMB917588 LVW917552:LVX917588 MFS917552:MFT917588 MPO917552:MPP917588 MZK917552:MZL917588 NJG917552:NJH917588 NTC917552:NTD917588 OCY917552:OCZ917588 OMU917552:OMV917588 OWQ917552:OWR917588 PGM917552:PGN917588 PQI917552:PQJ917588 QAE917552:QAF917588 QKA917552:QKB917588 QTW917552:QTX917588 RDS917552:RDT917588 RNO917552:RNP917588 RXK917552:RXL917588 SHG917552:SHH917588 SRC917552:SRD917588 TAY917552:TAZ917588 TKU917552:TKV917588 TUQ917552:TUR917588 UEM917552:UEN917588 UOI917552:UOJ917588 UYE917552:UYF917588 VIA917552:VIB917588 VRW917552:VRX917588 WBS917552:WBT917588 WLO917552:WLP917588 WVK917552:WVL917588 IY983088:IZ983124 SU983088:SV983124 ACQ983088:ACR983124 AMM983088:AMN983124 AWI983088:AWJ983124 BGE983088:BGF983124 BQA983088:BQB983124 BZW983088:BZX983124 CJS983088:CJT983124 CTO983088:CTP983124 DDK983088:DDL983124 DNG983088:DNH983124 DXC983088:DXD983124 EGY983088:EGZ983124 EQU983088:EQV983124 FAQ983088:FAR983124 FKM983088:FKN983124 FUI983088:FUJ983124 GEE983088:GEF983124 GOA983088:GOB983124 GXW983088:GXX983124 HHS983088:HHT983124 HRO983088:HRP983124 IBK983088:IBL983124 ILG983088:ILH983124 IVC983088:IVD983124 JEY983088:JEZ983124 JOU983088:JOV983124 JYQ983088:JYR983124 KIM983088:KIN983124 KSI983088:KSJ983124 LCE983088:LCF983124 LMA983088:LMB983124 LVW983088:LVX983124 MFS983088:MFT983124 MPO983088:MPP983124 MZK983088:MZL983124 NJG983088:NJH983124 NTC983088:NTD983124 OCY983088:OCZ983124 OMU983088:OMV983124 OWQ983088:OWR983124 PGM983088:PGN983124 PQI983088:PQJ983124 QAE983088:QAF983124 QKA983088:QKB983124 QTW983088:QTX983124 RDS983088:RDT983124 RNO983088:RNP983124 RXK983088:RXL983124 SHG983088:SHH983124 SRC983088:SRD983124 TAY983088:TAZ983124 TKU983088:TKV983124 TUQ983088:TUR983124 UEM983088:UEN983124 UOI983088:UOJ983124 UYE983088:UYF983124 VIA983088:VIB983124 VRW983088:VRX983124 WBS983088:WBT983124 WLO983088:WLP983124 L983088:L983124 G983088:G983124 L917552:L917588 G917552:G917588 L852016:L852052 G852016:G852052 L786480:L786516 G786480:G786516 L720944:L720980 G720944:G720980 L655408:L655444 G655408:G655444 L589872:L589908 G589872:G589908 L524336:L524372 G524336:G524372 L458800:L458836 G458800:G458836 L393264:L393300 G393264:G393300 L327728:L327764 G327728:G327764 L262192:L262228 G262192:G262228 L196656:L196692 G196656:G196692 L131120:L131156 G131120:G131156 L65584:L65620 G65584:G65620">
      <formula1>0</formula1>
      <formula2>40</formula2>
    </dataValidation>
    <dataValidation type="decimal" allowBlank="1" showInputMessage="1" showErrorMessage="1" error="bitte Stundenzahl eingeben!" sqref="WVN983088:WVQ983124 JB5:JE84 SX5:TA84 ACT5:ACW84 AMP5:AMS84 AWL5:AWO84 BGH5:BGK84 BQD5:BQG84 BZZ5:CAC84 CJV5:CJY84 CTR5:CTU84 DDN5:DDQ84 DNJ5:DNM84 DXF5:DXI84 EHB5:EHE84 EQX5:ERA84 FAT5:FAW84 FKP5:FKS84 FUL5:FUO84 GEH5:GEK84 GOD5:GOG84 GXZ5:GYC84 HHV5:HHY84 HRR5:HRU84 IBN5:IBQ84 ILJ5:ILM84 IVF5:IVI84 JFB5:JFE84 JOX5:JPA84 JYT5:JYW84 KIP5:KIS84 KSL5:KSO84 LCH5:LCK84 LMD5:LMG84 LVZ5:LWC84 MFV5:MFY84 MPR5:MPU84 MZN5:MZQ84 NJJ5:NJM84 NTF5:NTI84 ODB5:ODE84 OMX5:ONA84 OWT5:OWW84 PGP5:PGS84 PQL5:PQO84 QAH5:QAK84 QKD5:QKG84 QTZ5:QUC84 RDV5:RDY84 RNR5:RNU84 RXN5:RXQ84 SHJ5:SHM84 SRF5:SRI84 TBB5:TBE84 TKX5:TLA84 TUT5:TUW84 UEP5:UES84 UOL5:UOO84 UYH5:UYK84 VID5:VIG84 VRZ5:VSC84 WBV5:WBY84 WLR5:WLU84 WVN5:WVQ84 H131120:K131156 JB65584:JE65620 SX65584:TA65620 ACT65584:ACW65620 AMP65584:AMS65620 AWL65584:AWO65620 BGH65584:BGK65620 BQD65584:BQG65620 BZZ65584:CAC65620 CJV65584:CJY65620 CTR65584:CTU65620 DDN65584:DDQ65620 DNJ65584:DNM65620 DXF65584:DXI65620 EHB65584:EHE65620 EQX65584:ERA65620 FAT65584:FAW65620 FKP65584:FKS65620 FUL65584:FUO65620 GEH65584:GEK65620 GOD65584:GOG65620 GXZ65584:GYC65620 HHV65584:HHY65620 HRR65584:HRU65620 IBN65584:IBQ65620 ILJ65584:ILM65620 IVF65584:IVI65620 JFB65584:JFE65620 JOX65584:JPA65620 JYT65584:JYW65620 KIP65584:KIS65620 KSL65584:KSO65620 LCH65584:LCK65620 LMD65584:LMG65620 LVZ65584:LWC65620 MFV65584:MFY65620 MPR65584:MPU65620 MZN65584:MZQ65620 NJJ65584:NJM65620 NTF65584:NTI65620 ODB65584:ODE65620 OMX65584:ONA65620 OWT65584:OWW65620 PGP65584:PGS65620 PQL65584:PQO65620 QAH65584:QAK65620 QKD65584:QKG65620 QTZ65584:QUC65620 RDV65584:RDY65620 RNR65584:RNU65620 RXN65584:RXQ65620 SHJ65584:SHM65620 SRF65584:SRI65620 TBB65584:TBE65620 TKX65584:TLA65620 TUT65584:TUW65620 UEP65584:UES65620 UOL65584:UOO65620 UYH65584:UYK65620 VID65584:VIG65620 VRZ65584:VSC65620 WBV65584:WBY65620 WLR65584:WLU65620 WVN65584:WVQ65620 H196656:K196692 JB131120:JE131156 SX131120:TA131156 ACT131120:ACW131156 AMP131120:AMS131156 AWL131120:AWO131156 BGH131120:BGK131156 BQD131120:BQG131156 BZZ131120:CAC131156 CJV131120:CJY131156 CTR131120:CTU131156 DDN131120:DDQ131156 DNJ131120:DNM131156 DXF131120:DXI131156 EHB131120:EHE131156 EQX131120:ERA131156 FAT131120:FAW131156 FKP131120:FKS131156 FUL131120:FUO131156 GEH131120:GEK131156 GOD131120:GOG131156 GXZ131120:GYC131156 HHV131120:HHY131156 HRR131120:HRU131156 IBN131120:IBQ131156 ILJ131120:ILM131156 IVF131120:IVI131156 JFB131120:JFE131156 JOX131120:JPA131156 JYT131120:JYW131156 KIP131120:KIS131156 KSL131120:KSO131156 LCH131120:LCK131156 LMD131120:LMG131156 LVZ131120:LWC131156 MFV131120:MFY131156 MPR131120:MPU131156 MZN131120:MZQ131156 NJJ131120:NJM131156 NTF131120:NTI131156 ODB131120:ODE131156 OMX131120:ONA131156 OWT131120:OWW131156 PGP131120:PGS131156 PQL131120:PQO131156 QAH131120:QAK131156 QKD131120:QKG131156 QTZ131120:QUC131156 RDV131120:RDY131156 RNR131120:RNU131156 RXN131120:RXQ131156 SHJ131120:SHM131156 SRF131120:SRI131156 TBB131120:TBE131156 TKX131120:TLA131156 TUT131120:TUW131156 UEP131120:UES131156 UOL131120:UOO131156 UYH131120:UYK131156 VID131120:VIG131156 VRZ131120:VSC131156 WBV131120:WBY131156 WLR131120:WLU131156 WVN131120:WVQ131156 H262192:K262228 JB196656:JE196692 SX196656:TA196692 ACT196656:ACW196692 AMP196656:AMS196692 AWL196656:AWO196692 BGH196656:BGK196692 BQD196656:BQG196692 BZZ196656:CAC196692 CJV196656:CJY196692 CTR196656:CTU196692 DDN196656:DDQ196692 DNJ196656:DNM196692 DXF196656:DXI196692 EHB196656:EHE196692 EQX196656:ERA196692 FAT196656:FAW196692 FKP196656:FKS196692 FUL196656:FUO196692 GEH196656:GEK196692 GOD196656:GOG196692 GXZ196656:GYC196692 HHV196656:HHY196692 HRR196656:HRU196692 IBN196656:IBQ196692 ILJ196656:ILM196692 IVF196656:IVI196692 JFB196656:JFE196692 JOX196656:JPA196692 JYT196656:JYW196692 KIP196656:KIS196692 KSL196656:KSO196692 LCH196656:LCK196692 LMD196656:LMG196692 LVZ196656:LWC196692 MFV196656:MFY196692 MPR196656:MPU196692 MZN196656:MZQ196692 NJJ196656:NJM196692 NTF196656:NTI196692 ODB196656:ODE196692 OMX196656:ONA196692 OWT196656:OWW196692 PGP196656:PGS196692 PQL196656:PQO196692 QAH196656:QAK196692 QKD196656:QKG196692 QTZ196656:QUC196692 RDV196656:RDY196692 RNR196656:RNU196692 RXN196656:RXQ196692 SHJ196656:SHM196692 SRF196656:SRI196692 TBB196656:TBE196692 TKX196656:TLA196692 TUT196656:TUW196692 UEP196656:UES196692 UOL196656:UOO196692 UYH196656:UYK196692 VID196656:VIG196692 VRZ196656:VSC196692 WBV196656:WBY196692 WLR196656:WLU196692 WVN196656:WVQ196692 H327728:K327764 JB262192:JE262228 SX262192:TA262228 ACT262192:ACW262228 AMP262192:AMS262228 AWL262192:AWO262228 BGH262192:BGK262228 BQD262192:BQG262228 BZZ262192:CAC262228 CJV262192:CJY262228 CTR262192:CTU262228 DDN262192:DDQ262228 DNJ262192:DNM262228 DXF262192:DXI262228 EHB262192:EHE262228 EQX262192:ERA262228 FAT262192:FAW262228 FKP262192:FKS262228 FUL262192:FUO262228 GEH262192:GEK262228 GOD262192:GOG262228 GXZ262192:GYC262228 HHV262192:HHY262228 HRR262192:HRU262228 IBN262192:IBQ262228 ILJ262192:ILM262228 IVF262192:IVI262228 JFB262192:JFE262228 JOX262192:JPA262228 JYT262192:JYW262228 KIP262192:KIS262228 KSL262192:KSO262228 LCH262192:LCK262228 LMD262192:LMG262228 LVZ262192:LWC262228 MFV262192:MFY262228 MPR262192:MPU262228 MZN262192:MZQ262228 NJJ262192:NJM262228 NTF262192:NTI262228 ODB262192:ODE262228 OMX262192:ONA262228 OWT262192:OWW262228 PGP262192:PGS262228 PQL262192:PQO262228 QAH262192:QAK262228 QKD262192:QKG262228 QTZ262192:QUC262228 RDV262192:RDY262228 RNR262192:RNU262228 RXN262192:RXQ262228 SHJ262192:SHM262228 SRF262192:SRI262228 TBB262192:TBE262228 TKX262192:TLA262228 TUT262192:TUW262228 UEP262192:UES262228 UOL262192:UOO262228 UYH262192:UYK262228 VID262192:VIG262228 VRZ262192:VSC262228 WBV262192:WBY262228 WLR262192:WLU262228 WVN262192:WVQ262228 H393264:K393300 JB327728:JE327764 SX327728:TA327764 ACT327728:ACW327764 AMP327728:AMS327764 AWL327728:AWO327764 BGH327728:BGK327764 BQD327728:BQG327764 BZZ327728:CAC327764 CJV327728:CJY327764 CTR327728:CTU327764 DDN327728:DDQ327764 DNJ327728:DNM327764 DXF327728:DXI327764 EHB327728:EHE327764 EQX327728:ERA327764 FAT327728:FAW327764 FKP327728:FKS327764 FUL327728:FUO327764 GEH327728:GEK327764 GOD327728:GOG327764 GXZ327728:GYC327764 HHV327728:HHY327764 HRR327728:HRU327764 IBN327728:IBQ327764 ILJ327728:ILM327764 IVF327728:IVI327764 JFB327728:JFE327764 JOX327728:JPA327764 JYT327728:JYW327764 KIP327728:KIS327764 KSL327728:KSO327764 LCH327728:LCK327764 LMD327728:LMG327764 LVZ327728:LWC327764 MFV327728:MFY327764 MPR327728:MPU327764 MZN327728:MZQ327764 NJJ327728:NJM327764 NTF327728:NTI327764 ODB327728:ODE327764 OMX327728:ONA327764 OWT327728:OWW327764 PGP327728:PGS327764 PQL327728:PQO327764 QAH327728:QAK327764 QKD327728:QKG327764 QTZ327728:QUC327764 RDV327728:RDY327764 RNR327728:RNU327764 RXN327728:RXQ327764 SHJ327728:SHM327764 SRF327728:SRI327764 TBB327728:TBE327764 TKX327728:TLA327764 TUT327728:TUW327764 UEP327728:UES327764 UOL327728:UOO327764 UYH327728:UYK327764 VID327728:VIG327764 VRZ327728:VSC327764 WBV327728:WBY327764 WLR327728:WLU327764 WVN327728:WVQ327764 H458800:K458836 JB393264:JE393300 SX393264:TA393300 ACT393264:ACW393300 AMP393264:AMS393300 AWL393264:AWO393300 BGH393264:BGK393300 BQD393264:BQG393300 BZZ393264:CAC393300 CJV393264:CJY393300 CTR393264:CTU393300 DDN393264:DDQ393300 DNJ393264:DNM393300 DXF393264:DXI393300 EHB393264:EHE393300 EQX393264:ERA393300 FAT393264:FAW393300 FKP393264:FKS393300 FUL393264:FUO393300 GEH393264:GEK393300 GOD393264:GOG393300 GXZ393264:GYC393300 HHV393264:HHY393300 HRR393264:HRU393300 IBN393264:IBQ393300 ILJ393264:ILM393300 IVF393264:IVI393300 JFB393264:JFE393300 JOX393264:JPA393300 JYT393264:JYW393300 KIP393264:KIS393300 KSL393264:KSO393300 LCH393264:LCK393300 LMD393264:LMG393300 LVZ393264:LWC393300 MFV393264:MFY393300 MPR393264:MPU393300 MZN393264:MZQ393300 NJJ393264:NJM393300 NTF393264:NTI393300 ODB393264:ODE393300 OMX393264:ONA393300 OWT393264:OWW393300 PGP393264:PGS393300 PQL393264:PQO393300 QAH393264:QAK393300 QKD393264:QKG393300 QTZ393264:QUC393300 RDV393264:RDY393300 RNR393264:RNU393300 RXN393264:RXQ393300 SHJ393264:SHM393300 SRF393264:SRI393300 TBB393264:TBE393300 TKX393264:TLA393300 TUT393264:TUW393300 UEP393264:UES393300 UOL393264:UOO393300 UYH393264:UYK393300 VID393264:VIG393300 VRZ393264:VSC393300 WBV393264:WBY393300 WLR393264:WLU393300 WVN393264:WVQ393300 H524336:K524372 JB458800:JE458836 SX458800:TA458836 ACT458800:ACW458836 AMP458800:AMS458836 AWL458800:AWO458836 BGH458800:BGK458836 BQD458800:BQG458836 BZZ458800:CAC458836 CJV458800:CJY458836 CTR458800:CTU458836 DDN458800:DDQ458836 DNJ458800:DNM458836 DXF458800:DXI458836 EHB458800:EHE458836 EQX458800:ERA458836 FAT458800:FAW458836 FKP458800:FKS458836 FUL458800:FUO458836 GEH458800:GEK458836 GOD458800:GOG458836 GXZ458800:GYC458836 HHV458800:HHY458836 HRR458800:HRU458836 IBN458800:IBQ458836 ILJ458800:ILM458836 IVF458800:IVI458836 JFB458800:JFE458836 JOX458800:JPA458836 JYT458800:JYW458836 KIP458800:KIS458836 KSL458800:KSO458836 LCH458800:LCK458836 LMD458800:LMG458836 LVZ458800:LWC458836 MFV458800:MFY458836 MPR458800:MPU458836 MZN458800:MZQ458836 NJJ458800:NJM458836 NTF458800:NTI458836 ODB458800:ODE458836 OMX458800:ONA458836 OWT458800:OWW458836 PGP458800:PGS458836 PQL458800:PQO458836 QAH458800:QAK458836 QKD458800:QKG458836 QTZ458800:QUC458836 RDV458800:RDY458836 RNR458800:RNU458836 RXN458800:RXQ458836 SHJ458800:SHM458836 SRF458800:SRI458836 TBB458800:TBE458836 TKX458800:TLA458836 TUT458800:TUW458836 UEP458800:UES458836 UOL458800:UOO458836 UYH458800:UYK458836 VID458800:VIG458836 VRZ458800:VSC458836 WBV458800:WBY458836 WLR458800:WLU458836 WVN458800:WVQ458836 H589872:K589908 JB524336:JE524372 SX524336:TA524372 ACT524336:ACW524372 AMP524336:AMS524372 AWL524336:AWO524372 BGH524336:BGK524372 BQD524336:BQG524372 BZZ524336:CAC524372 CJV524336:CJY524372 CTR524336:CTU524372 DDN524336:DDQ524372 DNJ524336:DNM524372 DXF524336:DXI524372 EHB524336:EHE524372 EQX524336:ERA524372 FAT524336:FAW524372 FKP524336:FKS524372 FUL524336:FUO524372 GEH524336:GEK524372 GOD524336:GOG524372 GXZ524336:GYC524372 HHV524336:HHY524372 HRR524336:HRU524372 IBN524336:IBQ524372 ILJ524336:ILM524372 IVF524336:IVI524372 JFB524336:JFE524372 JOX524336:JPA524372 JYT524336:JYW524372 KIP524336:KIS524372 KSL524336:KSO524372 LCH524336:LCK524372 LMD524336:LMG524372 LVZ524336:LWC524372 MFV524336:MFY524372 MPR524336:MPU524372 MZN524336:MZQ524372 NJJ524336:NJM524372 NTF524336:NTI524372 ODB524336:ODE524372 OMX524336:ONA524372 OWT524336:OWW524372 PGP524336:PGS524372 PQL524336:PQO524372 QAH524336:QAK524372 QKD524336:QKG524372 QTZ524336:QUC524372 RDV524336:RDY524372 RNR524336:RNU524372 RXN524336:RXQ524372 SHJ524336:SHM524372 SRF524336:SRI524372 TBB524336:TBE524372 TKX524336:TLA524372 TUT524336:TUW524372 UEP524336:UES524372 UOL524336:UOO524372 UYH524336:UYK524372 VID524336:VIG524372 VRZ524336:VSC524372 WBV524336:WBY524372 WLR524336:WLU524372 WVN524336:WVQ524372 H655408:K655444 JB589872:JE589908 SX589872:TA589908 ACT589872:ACW589908 AMP589872:AMS589908 AWL589872:AWO589908 BGH589872:BGK589908 BQD589872:BQG589908 BZZ589872:CAC589908 CJV589872:CJY589908 CTR589872:CTU589908 DDN589872:DDQ589908 DNJ589872:DNM589908 DXF589872:DXI589908 EHB589872:EHE589908 EQX589872:ERA589908 FAT589872:FAW589908 FKP589872:FKS589908 FUL589872:FUO589908 GEH589872:GEK589908 GOD589872:GOG589908 GXZ589872:GYC589908 HHV589872:HHY589908 HRR589872:HRU589908 IBN589872:IBQ589908 ILJ589872:ILM589908 IVF589872:IVI589908 JFB589872:JFE589908 JOX589872:JPA589908 JYT589872:JYW589908 KIP589872:KIS589908 KSL589872:KSO589908 LCH589872:LCK589908 LMD589872:LMG589908 LVZ589872:LWC589908 MFV589872:MFY589908 MPR589872:MPU589908 MZN589872:MZQ589908 NJJ589872:NJM589908 NTF589872:NTI589908 ODB589872:ODE589908 OMX589872:ONA589908 OWT589872:OWW589908 PGP589872:PGS589908 PQL589872:PQO589908 QAH589872:QAK589908 QKD589872:QKG589908 QTZ589872:QUC589908 RDV589872:RDY589908 RNR589872:RNU589908 RXN589872:RXQ589908 SHJ589872:SHM589908 SRF589872:SRI589908 TBB589872:TBE589908 TKX589872:TLA589908 TUT589872:TUW589908 UEP589872:UES589908 UOL589872:UOO589908 UYH589872:UYK589908 VID589872:VIG589908 VRZ589872:VSC589908 WBV589872:WBY589908 WLR589872:WLU589908 WVN589872:WVQ589908 H720944:K720980 JB655408:JE655444 SX655408:TA655444 ACT655408:ACW655444 AMP655408:AMS655444 AWL655408:AWO655444 BGH655408:BGK655444 BQD655408:BQG655444 BZZ655408:CAC655444 CJV655408:CJY655444 CTR655408:CTU655444 DDN655408:DDQ655444 DNJ655408:DNM655444 DXF655408:DXI655444 EHB655408:EHE655444 EQX655408:ERA655444 FAT655408:FAW655444 FKP655408:FKS655444 FUL655408:FUO655444 GEH655408:GEK655444 GOD655408:GOG655444 GXZ655408:GYC655444 HHV655408:HHY655444 HRR655408:HRU655444 IBN655408:IBQ655444 ILJ655408:ILM655444 IVF655408:IVI655444 JFB655408:JFE655444 JOX655408:JPA655444 JYT655408:JYW655444 KIP655408:KIS655444 KSL655408:KSO655444 LCH655408:LCK655444 LMD655408:LMG655444 LVZ655408:LWC655444 MFV655408:MFY655444 MPR655408:MPU655444 MZN655408:MZQ655444 NJJ655408:NJM655444 NTF655408:NTI655444 ODB655408:ODE655444 OMX655408:ONA655444 OWT655408:OWW655444 PGP655408:PGS655444 PQL655408:PQO655444 QAH655408:QAK655444 QKD655408:QKG655444 QTZ655408:QUC655444 RDV655408:RDY655444 RNR655408:RNU655444 RXN655408:RXQ655444 SHJ655408:SHM655444 SRF655408:SRI655444 TBB655408:TBE655444 TKX655408:TLA655444 TUT655408:TUW655444 UEP655408:UES655444 UOL655408:UOO655444 UYH655408:UYK655444 VID655408:VIG655444 VRZ655408:VSC655444 WBV655408:WBY655444 WLR655408:WLU655444 WVN655408:WVQ655444 H786480:K786516 JB720944:JE720980 SX720944:TA720980 ACT720944:ACW720980 AMP720944:AMS720980 AWL720944:AWO720980 BGH720944:BGK720980 BQD720944:BQG720980 BZZ720944:CAC720980 CJV720944:CJY720980 CTR720944:CTU720980 DDN720944:DDQ720980 DNJ720944:DNM720980 DXF720944:DXI720980 EHB720944:EHE720980 EQX720944:ERA720980 FAT720944:FAW720980 FKP720944:FKS720980 FUL720944:FUO720980 GEH720944:GEK720980 GOD720944:GOG720980 GXZ720944:GYC720980 HHV720944:HHY720980 HRR720944:HRU720980 IBN720944:IBQ720980 ILJ720944:ILM720980 IVF720944:IVI720980 JFB720944:JFE720980 JOX720944:JPA720980 JYT720944:JYW720980 KIP720944:KIS720980 KSL720944:KSO720980 LCH720944:LCK720980 LMD720944:LMG720980 LVZ720944:LWC720980 MFV720944:MFY720980 MPR720944:MPU720980 MZN720944:MZQ720980 NJJ720944:NJM720980 NTF720944:NTI720980 ODB720944:ODE720980 OMX720944:ONA720980 OWT720944:OWW720980 PGP720944:PGS720980 PQL720944:PQO720980 QAH720944:QAK720980 QKD720944:QKG720980 QTZ720944:QUC720980 RDV720944:RDY720980 RNR720944:RNU720980 RXN720944:RXQ720980 SHJ720944:SHM720980 SRF720944:SRI720980 TBB720944:TBE720980 TKX720944:TLA720980 TUT720944:TUW720980 UEP720944:UES720980 UOL720944:UOO720980 UYH720944:UYK720980 VID720944:VIG720980 VRZ720944:VSC720980 WBV720944:WBY720980 WLR720944:WLU720980 WVN720944:WVQ720980 H852016:K852052 JB786480:JE786516 SX786480:TA786516 ACT786480:ACW786516 AMP786480:AMS786516 AWL786480:AWO786516 BGH786480:BGK786516 BQD786480:BQG786516 BZZ786480:CAC786516 CJV786480:CJY786516 CTR786480:CTU786516 DDN786480:DDQ786516 DNJ786480:DNM786516 DXF786480:DXI786516 EHB786480:EHE786516 EQX786480:ERA786516 FAT786480:FAW786516 FKP786480:FKS786516 FUL786480:FUO786516 GEH786480:GEK786516 GOD786480:GOG786516 GXZ786480:GYC786516 HHV786480:HHY786516 HRR786480:HRU786516 IBN786480:IBQ786516 ILJ786480:ILM786516 IVF786480:IVI786516 JFB786480:JFE786516 JOX786480:JPA786516 JYT786480:JYW786516 KIP786480:KIS786516 KSL786480:KSO786516 LCH786480:LCK786516 LMD786480:LMG786516 LVZ786480:LWC786516 MFV786480:MFY786516 MPR786480:MPU786516 MZN786480:MZQ786516 NJJ786480:NJM786516 NTF786480:NTI786516 ODB786480:ODE786516 OMX786480:ONA786516 OWT786480:OWW786516 PGP786480:PGS786516 PQL786480:PQO786516 QAH786480:QAK786516 QKD786480:QKG786516 QTZ786480:QUC786516 RDV786480:RDY786516 RNR786480:RNU786516 RXN786480:RXQ786516 SHJ786480:SHM786516 SRF786480:SRI786516 TBB786480:TBE786516 TKX786480:TLA786516 TUT786480:TUW786516 UEP786480:UES786516 UOL786480:UOO786516 UYH786480:UYK786516 VID786480:VIG786516 VRZ786480:VSC786516 WBV786480:WBY786516 WLR786480:WLU786516 WVN786480:WVQ786516 H917552:K917588 JB852016:JE852052 SX852016:TA852052 ACT852016:ACW852052 AMP852016:AMS852052 AWL852016:AWO852052 BGH852016:BGK852052 BQD852016:BQG852052 BZZ852016:CAC852052 CJV852016:CJY852052 CTR852016:CTU852052 DDN852016:DDQ852052 DNJ852016:DNM852052 DXF852016:DXI852052 EHB852016:EHE852052 EQX852016:ERA852052 FAT852016:FAW852052 FKP852016:FKS852052 FUL852016:FUO852052 GEH852016:GEK852052 GOD852016:GOG852052 GXZ852016:GYC852052 HHV852016:HHY852052 HRR852016:HRU852052 IBN852016:IBQ852052 ILJ852016:ILM852052 IVF852016:IVI852052 JFB852016:JFE852052 JOX852016:JPA852052 JYT852016:JYW852052 KIP852016:KIS852052 KSL852016:KSO852052 LCH852016:LCK852052 LMD852016:LMG852052 LVZ852016:LWC852052 MFV852016:MFY852052 MPR852016:MPU852052 MZN852016:MZQ852052 NJJ852016:NJM852052 NTF852016:NTI852052 ODB852016:ODE852052 OMX852016:ONA852052 OWT852016:OWW852052 PGP852016:PGS852052 PQL852016:PQO852052 QAH852016:QAK852052 QKD852016:QKG852052 QTZ852016:QUC852052 RDV852016:RDY852052 RNR852016:RNU852052 RXN852016:RXQ852052 SHJ852016:SHM852052 SRF852016:SRI852052 TBB852016:TBE852052 TKX852016:TLA852052 TUT852016:TUW852052 UEP852016:UES852052 UOL852016:UOO852052 UYH852016:UYK852052 VID852016:VIG852052 VRZ852016:VSC852052 WBV852016:WBY852052 WLR852016:WLU852052 WVN852016:WVQ852052 H983088:K983124 JB917552:JE917588 SX917552:TA917588 ACT917552:ACW917588 AMP917552:AMS917588 AWL917552:AWO917588 BGH917552:BGK917588 BQD917552:BQG917588 BZZ917552:CAC917588 CJV917552:CJY917588 CTR917552:CTU917588 DDN917552:DDQ917588 DNJ917552:DNM917588 DXF917552:DXI917588 EHB917552:EHE917588 EQX917552:ERA917588 FAT917552:FAW917588 FKP917552:FKS917588 FUL917552:FUO917588 GEH917552:GEK917588 GOD917552:GOG917588 GXZ917552:GYC917588 HHV917552:HHY917588 HRR917552:HRU917588 IBN917552:IBQ917588 ILJ917552:ILM917588 IVF917552:IVI917588 JFB917552:JFE917588 JOX917552:JPA917588 JYT917552:JYW917588 KIP917552:KIS917588 KSL917552:KSO917588 LCH917552:LCK917588 LMD917552:LMG917588 LVZ917552:LWC917588 MFV917552:MFY917588 MPR917552:MPU917588 MZN917552:MZQ917588 NJJ917552:NJM917588 NTF917552:NTI917588 ODB917552:ODE917588 OMX917552:ONA917588 OWT917552:OWW917588 PGP917552:PGS917588 PQL917552:PQO917588 QAH917552:QAK917588 QKD917552:QKG917588 QTZ917552:QUC917588 RDV917552:RDY917588 RNR917552:RNU917588 RXN917552:RXQ917588 SHJ917552:SHM917588 SRF917552:SRI917588 TBB917552:TBE917588 TKX917552:TLA917588 TUT917552:TUW917588 UEP917552:UES917588 UOL917552:UOO917588 UYH917552:UYK917588 VID917552:VIG917588 VRZ917552:VSC917588 WBV917552:WBY917588 WLR917552:WLU917588 WVN917552:WVQ917588 WLR983088:WLU983124 JB983088:JE983124 SX983088:TA983124 ACT983088:ACW983124 AMP983088:AMS983124 AWL983088:AWO983124 BGH983088:BGK983124 BQD983088:BQG983124 BZZ983088:CAC983124 CJV983088:CJY983124 CTR983088:CTU983124 DDN983088:DDQ983124 DNJ983088:DNM983124 DXF983088:DXI983124 EHB983088:EHE983124 EQX983088:ERA983124 FAT983088:FAW983124 FKP983088:FKS983124 FUL983088:FUO983124 GEH983088:GEK983124 GOD983088:GOG983124 GXZ983088:GYC983124 HHV983088:HHY983124 HRR983088:HRU983124 IBN983088:IBQ983124 ILJ983088:ILM983124 IVF983088:IVI983124 JFB983088:JFE983124 JOX983088:JPA983124 JYT983088:JYW983124 KIP983088:KIS983124 KSL983088:KSO983124 LCH983088:LCK983124 LMD983088:LMG983124 LVZ983088:LWC983124 MFV983088:MFY983124 MPR983088:MPU983124 MZN983088:MZQ983124 NJJ983088:NJM983124 NTF983088:NTI983124 ODB983088:ODE983124 OMX983088:ONA983124 OWT983088:OWW983124 PGP983088:PGS983124 PQL983088:PQO983124 QAH983088:QAK983124 QKD983088:QKG983124 QTZ983088:QUC983124 RDV983088:RDY983124 RNR983088:RNU983124 RXN983088:RXQ983124 SHJ983088:SHM983124 SRF983088:SRI983124 TBB983088:TBE983124 TKX983088:TLA983124 TUT983088:TUW983124 UEP983088:UES983124 UOL983088:UOO983124 UYH983088:UYK983124 VID983088:VIG983124 VRZ983088:VSC983124 WBV983088:WBY983124 H65584:K65620">
      <formula1>0</formula1>
      <formula2>33</formula2>
    </dataValidation>
    <dataValidation type="decimal" allowBlank="1" showInputMessage="1" showErrorMessage="1" sqref="WVG983088:WVG983124 IU5:IU84 SQ5:SQ84 ACM5:ACM84 AMI5:AMI84 AWE5:AWE84 BGA5:BGA84 BPW5:BPW84 BZS5:BZS84 CJO5:CJO84 CTK5:CTK84 DDG5:DDG84 DNC5:DNC84 DWY5:DWY84 EGU5:EGU84 EQQ5:EQQ84 FAM5:FAM84 FKI5:FKI84 FUE5:FUE84 GEA5:GEA84 GNW5:GNW84 GXS5:GXS84 HHO5:HHO84 HRK5:HRK84 IBG5:IBG84 ILC5:ILC84 IUY5:IUY84 JEU5:JEU84 JOQ5:JOQ84 JYM5:JYM84 KII5:KII84 KSE5:KSE84 LCA5:LCA84 LLW5:LLW84 LVS5:LVS84 MFO5:MFO84 MPK5:MPK84 MZG5:MZG84 NJC5:NJC84 NSY5:NSY84 OCU5:OCU84 OMQ5:OMQ84 OWM5:OWM84 PGI5:PGI84 PQE5:PQE84 QAA5:QAA84 QJW5:QJW84 QTS5:QTS84 RDO5:RDO84 RNK5:RNK84 RXG5:RXG84 SHC5:SHC84 SQY5:SQY84 TAU5:TAU84 TKQ5:TKQ84 TUM5:TUM84 UEI5:UEI84 UOE5:UOE84 UYA5:UYA84 VHW5:VHW84 VRS5:VRS84 WBO5:WBO84 WLK5:WLK84 WVG5:WVG84 Q65584:Q65620 IU65584:IU65620 SQ65584:SQ65620 ACM65584:ACM65620 AMI65584:AMI65620 AWE65584:AWE65620 BGA65584:BGA65620 BPW65584:BPW65620 BZS65584:BZS65620 CJO65584:CJO65620 CTK65584:CTK65620 DDG65584:DDG65620 DNC65584:DNC65620 DWY65584:DWY65620 EGU65584:EGU65620 EQQ65584:EQQ65620 FAM65584:FAM65620 FKI65584:FKI65620 FUE65584:FUE65620 GEA65584:GEA65620 GNW65584:GNW65620 GXS65584:GXS65620 HHO65584:HHO65620 HRK65584:HRK65620 IBG65584:IBG65620 ILC65584:ILC65620 IUY65584:IUY65620 JEU65584:JEU65620 JOQ65584:JOQ65620 JYM65584:JYM65620 KII65584:KII65620 KSE65584:KSE65620 LCA65584:LCA65620 LLW65584:LLW65620 LVS65584:LVS65620 MFO65584:MFO65620 MPK65584:MPK65620 MZG65584:MZG65620 NJC65584:NJC65620 NSY65584:NSY65620 OCU65584:OCU65620 OMQ65584:OMQ65620 OWM65584:OWM65620 PGI65584:PGI65620 PQE65584:PQE65620 QAA65584:QAA65620 QJW65584:QJW65620 QTS65584:QTS65620 RDO65584:RDO65620 RNK65584:RNK65620 RXG65584:RXG65620 SHC65584:SHC65620 SQY65584:SQY65620 TAU65584:TAU65620 TKQ65584:TKQ65620 TUM65584:TUM65620 UEI65584:UEI65620 UOE65584:UOE65620 UYA65584:UYA65620 VHW65584:VHW65620 VRS65584:VRS65620 WBO65584:WBO65620 WLK65584:WLK65620 WVG65584:WVG65620 Q131120:Q131156 IU131120:IU131156 SQ131120:SQ131156 ACM131120:ACM131156 AMI131120:AMI131156 AWE131120:AWE131156 BGA131120:BGA131156 BPW131120:BPW131156 BZS131120:BZS131156 CJO131120:CJO131156 CTK131120:CTK131156 DDG131120:DDG131156 DNC131120:DNC131156 DWY131120:DWY131156 EGU131120:EGU131156 EQQ131120:EQQ131156 FAM131120:FAM131156 FKI131120:FKI131156 FUE131120:FUE131156 GEA131120:GEA131156 GNW131120:GNW131156 GXS131120:GXS131156 HHO131120:HHO131156 HRK131120:HRK131156 IBG131120:IBG131156 ILC131120:ILC131156 IUY131120:IUY131156 JEU131120:JEU131156 JOQ131120:JOQ131156 JYM131120:JYM131156 KII131120:KII131156 KSE131120:KSE131156 LCA131120:LCA131156 LLW131120:LLW131156 LVS131120:LVS131156 MFO131120:MFO131156 MPK131120:MPK131156 MZG131120:MZG131156 NJC131120:NJC131156 NSY131120:NSY131156 OCU131120:OCU131156 OMQ131120:OMQ131156 OWM131120:OWM131156 PGI131120:PGI131156 PQE131120:PQE131156 QAA131120:QAA131156 QJW131120:QJW131156 QTS131120:QTS131156 RDO131120:RDO131156 RNK131120:RNK131156 RXG131120:RXG131156 SHC131120:SHC131156 SQY131120:SQY131156 TAU131120:TAU131156 TKQ131120:TKQ131156 TUM131120:TUM131156 UEI131120:UEI131156 UOE131120:UOE131156 UYA131120:UYA131156 VHW131120:VHW131156 VRS131120:VRS131156 WBO131120:WBO131156 WLK131120:WLK131156 WVG131120:WVG131156 Q196656:Q196692 IU196656:IU196692 SQ196656:SQ196692 ACM196656:ACM196692 AMI196656:AMI196692 AWE196656:AWE196692 BGA196656:BGA196692 BPW196656:BPW196692 BZS196656:BZS196692 CJO196656:CJO196692 CTK196656:CTK196692 DDG196656:DDG196692 DNC196656:DNC196692 DWY196656:DWY196692 EGU196656:EGU196692 EQQ196656:EQQ196692 FAM196656:FAM196692 FKI196656:FKI196692 FUE196656:FUE196692 GEA196656:GEA196692 GNW196656:GNW196692 GXS196656:GXS196692 HHO196656:HHO196692 HRK196656:HRK196692 IBG196656:IBG196692 ILC196656:ILC196692 IUY196656:IUY196692 JEU196656:JEU196692 JOQ196656:JOQ196692 JYM196656:JYM196692 KII196656:KII196692 KSE196656:KSE196692 LCA196656:LCA196692 LLW196656:LLW196692 LVS196656:LVS196692 MFO196656:MFO196692 MPK196656:MPK196692 MZG196656:MZG196692 NJC196656:NJC196692 NSY196656:NSY196692 OCU196656:OCU196692 OMQ196656:OMQ196692 OWM196656:OWM196692 PGI196656:PGI196692 PQE196656:PQE196692 QAA196656:QAA196692 QJW196656:QJW196692 QTS196656:QTS196692 RDO196656:RDO196692 RNK196656:RNK196692 RXG196656:RXG196692 SHC196656:SHC196692 SQY196656:SQY196692 TAU196656:TAU196692 TKQ196656:TKQ196692 TUM196656:TUM196692 UEI196656:UEI196692 UOE196656:UOE196692 UYA196656:UYA196692 VHW196656:VHW196692 VRS196656:VRS196692 WBO196656:WBO196692 WLK196656:WLK196692 WVG196656:WVG196692 Q262192:Q262228 IU262192:IU262228 SQ262192:SQ262228 ACM262192:ACM262228 AMI262192:AMI262228 AWE262192:AWE262228 BGA262192:BGA262228 BPW262192:BPW262228 BZS262192:BZS262228 CJO262192:CJO262228 CTK262192:CTK262228 DDG262192:DDG262228 DNC262192:DNC262228 DWY262192:DWY262228 EGU262192:EGU262228 EQQ262192:EQQ262228 FAM262192:FAM262228 FKI262192:FKI262228 FUE262192:FUE262228 GEA262192:GEA262228 GNW262192:GNW262228 GXS262192:GXS262228 HHO262192:HHO262228 HRK262192:HRK262228 IBG262192:IBG262228 ILC262192:ILC262228 IUY262192:IUY262228 JEU262192:JEU262228 JOQ262192:JOQ262228 JYM262192:JYM262228 KII262192:KII262228 KSE262192:KSE262228 LCA262192:LCA262228 LLW262192:LLW262228 LVS262192:LVS262228 MFO262192:MFO262228 MPK262192:MPK262228 MZG262192:MZG262228 NJC262192:NJC262228 NSY262192:NSY262228 OCU262192:OCU262228 OMQ262192:OMQ262228 OWM262192:OWM262228 PGI262192:PGI262228 PQE262192:PQE262228 QAA262192:QAA262228 QJW262192:QJW262228 QTS262192:QTS262228 RDO262192:RDO262228 RNK262192:RNK262228 RXG262192:RXG262228 SHC262192:SHC262228 SQY262192:SQY262228 TAU262192:TAU262228 TKQ262192:TKQ262228 TUM262192:TUM262228 UEI262192:UEI262228 UOE262192:UOE262228 UYA262192:UYA262228 VHW262192:VHW262228 VRS262192:VRS262228 WBO262192:WBO262228 WLK262192:WLK262228 WVG262192:WVG262228 Q327728:Q327764 IU327728:IU327764 SQ327728:SQ327764 ACM327728:ACM327764 AMI327728:AMI327764 AWE327728:AWE327764 BGA327728:BGA327764 BPW327728:BPW327764 BZS327728:BZS327764 CJO327728:CJO327764 CTK327728:CTK327764 DDG327728:DDG327764 DNC327728:DNC327764 DWY327728:DWY327764 EGU327728:EGU327764 EQQ327728:EQQ327764 FAM327728:FAM327764 FKI327728:FKI327764 FUE327728:FUE327764 GEA327728:GEA327764 GNW327728:GNW327764 GXS327728:GXS327764 HHO327728:HHO327764 HRK327728:HRK327764 IBG327728:IBG327764 ILC327728:ILC327764 IUY327728:IUY327764 JEU327728:JEU327764 JOQ327728:JOQ327764 JYM327728:JYM327764 KII327728:KII327764 KSE327728:KSE327764 LCA327728:LCA327764 LLW327728:LLW327764 LVS327728:LVS327764 MFO327728:MFO327764 MPK327728:MPK327764 MZG327728:MZG327764 NJC327728:NJC327764 NSY327728:NSY327764 OCU327728:OCU327764 OMQ327728:OMQ327764 OWM327728:OWM327764 PGI327728:PGI327764 PQE327728:PQE327764 QAA327728:QAA327764 QJW327728:QJW327764 QTS327728:QTS327764 RDO327728:RDO327764 RNK327728:RNK327764 RXG327728:RXG327764 SHC327728:SHC327764 SQY327728:SQY327764 TAU327728:TAU327764 TKQ327728:TKQ327764 TUM327728:TUM327764 UEI327728:UEI327764 UOE327728:UOE327764 UYA327728:UYA327764 VHW327728:VHW327764 VRS327728:VRS327764 WBO327728:WBO327764 WLK327728:WLK327764 WVG327728:WVG327764 Q393264:Q393300 IU393264:IU393300 SQ393264:SQ393300 ACM393264:ACM393300 AMI393264:AMI393300 AWE393264:AWE393300 BGA393264:BGA393300 BPW393264:BPW393300 BZS393264:BZS393300 CJO393264:CJO393300 CTK393264:CTK393300 DDG393264:DDG393300 DNC393264:DNC393300 DWY393264:DWY393300 EGU393264:EGU393300 EQQ393264:EQQ393300 FAM393264:FAM393300 FKI393264:FKI393300 FUE393264:FUE393300 GEA393264:GEA393300 GNW393264:GNW393300 GXS393264:GXS393300 HHO393264:HHO393300 HRK393264:HRK393300 IBG393264:IBG393300 ILC393264:ILC393300 IUY393264:IUY393300 JEU393264:JEU393300 JOQ393264:JOQ393300 JYM393264:JYM393300 KII393264:KII393300 KSE393264:KSE393300 LCA393264:LCA393300 LLW393264:LLW393300 LVS393264:LVS393300 MFO393264:MFO393300 MPK393264:MPK393300 MZG393264:MZG393300 NJC393264:NJC393300 NSY393264:NSY393300 OCU393264:OCU393300 OMQ393264:OMQ393300 OWM393264:OWM393300 PGI393264:PGI393300 PQE393264:PQE393300 QAA393264:QAA393300 QJW393264:QJW393300 QTS393264:QTS393300 RDO393264:RDO393300 RNK393264:RNK393300 RXG393264:RXG393300 SHC393264:SHC393300 SQY393264:SQY393300 TAU393264:TAU393300 TKQ393264:TKQ393300 TUM393264:TUM393300 UEI393264:UEI393300 UOE393264:UOE393300 UYA393264:UYA393300 VHW393264:VHW393300 VRS393264:VRS393300 WBO393264:WBO393300 WLK393264:WLK393300 WVG393264:WVG393300 Q458800:Q458836 IU458800:IU458836 SQ458800:SQ458836 ACM458800:ACM458836 AMI458800:AMI458836 AWE458800:AWE458836 BGA458800:BGA458836 BPW458800:BPW458836 BZS458800:BZS458836 CJO458800:CJO458836 CTK458800:CTK458836 DDG458800:DDG458836 DNC458800:DNC458836 DWY458800:DWY458836 EGU458800:EGU458836 EQQ458800:EQQ458836 FAM458800:FAM458836 FKI458800:FKI458836 FUE458800:FUE458836 GEA458800:GEA458836 GNW458800:GNW458836 GXS458800:GXS458836 HHO458800:HHO458836 HRK458800:HRK458836 IBG458800:IBG458836 ILC458800:ILC458836 IUY458800:IUY458836 JEU458800:JEU458836 JOQ458800:JOQ458836 JYM458800:JYM458836 KII458800:KII458836 KSE458800:KSE458836 LCA458800:LCA458836 LLW458800:LLW458836 LVS458800:LVS458836 MFO458800:MFO458836 MPK458800:MPK458836 MZG458800:MZG458836 NJC458800:NJC458836 NSY458800:NSY458836 OCU458800:OCU458836 OMQ458800:OMQ458836 OWM458800:OWM458836 PGI458800:PGI458836 PQE458800:PQE458836 QAA458800:QAA458836 QJW458800:QJW458836 QTS458800:QTS458836 RDO458800:RDO458836 RNK458800:RNK458836 RXG458800:RXG458836 SHC458800:SHC458836 SQY458800:SQY458836 TAU458800:TAU458836 TKQ458800:TKQ458836 TUM458800:TUM458836 UEI458800:UEI458836 UOE458800:UOE458836 UYA458800:UYA458836 VHW458800:VHW458836 VRS458800:VRS458836 WBO458800:WBO458836 WLK458800:WLK458836 WVG458800:WVG458836 Q524336:Q524372 IU524336:IU524372 SQ524336:SQ524372 ACM524336:ACM524372 AMI524336:AMI524372 AWE524336:AWE524372 BGA524336:BGA524372 BPW524336:BPW524372 BZS524336:BZS524372 CJO524336:CJO524372 CTK524336:CTK524372 DDG524336:DDG524372 DNC524336:DNC524372 DWY524336:DWY524372 EGU524336:EGU524372 EQQ524336:EQQ524372 FAM524336:FAM524372 FKI524336:FKI524372 FUE524336:FUE524372 GEA524336:GEA524372 GNW524336:GNW524372 GXS524336:GXS524372 HHO524336:HHO524372 HRK524336:HRK524372 IBG524336:IBG524372 ILC524336:ILC524372 IUY524336:IUY524372 JEU524336:JEU524372 JOQ524336:JOQ524372 JYM524336:JYM524372 KII524336:KII524372 KSE524336:KSE524372 LCA524336:LCA524372 LLW524336:LLW524372 LVS524336:LVS524372 MFO524336:MFO524372 MPK524336:MPK524372 MZG524336:MZG524372 NJC524336:NJC524372 NSY524336:NSY524372 OCU524336:OCU524372 OMQ524336:OMQ524372 OWM524336:OWM524372 PGI524336:PGI524372 PQE524336:PQE524372 QAA524336:QAA524372 QJW524336:QJW524372 QTS524336:QTS524372 RDO524336:RDO524372 RNK524336:RNK524372 RXG524336:RXG524372 SHC524336:SHC524372 SQY524336:SQY524372 TAU524336:TAU524372 TKQ524336:TKQ524372 TUM524336:TUM524372 UEI524336:UEI524372 UOE524336:UOE524372 UYA524336:UYA524372 VHW524336:VHW524372 VRS524336:VRS524372 WBO524336:WBO524372 WLK524336:WLK524372 WVG524336:WVG524372 Q589872:Q589908 IU589872:IU589908 SQ589872:SQ589908 ACM589872:ACM589908 AMI589872:AMI589908 AWE589872:AWE589908 BGA589872:BGA589908 BPW589872:BPW589908 BZS589872:BZS589908 CJO589872:CJO589908 CTK589872:CTK589908 DDG589872:DDG589908 DNC589872:DNC589908 DWY589872:DWY589908 EGU589872:EGU589908 EQQ589872:EQQ589908 FAM589872:FAM589908 FKI589872:FKI589908 FUE589872:FUE589908 GEA589872:GEA589908 GNW589872:GNW589908 GXS589872:GXS589908 HHO589872:HHO589908 HRK589872:HRK589908 IBG589872:IBG589908 ILC589872:ILC589908 IUY589872:IUY589908 JEU589872:JEU589908 JOQ589872:JOQ589908 JYM589872:JYM589908 KII589872:KII589908 KSE589872:KSE589908 LCA589872:LCA589908 LLW589872:LLW589908 LVS589872:LVS589908 MFO589872:MFO589908 MPK589872:MPK589908 MZG589872:MZG589908 NJC589872:NJC589908 NSY589872:NSY589908 OCU589872:OCU589908 OMQ589872:OMQ589908 OWM589872:OWM589908 PGI589872:PGI589908 PQE589872:PQE589908 QAA589872:QAA589908 QJW589872:QJW589908 QTS589872:QTS589908 RDO589872:RDO589908 RNK589872:RNK589908 RXG589872:RXG589908 SHC589872:SHC589908 SQY589872:SQY589908 TAU589872:TAU589908 TKQ589872:TKQ589908 TUM589872:TUM589908 UEI589872:UEI589908 UOE589872:UOE589908 UYA589872:UYA589908 VHW589872:VHW589908 VRS589872:VRS589908 WBO589872:WBO589908 WLK589872:WLK589908 WVG589872:WVG589908 Q655408:Q655444 IU655408:IU655444 SQ655408:SQ655444 ACM655408:ACM655444 AMI655408:AMI655444 AWE655408:AWE655444 BGA655408:BGA655444 BPW655408:BPW655444 BZS655408:BZS655444 CJO655408:CJO655444 CTK655408:CTK655444 DDG655408:DDG655444 DNC655408:DNC655444 DWY655408:DWY655444 EGU655408:EGU655444 EQQ655408:EQQ655444 FAM655408:FAM655444 FKI655408:FKI655444 FUE655408:FUE655444 GEA655408:GEA655444 GNW655408:GNW655444 GXS655408:GXS655444 HHO655408:HHO655444 HRK655408:HRK655444 IBG655408:IBG655444 ILC655408:ILC655444 IUY655408:IUY655444 JEU655408:JEU655444 JOQ655408:JOQ655444 JYM655408:JYM655444 KII655408:KII655444 KSE655408:KSE655444 LCA655408:LCA655444 LLW655408:LLW655444 LVS655408:LVS655444 MFO655408:MFO655444 MPK655408:MPK655444 MZG655408:MZG655444 NJC655408:NJC655444 NSY655408:NSY655444 OCU655408:OCU655444 OMQ655408:OMQ655444 OWM655408:OWM655444 PGI655408:PGI655444 PQE655408:PQE655444 QAA655408:QAA655444 QJW655408:QJW655444 QTS655408:QTS655444 RDO655408:RDO655444 RNK655408:RNK655444 RXG655408:RXG655444 SHC655408:SHC655444 SQY655408:SQY655444 TAU655408:TAU655444 TKQ655408:TKQ655444 TUM655408:TUM655444 UEI655408:UEI655444 UOE655408:UOE655444 UYA655408:UYA655444 VHW655408:VHW655444 VRS655408:VRS655444 WBO655408:WBO655444 WLK655408:WLK655444 WVG655408:WVG655444 Q720944:Q720980 IU720944:IU720980 SQ720944:SQ720980 ACM720944:ACM720980 AMI720944:AMI720980 AWE720944:AWE720980 BGA720944:BGA720980 BPW720944:BPW720980 BZS720944:BZS720980 CJO720944:CJO720980 CTK720944:CTK720980 DDG720944:DDG720980 DNC720944:DNC720980 DWY720944:DWY720980 EGU720944:EGU720980 EQQ720944:EQQ720980 FAM720944:FAM720980 FKI720944:FKI720980 FUE720944:FUE720980 GEA720944:GEA720980 GNW720944:GNW720980 GXS720944:GXS720980 HHO720944:HHO720980 HRK720944:HRK720980 IBG720944:IBG720980 ILC720944:ILC720980 IUY720944:IUY720980 JEU720944:JEU720980 JOQ720944:JOQ720980 JYM720944:JYM720980 KII720944:KII720980 KSE720944:KSE720980 LCA720944:LCA720980 LLW720944:LLW720980 LVS720944:LVS720980 MFO720944:MFO720980 MPK720944:MPK720980 MZG720944:MZG720980 NJC720944:NJC720980 NSY720944:NSY720980 OCU720944:OCU720980 OMQ720944:OMQ720980 OWM720944:OWM720980 PGI720944:PGI720980 PQE720944:PQE720980 QAA720944:QAA720980 QJW720944:QJW720980 QTS720944:QTS720980 RDO720944:RDO720980 RNK720944:RNK720980 RXG720944:RXG720980 SHC720944:SHC720980 SQY720944:SQY720980 TAU720944:TAU720980 TKQ720944:TKQ720980 TUM720944:TUM720980 UEI720944:UEI720980 UOE720944:UOE720980 UYA720944:UYA720980 VHW720944:VHW720980 VRS720944:VRS720980 WBO720944:WBO720980 WLK720944:WLK720980 WVG720944:WVG720980 Q786480:Q786516 IU786480:IU786516 SQ786480:SQ786516 ACM786480:ACM786516 AMI786480:AMI786516 AWE786480:AWE786516 BGA786480:BGA786516 BPW786480:BPW786516 BZS786480:BZS786516 CJO786480:CJO786516 CTK786480:CTK786516 DDG786480:DDG786516 DNC786480:DNC786516 DWY786480:DWY786516 EGU786480:EGU786516 EQQ786480:EQQ786516 FAM786480:FAM786516 FKI786480:FKI786516 FUE786480:FUE786516 GEA786480:GEA786516 GNW786480:GNW786516 GXS786480:GXS786516 HHO786480:HHO786516 HRK786480:HRK786516 IBG786480:IBG786516 ILC786480:ILC786516 IUY786480:IUY786516 JEU786480:JEU786516 JOQ786480:JOQ786516 JYM786480:JYM786516 KII786480:KII786516 KSE786480:KSE786516 LCA786480:LCA786516 LLW786480:LLW786516 LVS786480:LVS786516 MFO786480:MFO786516 MPK786480:MPK786516 MZG786480:MZG786516 NJC786480:NJC786516 NSY786480:NSY786516 OCU786480:OCU786516 OMQ786480:OMQ786516 OWM786480:OWM786516 PGI786480:PGI786516 PQE786480:PQE786516 QAA786480:QAA786516 QJW786480:QJW786516 QTS786480:QTS786516 RDO786480:RDO786516 RNK786480:RNK786516 RXG786480:RXG786516 SHC786480:SHC786516 SQY786480:SQY786516 TAU786480:TAU786516 TKQ786480:TKQ786516 TUM786480:TUM786516 UEI786480:UEI786516 UOE786480:UOE786516 UYA786480:UYA786516 VHW786480:VHW786516 VRS786480:VRS786516 WBO786480:WBO786516 WLK786480:WLK786516 WVG786480:WVG786516 Q852016:Q852052 IU852016:IU852052 SQ852016:SQ852052 ACM852016:ACM852052 AMI852016:AMI852052 AWE852016:AWE852052 BGA852016:BGA852052 BPW852016:BPW852052 BZS852016:BZS852052 CJO852016:CJO852052 CTK852016:CTK852052 DDG852016:DDG852052 DNC852016:DNC852052 DWY852016:DWY852052 EGU852016:EGU852052 EQQ852016:EQQ852052 FAM852016:FAM852052 FKI852016:FKI852052 FUE852016:FUE852052 GEA852016:GEA852052 GNW852016:GNW852052 GXS852016:GXS852052 HHO852016:HHO852052 HRK852016:HRK852052 IBG852016:IBG852052 ILC852016:ILC852052 IUY852016:IUY852052 JEU852016:JEU852052 JOQ852016:JOQ852052 JYM852016:JYM852052 KII852016:KII852052 KSE852016:KSE852052 LCA852016:LCA852052 LLW852016:LLW852052 LVS852016:LVS852052 MFO852016:MFO852052 MPK852016:MPK852052 MZG852016:MZG852052 NJC852016:NJC852052 NSY852016:NSY852052 OCU852016:OCU852052 OMQ852016:OMQ852052 OWM852016:OWM852052 PGI852016:PGI852052 PQE852016:PQE852052 QAA852016:QAA852052 QJW852016:QJW852052 QTS852016:QTS852052 RDO852016:RDO852052 RNK852016:RNK852052 RXG852016:RXG852052 SHC852016:SHC852052 SQY852016:SQY852052 TAU852016:TAU852052 TKQ852016:TKQ852052 TUM852016:TUM852052 UEI852016:UEI852052 UOE852016:UOE852052 UYA852016:UYA852052 VHW852016:VHW852052 VRS852016:VRS852052 WBO852016:WBO852052 WLK852016:WLK852052 WVG852016:WVG852052 Q917552:Q917588 IU917552:IU917588 SQ917552:SQ917588 ACM917552:ACM917588 AMI917552:AMI917588 AWE917552:AWE917588 BGA917552:BGA917588 BPW917552:BPW917588 BZS917552:BZS917588 CJO917552:CJO917588 CTK917552:CTK917588 DDG917552:DDG917588 DNC917552:DNC917588 DWY917552:DWY917588 EGU917552:EGU917588 EQQ917552:EQQ917588 FAM917552:FAM917588 FKI917552:FKI917588 FUE917552:FUE917588 GEA917552:GEA917588 GNW917552:GNW917588 GXS917552:GXS917588 HHO917552:HHO917588 HRK917552:HRK917588 IBG917552:IBG917588 ILC917552:ILC917588 IUY917552:IUY917588 JEU917552:JEU917588 JOQ917552:JOQ917588 JYM917552:JYM917588 KII917552:KII917588 KSE917552:KSE917588 LCA917552:LCA917588 LLW917552:LLW917588 LVS917552:LVS917588 MFO917552:MFO917588 MPK917552:MPK917588 MZG917552:MZG917588 NJC917552:NJC917588 NSY917552:NSY917588 OCU917552:OCU917588 OMQ917552:OMQ917588 OWM917552:OWM917588 PGI917552:PGI917588 PQE917552:PQE917588 QAA917552:QAA917588 QJW917552:QJW917588 QTS917552:QTS917588 RDO917552:RDO917588 RNK917552:RNK917588 RXG917552:RXG917588 SHC917552:SHC917588 SQY917552:SQY917588 TAU917552:TAU917588 TKQ917552:TKQ917588 TUM917552:TUM917588 UEI917552:UEI917588 UOE917552:UOE917588 UYA917552:UYA917588 VHW917552:VHW917588 VRS917552:VRS917588 WBO917552:WBO917588 WLK917552:WLK917588 WVG917552:WVG917588 Q983088:Q983124 IU983088:IU983124 SQ983088:SQ983124 ACM983088:ACM983124 AMI983088:AMI983124 AWE983088:AWE983124 BGA983088:BGA983124 BPW983088:BPW983124 BZS983088:BZS983124 CJO983088:CJO983124 CTK983088:CTK983124 DDG983088:DDG983124 DNC983088:DNC983124 DWY983088:DWY983124 EGU983088:EGU983124 EQQ983088:EQQ983124 FAM983088:FAM983124 FKI983088:FKI983124 FUE983088:FUE983124 GEA983088:GEA983124 GNW983088:GNW983124 GXS983088:GXS983124 HHO983088:HHO983124 HRK983088:HRK983124 IBG983088:IBG983124 ILC983088:ILC983124 IUY983088:IUY983124 JEU983088:JEU983124 JOQ983088:JOQ983124 JYM983088:JYM983124 KII983088:KII983124 KSE983088:KSE983124 LCA983088:LCA983124 LLW983088:LLW983124 LVS983088:LVS983124 MFO983088:MFO983124 MPK983088:MPK983124 MZG983088:MZG983124 NJC983088:NJC983124 NSY983088:NSY983124 OCU983088:OCU983124 OMQ983088:OMQ983124 OWM983088:OWM983124 PGI983088:PGI983124 PQE983088:PQE983124 QAA983088:QAA983124 QJW983088:QJW983124 QTS983088:QTS983124 RDO983088:RDO983124 RNK983088:RNK983124 RXG983088:RXG983124 SHC983088:SHC983124 SQY983088:SQY983124 TAU983088:TAU983124 TKQ983088:TKQ983124 TUM983088:TUM983124 UEI983088:UEI983124 UOE983088:UOE983124 UYA983088:UYA983124 VHW983088:VHW983124 VRS983088:VRS983124 WBO983088:WBO983124 WLK983088:WLK983124 H5:K84 O5:O84 M5:M84">
      <formula1>0</formula1>
      <formula2>40</formula2>
    </dataValidation>
    <dataValidation type="decimal" allowBlank="1" showInputMessage="1" showErrorMessage="1" sqref="WVS983088:WVT983124 JG5:JH84 TC5:TD84 ACY5:ACZ84 AMU5:AMV84 AWQ5:AWR84 BGM5:BGN84 BQI5:BQJ84 CAE5:CAF84 CKA5:CKB84 CTW5:CTX84 DDS5:DDT84 DNO5:DNP84 DXK5:DXL84 EHG5:EHH84 ERC5:ERD84 FAY5:FAZ84 FKU5:FKV84 FUQ5:FUR84 GEM5:GEN84 GOI5:GOJ84 GYE5:GYF84 HIA5:HIB84 HRW5:HRX84 IBS5:IBT84 ILO5:ILP84 IVK5:IVL84 JFG5:JFH84 JPC5:JPD84 JYY5:JYZ84 KIU5:KIV84 KSQ5:KSR84 LCM5:LCN84 LMI5:LMJ84 LWE5:LWF84 MGA5:MGB84 MPW5:MPX84 MZS5:MZT84 NJO5:NJP84 NTK5:NTL84 ODG5:ODH84 ONC5:OND84 OWY5:OWZ84 PGU5:PGV84 PQQ5:PQR84 QAM5:QAN84 QKI5:QKJ84 QUE5:QUF84 REA5:REB84 RNW5:RNX84 RXS5:RXT84 SHO5:SHP84 SRK5:SRL84 TBG5:TBH84 TLC5:TLD84 TUY5:TUZ84 UEU5:UEV84 UOQ5:UOR84 UYM5:UYN84 VII5:VIJ84 VSE5:VSF84 WCA5:WCB84 WLW5:WLX84 WVS5:WVT84 M65584:O65620 JG65584:JH65620 TC65584:TD65620 ACY65584:ACZ65620 AMU65584:AMV65620 AWQ65584:AWR65620 BGM65584:BGN65620 BQI65584:BQJ65620 CAE65584:CAF65620 CKA65584:CKB65620 CTW65584:CTX65620 DDS65584:DDT65620 DNO65584:DNP65620 DXK65584:DXL65620 EHG65584:EHH65620 ERC65584:ERD65620 FAY65584:FAZ65620 FKU65584:FKV65620 FUQ65584:FUR65620 GEM65584:GEN65620 GOI65584:GOJ65620 GYE65584:GYF65620 HIA65584:HIB65620 HRW65584:HRX65620 IBS65584:IBT65620 ILO65584:ILP65620 IVK65584:IVL65620 JFG65584:JFH65620 JPC65584:JPD65620 JYY65584:JYZ65620 KIU65584:KIV65620 KSQ65584:KSR65620 LCM65584:LCN65620 LMI65584:LMJ65620 LWE65584:LWF65620 MGA65584:MGB65620 MPW65584:MPX65620 MZS65584:MZT65620 NJO65584:NJP65620 NTK65584:NTL65620 ODG65584:ODH65620 ONC65584:OND65620 OWY65584:OWZ65620 PGU65584:PGV65620 PQQ65584:PQR65620 QAM65584:QAN65620 QKI65584:QKJ65620 QUE65584:QUF65620 REA65584:REB65620 RNW65584:RNX65620 RXS65584:RXT65620 SHO65584:SHP65620 SRK65584:SRL65620 TBG65584:TBH65620 TLC65584:TLD65620 TUY65584:TUZ65620 UEU65584:UEV65620 UOQ65584:UOR65620 UYM65584:UYN65620 VII65584:VIJ65620 VSE65584:VSF65620 WCA65584:WCB65620 WLW65584:WLX65620 WVS65584:WVT65620 M131120:O131156 JG131120:JH131156 TC131120:TD131156 ACY131120:ACZ131156 AMU131120:AMV131156 AWQ131120:AWR131156 BGM131120:BGN131156 BQI131120:BQJ131156 CAE131120:CAF131156 CKA131120:CKB131156 CTW131120:CTX131156 DDS131120:DDT131156 DNO131120:DNP131156 DXK131120:DXL131156 EHG131120:EHH131156 ERC131120:ERD131156 FAY131120:FAZ131156 FKU131120:FKV131156 FUQ131120:FUR131156 GEM131120:GEN131156 GOI131120:GOJ131156 GYE131120:GYF131156 HIA131120:HIB131156 HRW131120:HRX131156 IBS131120:IBT131156 ILO131120:ILP131156 IVK131120:IVL131156 JFG131120:JFH131156 JPC131120:JPD131156 JYY131120:JYZ131156 KIU131120:KIV131156 KSQ131120:KSR131156 LCM131120:LCN131156 LMI131120:LMJ131156 LWE131120:LWF131156 MGA131120:MGB131156 MPW131120:MPX131156 MZS131120:MZT131156 NJO131120:NJP131156 NTK131120:NTL131156 ODG131120:ODH131156 ONC131120:OND131156 OWY131120:OWZ131156 PGU131120:PGV131156 PQQ131120:PQR131156 QAM131120:QAN131156 QKI131120:QKJ131156 QUE131120:QUF131156 REA131120:REB131156 RNW131120:RNX131156 RXS131120:RXT131156 SHO131120:SHP131156 SRK131120:SRL131156 TBG131120:TBH131156 TLC131120:TLD131156 TUY131120:TUZ131156 UEU131120:UEV131156 UOQ131120:UOR131156 UYM131120:UYN131156 VII131120:VIJ131156 VSE131120:VSF131156 WCA131120:WCB131156 WLW131120:WLX131156 WVS131120:WVT131156 M196656:O196692 JG196656:JH196692 TC196656:TD196692 ACY196656:ACZ196692 AMU196656:AMV196692 AWQ196656:AWR196692 BGM196656:BGN196692 BQI196656:BQJ196692 CAE196656:CAF196692 CKA196656:CKB196692 CTW196656:CTX196692 DDS196656:DDT196692 DNO196656:DNP196692 DXK196656:DXL196692 EHG196656:EHH196692 ERC196656:ERD196692 FAY196656:FAZ196692 FKU196656:FKV196692 FUQ196656:FUR196692 GEM196656:GEN196692 GOI196656:GOJ196692 GYE196656:GYF196692 HIA196656:HIB196692 HRW196656:HRX196692 IBS196656:IBT196692 ILO196656:ILP196692 IVK196656:IVL196692 JFG196656:JFH196692 JPC196656:JPD196692 JYY196656:JYZ196692 KIU196656:KIV196692 KSQ196656:KSR196692 LCM196656:LCN196692 LMI196656:LMJ196692 LWE196656:LWF196692 MGA196656:MGB196692 MPW196656:MPX196692 MZS196656:MZT196692 NJO196656:NJP196692 NTK196656:NTL196692 ODG196656:ODH196692 ONC196656:OND196692 OWY196656:OWZ196692 PGU196656:PGV196692 PQQ196656:PQR196692 QAM196656:QAN196692 QKI196656:QKJ196692 QUE196656:QUF196692 REA196656:REB196692 RNW196656:RNX196692 RXS196656:RXT196692 SHO196656:SHP196692 SRK196656:SRL196692 TBG196656:TBH196692 TLC196656:TLD196692 TUY196656:TUZ196692 UEU196656:UEV196692 UOQ196656:UOR196692 UYM196656:UYN196692 VII196656:VIJ196692 VSE196656:VSF196692 WCA196656:WCB196692 WLW196656:WLX196692 WVS196656:WVT196692 M262192:O262228 JG262192:JH262228 TC262192:TD262228 ACY262192:ACZ262228 AMU262192:AMV262228 AWQ262192:AWR262228 BGM262192:BGN262228 BQI262192:BQJ262228 CAE262192:CAF262228 CKA262192:CKB262228 CTW262192:CTX262228 DDS262192:DDT262228 DNO262192:DNP262228 DXK262192:DXL262228 EHG262192:EHH262228 ERC262192:ERD262228 FAY262192:FAZ262228 FKU262192:FKV262228 FUQ262192:FUR262228 GEM262192:GEN262228 GOI262192:GOJ262228 GYE262192:GYF262228 HIA262192:HIB262228 HRW262192:HRX262228 IBS262192:IBT262228 ILO262192:ILP262228 IVK262192:IVL262228 JFG262192:JFH262228 JPC262192:JPD262228 JYY262192:JYZ262228 KIU262192:KIV262228 KSQ262192:KSR262228 LCM262192:LCN262228 LMI262192:LMJ262228 LWE262192:LWF262228 MGA262192:MGB262228 MPW262192:MPX262228 MZS262192:MZT262228 NJO262192:NJP262228 NTK262192:NTL262228 ODG262192:ODH262228 ONC262192:OND262228 OWY262192:OWZ262228 PGU262192:PGV262228 PQQ262192:PQR262228 QAM262192:QAN262228 QKI262192:QKJ262228 QUE262192:QUF262228 REA262192:REB262228 RNW262192:RNX262228 RXS262192:RXT262228 SHO262192:SHP262228 SRK262192:SRL262228 TBG262192:TBH262228 TLC262192:TLD262228 TUY262192:TUZ262228 UEU262192:UEV262228 UOQ262192:UOR262228 UYM262192:UYN262228 VII262192:VIJ262228 VSE262192:VSF262228 WCA262192:WCB262228 WLW262192:WLX262228 WVS262192:WVT262228 M327728:O327764 JG327728:JH327764 TC327728:TD327764 ACY327728:ACZ327764 AMU327728:AMV327764 AWQ327728:AWR327764 BGM327728:BGN327764 BQI327728:BQJ327764 CAE327728:CAF327764 CKA327728:CKB327764 CTW327728:CTX327764 DDS327728:DDT327764 DNO327728:DNP327764 DXK327728:DXL327764 EHG327728:EHH327764 ERC327728:ERD327764 FAY327728:FAZ327764 FKU327728:FKV327764 FUQ327728:FUR327764 GEM327728:GEN327764 GOI327728:GOJ327764 GYE327728:GYF327764 HIA327728:HIB327764 HRW327728:HRX327764 IBS327728:IBT327764 ILO327728:ILP327764 IVK327728:IVL327764 JFG327728:JFH327764 JPC327728:JPD327764 JYY327728:JYZ327764 KIU327728:KIV327764 KSQ327728:KSR327764 LCM327728:LCN327764 LMI327728:LMJ327764 LWE327728:LWF327764 MGA327728:MGB327764 MPW327728:MPX327764 MZS327728:MZT327764 NJO327728:NJP327764 NTK327728:NTL327764 ODG327728:ODH327764 ONC327728:OND327764 OWY327728:OWZ327764 PGU327728:PGV327764 PQQ327728:PQR327764 QAM327728:QAN327764 QKI327728:QKJ327764 QUE327728:QUF327764 REA327728:REB327764 RNW327728:RNX327764 RXS327728:RXT327764 SHO327728:SHP327764 SRK327728:SRL327764 TBG327728:TBH327764 TLC327728:TLD327764 TUY327728:TUZ327764 UEU327728:UEV327764 UOQ327728:UOR327764 UYM327728:UYN327764 VII327728:VIJ327764 VSE327728:VSF327764 WCA327728:WCB327764 WLW327728:WLX327764 WVS327728:WVT327764 M393264:O393300 JG393264:JH393300 TC393264:TD393300 ACY393264:ACZ393300 AMU393264:AMV393300 AWQ393264:AWR393300 BGM393264:BGN393300 BQI393264:BQJ393300 CAE393264:CAF393300 CKA393264:CKB393300 CTW393264:CTX393300 DDS393264:DDT393300 DNO393264:DNP393300 DXK393264:DXL393300 EHG393264:EHH393300 ERC393264:ERD393300 FAY393264:FAZ393300 FKU393264:FKV393300 FUQ393264:FUR393300 GEM393264:GEN393300 GOI393264:GOJ393300 GYE393264:GYF393300 HIA393264:HIB393300 HRW393264:HRX393300 IBS393264:IBT393300 ILO393264:ILP393300 IVK393264:IVL393300 JFG393264:JFH393300 JPC393264:JPD393300 JYY393264:JYZ393300 KIU393264:KIV393300 KSQ393264:KSR393300 LCM393264:LCN393300 LMI393264:LMJ393300 LWE393264:LWF393300 MGA393264:MGB393300 MPW393264:MPX393300 MZS393264:MZT393300 NJO393264:NJP393300 NTK393264:NTL393300 ODG393264:ODH393300 ONC393264:OND393300 OWY393264:OWZ393300 PGU393264:PGV393300 PQQ393264:PQR393300 QAM393264:QAN393300 QKI393264:QKJ393300 QUE393264:QUF393300 REA393264:REB393300 RNW393264:RNX393300 RXS393264:RXT393300 SHO393264:SHP393300 SRK393264:SRL393300 TBG393264:TBH393300 TLC393264:TLD393300 TUY393264:TUZ393300 UEU393264:UEV393300 UOQ393264:UOR393300 UYM393264:UYN393300 VII393264:VIJ393300 VSE393264:VSF393300 WCA393264:WCB393300 WLW393264:WLX393300 WVS393264:WVT393300 M458800:O458836 JG458800:JH458836 TC458800:TD458836 ACY458800:ACZ458836 AMU458800:AMV458836 AWQ458800:AWR458836 BGM458800:BGN458836 BQI458800:BQJ458836 CAE458800:CAF458836 CKA458800:CKB458836 CTW458800:CTX458836 DDS458800:DDT458836 DNO458800:DNP458836 DXK458800:DXL458836 EHG458800:EHH458836 ERC458800:ERD458836 FAY458800:FAZ458836 FKU458800:FKV458836 FUQ458800:FUR458836 GEM458800:GEN458836 GOI458800:GOJ458836 GYE458800:GYF458836 HIA458800:HIB458836 HRW458800:HRX458836 IBS458800:IBT458836 ILO458800:ILP458836 IVK458800:IVL458836 JFG458800:JFH458836 JPC458800:JPD458836 JYY458800:JYZ458836 KIU458800:KIV458836 KSQ458800:KSR458836 LCM458800:LCN458836 LMI458800:LMJ458836 LWE458800:LWF458836 MGA458800:MGB458836 MPW458800:MPX458836 MZS458800:MZT458836 NJO458800:NJP458836 NTK458800:NTL458836 ODG458800:ODH458836 ONC458800:OND458836 OWY458800:OWZ458836 PGU458800:PGV458836 PQQ458800:PQR458836 QAM458800:QAN458836 QKI458800:QKJ458836 QUE458800:QUF458836 REA458800:REB458836 RNW458800:RNX458836 RXS458800:RXT458836 SHO458800:SHP458836 SRK458800:SRL458836 TBG458800:TBH458836 TLC458800:TLD458836 TUY458800:TUZ458836 UEU458800:UEV458836 UOQ458800:UOR458836 UYM458800:UYN458836 VII458800:VIJ458836 VSE458800:VSF458836 WCA458800:WCB458836 WLW458800:WLX458836 WVS458800:WVT458836 M524336:O524372 JG524336:JH524372 TC524336:TD524372 ACY524336:ACZ524372 AMU524336:AMV524372 AWQ524336:AWR524372 BGM524336:BGN524372 BQI524336:BQJ524372 CAE524336:CAF524372 CKA524336:CKB524372 CTW524336:CTX524372 DDS524336:DDT524372 DNO524336:DNP524372 DXK524336:DXL524372 EHG524336:EHH524372 ERC524336:ERD524372 FAY524336:FAZ524372 FKU524336:FKV524372 FUQ524336:FUR524372 GEM524336:GEN524372 GOI524336:GOJ524372 GYE524336:GYF524372 HIA524336:HIB524372 HRW524336:HRX524372 IBS524336:IBT524372 ILO524336:ILP524372 IVK524336:IVL524372 JFG524336:JFH524372 JPC524336:JPD524372 JYY524336:JYZ524372 KIU524336:KIV524372 KSQ524336:KSR524372 LCM524336:LCN524372 LMI524336:LMJ524372 LWE524336:LWF524372 MGA524336:MGB524372 MPW524336:MPX524372 MZS524336:MZT524372 NJO524336:NJP524372 NTK524336:NTL524372 ODG524336:ODH524372 ONC524336:OND524372 OWY524336:OWZ524372 PGU524336:PGV524372 PQQ524336:PQR524372 QAM524336:QAN524372 QKI524336:QKJ524372 QUE524336:QUF524372 REA524336:REB524372 RNW524336:RNX524372 RXS524336:RXT524372 SHO524336:SHP524372 SRK524336:SRL524372 TBG524336:TBH524372 TLC524336:TLD524372 TUY524336:TUZ524372 UEU524336:UEV524372 UOQ524336:UOR524372 UYM524336:UYN524372 VII524336:VIJ524372 VSE524336:VSF524372 WCA524336:WCB524372 WLW524336:WLX524372 WVS524336:WVT524372 M589872:O589908 JG589872:JH589908 TC589872:TD589908 ACY589872:ACZ589908 AMU589872:AMV589908 AWQ589872:AWR589908 BGM589872:BGN589908 BQI589872:BQJ589908 CAE589872:CAF589908 CKA589872:CKB589908 CTW589872:CTX589908 DDS589872:DDT589908 DNO589872:DNP589908 DXK589872:DXL589908 EHG589872:EHH589908 ERC589872:ERD589908 FAY589872:FAZ589908 FKU589872:FKV589908 FUQ589872:FUR589908 GEM589872:GEN589908 GOI589872:GOJ589908 GYE589872:GYF589908 HIA589872:HIB589908 HRW589872:HRX589908 IBS589872:IBT589908 ILO589872:ILP589908 IVK589872:IVL589908 JFG589872:JFH589908 JPC589872:JPD589908 JYY589872:JYZ589908 KIU589872:KIV589908 KSQ589872:KSR589908 LCM589872:LCN589908 LMI589872:LMJ589908 LWE589872:LWF589908 MGA589872:MGB589908 MPW589872:MPX589908 MZS589872:MZT589908 NJO589872:NJP589908 NTK589872:NTL589908 ODG589872:ODH589908 ONC589872:OND589908 OWY589872:OWZ589908 PGU589872:PGV589908 PQQ589872:PQR589908 QAM589872:QAN589908 QKI589872:QKJ589908 QUE589872:QUF589908 REA589872:REB589908 RNW589872:RNX589908 RXS589872:RXT589908 SHO589872:SHP589908 SRK589872:SRL589908 TBG589872:TBH589908 TLC589872:TLD589908 TUY589872:TUZ589908 UEU589872:UEV589908 UOQ589872:UOR589908 UYM589872:UYN589908 VII589872:VIJ589908 VSE589872:VSF589908 WCA589872:WCB589908 WLW589872:WLX589908 WVS589872:WVT589908 M655408:O655444 JG655408:JH655444 TC655408:TD655444 ACY655408:ACZ655444 AMU655408:AMV655444 AWQ655408:AWR655444 BGM655408:BGN655444 BQI655408:BQJ655444 CAE655408:CAF655444 CKA655408:CKB655444 CTW655408:CTX655444 DDS655408:DDT655444 DNO655408:DNP655444 DXK655408:DXL655444 EHG655408:EHH655444 ERC655408:ERD655444 FAY655408:FAZ655444 FKU655408:FKV655444 FUQ655408:FUR655444 GEM655408:GEN655444 GOI655408:GOJ655444 GYE655408:GYF655444 HIA655408:HIB655444 HRW655408:HRX655444 IBS655408:IBT655444 ILO655408:ILP655444 IVK655408:IVL655444 JFG655408:JFH655444 JPC655408:JPD655444 JYY655408:JYZ655444 KIU655408:KIV655444 KSQ655408:KSR655444 LCM655408:LCN655444 LMI655408:LMJ655444 LWE655408:LWF655444 MGA655408:MGB655444 MPW655408:MPX655444 MZS655408:MZT655444 NJO655408:NJP655444 NTK655408:NTL655444 ODG655408:ODH655444 ONC655408:OND655444 OWY655408:OWZ655444 PGU655408:PGV655444 PQQ655408:PQR655444 QAM655408:QAN655444 QKI655408:QKJ655444 QUE655408:QUF655444 REA655408:REB655444 RNW655408:RNX655444 RXS655408:RXT655444 SHO655408:SHP655444 SRK655408:SRL655444 TBG655408:TBH655444 TLC655408:TLD655444 TUY655408:TUZ655444 UEU655408:UEV655444 UOQ655408:UOR655444 UYM655408:UYN655444 VII655408:VIJ655444 VSE655408:VSF655444 WCA655408:WCB655444 WLW655408:WLX655444 WVS655408:WVT655444 M720944:O720980 JG720944:JH720980 TC720944:TD720980 ACY720944:ACZ720980 AMU720944:AMV720980 AWQ720944:AWR720980 BGM720944:BGN720980 BQI720944:BQJ720980 CAE720944:CAF720980 CKA720944:CKB720980 CTW720944:CTX720980 DDS720944:DDT720980 DNO720944:DNP720980 DXK720944:DXL720980 EHG720944:EHH720980 ERC720944:ERD720980 FAY720944:FAZ720980 FKU720944:FKV720980 FUQ720944:FUR720980 GEM720944:GEN720980 GOI720944:GOJ720980 GYE720944:GYF720980 HIA720944:HIB720980 HRW720944:HRX720980 IBS720944:IBT720980 ILO720944:ILP720980 IVK720944:IVL720980 JFG720944:JFH720980 JPC720944:JPD720980 JYY720944:JYZ720980 KIU720944:KIV720980 KSQ720944:KSR720980 LCM720944:LCN720980 LMI720944:LMJ720980 LWE720944:LWF720980 MGA720944:MGB720980 MPW720944:MPX720980 MZS720944:MZT720980 NJO720944:NJP720980 NTK720944:NTL720980 ODG720944:ODH720980 ONC720944:OND720980 OWY720944:OWZ720980 PGU720944:PGV720980 PQQ720944:PQR720980 QAM720944:QAN720980 QKI720944:QKJ720980 QUE720944:QUF720980 REA720944:REB720980 RNW720944:RNX720980 RXS720944:RXT720980 SHO720944:SHP720980 SRK720944:SRL720980 TBG720944:TBH720980 TLC720944:TLD720980 TUY720944:TUZ720980 UEU720944:UEV720980 UOQ720944:UOR720980 UYM720944:UYN720980 VII720944:VIJ720980 VSE720944:VSF720980 WCA720944:WCB720980 WLW720944:WLX720980 WVS720944:WVT720980 M786480:O786516 JG786480:JH786516 TC786480:TD786516 ACY786480:ACZ786516 AMU786480:AMV786516 AWQ786480:AWR786516 BGM786480:BGN786516 BQI786480:BQJ786516 CAE786480:CAF786516 CKA786480:CKB786516 CTW786480:CTX786516 DDS786480:DDT786516 DNO786480:DNP786516 DXK786480:DXL786516 EHG786480:EHH786516 ERC786480:ERD786516 FAY786480:FAZ786516 FKU786480:FKV786516 FUQ786480:FUR786516 GEM786480:GEN786516 GOI786480:GOJ786516 GYE786480:GYF786516 HIA786480:HIB786516 HRW786480:HRX786516 IBS786480:IBT786516 ILO786480:ILP786516 IVK786480:IVL786516 JFG786480:JFH786516 JPC786480:JPD786516 JYY786480:JYZ786516 KIU786480:KIV786516 KSQ786480:KSR786516 LCM786480:LCN786516 LMI786480:LMJ786516 LWE786480:LWF786516 MGA786480:MGB786516 MPW786480:MPX786516 MZS786480:MZT786516 NJO786480:NJP786516 NTK786480:NTL786516 ODG786480:ODH786516 ONC786480:OND786516 OWY786480:OWZ786516 PGU786480:PGV786516 PQQ786480:PQR786516 QAM786480:QAN786516 QKI786480:QKJ786516 QUE786480:QUF786516 REA786480:REB786516 RNW786480:RNX786516 RXS786480:RXT786516 SHO786480:SHP786516 SRK786480:SRL786516 TBG786480:TBH786516 TLC786480:TLD786516 TUY786480:TUZ786516 UEU786480:UEV786516 UOQ786480:UOR786516 UYM786480:UYN786516 VII786480:VIJ786516 VSE786480:VSF786516 WCA786480:WCB786516 WLW786480:WLX786516 WVS786480:WVT786516 M852016:O852052 JG852016:JH852052 TC852016:TD852052 ACY852016:ACZ852052 AMU852016:AMV852052 AWQ852016:AWR852052 BGM852016:BGN852052 BQI852016:BQJ852052 CAE852016:CAF852052 CKA852016:CKB852052 CTW852016:CTX852052 DDS852016:DDT852052 DNO852016:DNP852052 DXK852016:DXL852052 EHG852016:EHH852052 ERC852016:ERD852052 FAY852016:FAZ852052 FKU852016:FKV852052 FUQ852016:FUR852052 GEM852016:GEN852052 GOI852016:GOJ852052 GYE852016:GYF852052 HIA852016:HIB852052 HRW852016:HRX852052 IBS852016:IBT852052 ILO852016:ILP852052 IVK852016:IVL852052 JFG852016:JFH852052 JPC852016:JPD852052 JYY852016:JYZ852052 KIU852016:KIV852052 KSQ852016:KSR852052 LCM852016:LCN852052 LMI852016:LMJ852052 LWE852016:LWF852052 MGA852016:MGB852052 MPW852016:MPX852052 MZS852016:MZT852052 NJO852016:NJP852052 NTK852016:NTL852052 ODG852016:ODH852052 ONC852016:OND852052 OWY852016:OWZ852052 PGU852016:PGV852052 PQQ852016:PQR852052 QAM852016:QAN852052 QKI852016:QKJ852052 QUE852016:QUF852052 REA852016:REB852052 RNW852016:RNX852052 RXS852016:RXT852052 SHO852016:SHP852052 SRK852016:SRL852052 TBG852016:TBH852052 TLC852016:TLD852052 TUY852016:TUZ852052 UEU852016:UEV852052 UOQ852016:UOR852052 UYM852016:UYN852052 VII852016:VIJ852052 VSE852016:VSF852052 WCA852016:WCB852052 WLW852016:WLX852052 WVS852016:WVT852052 M917552:O917588 JG917552:JH917588 TC917552:TD917588 ACY917552:ACZ917588 AMU917552:AMV917588 AWQ917552:AWR917588 BGM917552:BGN917588 BQI917552:BQJ917588 CAE917552:CAF917588 CKA917552:CKB917588 CTW917552:CTX917588 DDS917552:DDT917588 DNO917552:DNP917588 DXK917552:DXL917588 EHG917552:EHH917588 ERC917552:ERD917588 FAY917552:FAZ917588 FKU917552:FKV917588 FUQ917552:FUR917588 GEM917552:GEN917588 GOI917552:GOJ917588 GYE917552:GYF917588 HIA917552:HIB917588 HRW917552:HRX917588 IBS917552:IBT917588 ILO917552:ILP917588 IVK917552:IVL917588 JFG917552:JFH917588 JPC917552:JPD917588 JYY917552:JYZ917588 KIU917552:KIV917588 KSQ917552:KSR917588 LCM917552:LCN917588 LMI917552:LMJ917588 LWE917552:LWF917588 MGA917552:MGB917588 MPW917552:MPX917588 MZS917552:MZT917588 NJO917552:NJP917588 NTK917552:NTL917588 ODG917552:ODH917588 ONC917552:OND917588 OWY917552:OWZ917588 PGU917552:PGV917588 PQQ917552:PQR917588 QAM917552:QAN917588 QKI917552:QKJ917588 QUE917552:QUF917588 REA917552:REB917588 RNW917552:RNX917588 RXS917552:RXT917588 SHO917552:SHP917588 SRK917552:SRL917588 TBG917552:TBH917588 TLC917552:TLD917588 TUY917552:TUZ917588 UEU917552:UEV917588 UOQ917552:UOR917588 UYM917552:UYN917588 VII917552:VIJ917588 VSE917552:VSF917588 WCA917552:WCB917588 WLW917552:WLX917588 WVS917552:WVT917588 M983088:O983124 JG983088:JH983124 TC983088:TD983124 ACY983088:ACZ983124 AMU983088:AMV983124 AWQ983088:AWR983124 BGM983088:BGN983124 BQI983088:BQJ983124 CAE983088:CAF983124 CKA983088:CKB983124 CTW983088:CTX983124 DDS983088:DDT983124 DNO983088:DNP983124 DXK983088:DXL983124 EHG983088:EHH983124 ERC983088:ERD983124 FAY983088:FAZ983124 FKU983088:FKV983124 FUQ983088:FUR983124 GEM983088:GEN983124 GOI983088:GOJ983124 GYE983088:GYF983124 HIA983088:HIB983124 HRW983088:HRX983124 IBS983088:IBT983124 ILO983088:ILP983124 IVK983088:IVL983124 JFG983088:JFH983124 JPC983088:JPD983124 JYY983088:JYZ983124 KIU983088:KIV983124 KSQ983088:KSR983124 LCM983088:LCN983124 LMI983088:LMJ983124 LWE983088:LWF983124 MGA983088:MGB983124 MPW983088:MPX983124 MZS983088:MZT983124 NJO983088:NJP983124 NTK983088:NTL983124 ODG983088:ODH983124 ONC983088:OND983124 OWY983088:OWZ983124 PGU983088:PGV983124 PQQ983088:PQR983124 QAM983088:QAN983124 QKI983088:QKJ983124 QUE983088:QUF983124 REA983088:REB983124 RNW983088:RNX983124 RXS983088:RXT983124 SHO983088:SHP983124 SRK983088:SRL983124 TBG983088:TBH983124 TLC983088:TLD983124 TUY983088:TUZ983124 UEU983088:UEV983124 UOQ983088:UOR983124 UYM983088:UYN983124 VII983088:VIJ983124 VSE983088:VSF983124 WCA983088:WCB983124 WLW983088:WLX983124 N5:N84">
      <formula1>0</formula1>
      <formula2>33</formula2>
    </dataValidation>
    <dataValidation allowBlank="1" showInputMessage="1" showErrorMessage="1" promptTitle="Leitung" prompt="Hier bitte den Namen der Leitung eingeben." sqref="A5:B5"/>
    <dataValidation allowBlank="1" showInputMessage="1" showErrorMessage="1" promptTitle="Berechnung" prompt="Stundenkontigent für Unterricht + GTS + Extra-Antrag" sqref="G87"/>
    <dataValidation type="decimal" allowBlank="1" showInputMessage="1" showErrorMessage="1" promptTitle="Stunden" prompt="Hier ist die Summe aller Stunden (Unterricht, GTS, unverbindl. Übungen...) einzugeben_x000a__x000a_außer:_x000a_Religion, Erstsprache, Sprachheil, spez. Lernfö, Werken, Assistenz, Einrechnungen und Stunden an anderen Schulen." sqref="G5:G84">
      <formula1>0</formula1>
      <formula2>40</formula2>
    </dataValidation>
    <dataValidation type="decimal" allowBlank="1" showInputMessage="1" showErrorMessage="1" errorTitle="Stunden eingeben" error="Bitte die Anzahl der Stunden eigeben, mit welcher die Lehrperson voraussichtlich am neuen Standort eingesetzt wird." sqref="E5:E84">
      <formula1>0</formula1>
      <formula2>40</formula2>
    </dataValidation>
  </dataValidations>
  <printOptions horizontalCentered="1" gridLinesSet="0"/>
  <pageMargins left="0.39370078740157483" right="0.27559055118110237" top="0.47244094488188981" bottom="0.47244094488188981" header="0.31496062992125984" footer="0.35433070866141736"/>
  <pageSetup paperSize="9" scale="58"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7030A0"/>
    <pageSetUpPr fitToPage="1"/>
  </sheetPr>
  <dimension ref="A1:AD249"/>
  <sheetViews>
    <sheetView showGridLines="0" showZeros="0" zoomScaleNormal="100" zoomScaleSheetLayoutView="115" workbookViewId="0">
      <pane ySplit="3" topLeftCell="A4" activePane="bottomLeft" state="frozen"/>
      <selection activeCell="E53" sqref="E53"/>
      <selection pane="bottomLeft" activeCell="A5" sqref="A5"/>
    </sheetView>
  </sheetViews>
  <sheetFormatPr baseColWidth="10" defaultColWidth="12.85546875" defaultRowHeight="0" customHeight="1" zeroHeight="1" x14ac:dyDescent="0.25"/>
  <cols>
    <col min="1" max="1" width="25.42578125" style="587" customWidth="1"/>
    <col min="2" max="2" width="17.140625" style="587" customWidth="1"/>
    <col min="3" max="4" width="9.140625" style="595" customWidth="1"/>
    <col min="5" max="5" width="1.7109375" style="588" customWidth="1"/>
    <col min="6" max="6" width="9.28515625" style="587" customWidth="1"/>
    <col min="7" max="7" width="9.140625" style="595" hidden="1" customWidth="1"/>
    <col min="8" max="10" width="10.140625" style="587" customWidth="1"/>
    <col min="11" max="12" width="10.140625" style="516" customWidth="1"/>
    <col min="13" max="13" width="10.140625" style="518" customWidth="1"/>
    <col min="14" max="15" width="10.140625" style="587" customWidth="1"/>
    <col min="16" max="16" width="11.7109375" style="587" customWidth="1"/>
    <col min="18" max="18" width="15.28515625" style="587" bestFit="1" customWidth="1"/>
    <col min="19" max="20" width="11.7109375" style="587" customWidth="1"/>
    <col min="22" max="236" width="11.7109375" style="587" customWidth="1"/>
    <col min="237" max="246" width="12.85546875" style="587"/>
    <col min="247" max="247" width="25.42578125" style="587" customWidth="1"/>
    <col min="248" max="248" width="17.140625" style="587" customWidth="1"/>
    <col min="249" max="251" width="9.140625" style="587" customWidth="1"/>
    <col min="252" max="252" width="1.7109375" style="587" customWidth="1"/>
    <col min="253" max="254" width="9.140625" style="587" customWidth="1"/>
    <col min="255" max="255" width="1.140625" style="587" customWidth="1"/>
    <col min="256" max="259" width="9.140625" style="587" customWidth="1"/>
    <col min="260" max="260" width="1.140625" style="587" customWidth="1"/>
    <col min="261" max="262" width="9.140625" style="587" customWidth="1"/>
    <col min="263" max="263" width="2" style="587" customWidth="1"/>
    <col min="264" max="264" width="7.5703125" style="587" customWidth="1"/>
    <col min="265" max="492" width="11.7109375" style="587" customWidth="1"/>
    <col min="493" max="502" width="12.85546875" style="587"/>
    <col min="503" max="503" width="25.42578125" style="587" customWidth="1"/>
    <col min="504" max="504" width="17.140625" style="587" customWidth="1"/>
    <col min="505" max="507" width="9.140625" style="587" customWidth="1"/>
    <col min="508" max="508" width="1.7109375" style="587" customWidth="1"/>
    <col min="509" max="510" width="9.140625" style="587" customWidth="1"/>
    <col min="511" max="511" width="1.140625" style="587" customWidth="1"/>
    <col min="512" max="515" width="9.140625" style="587" customWidth="1"/>
    <col min="516" max="516" width="1.140625" style="587" customWidth="1"/>
    <col min="517" max="518" width="9.140625" style="587" customWidth="1"/>
    <col min="519" max="519" width="2" style="587" customWidth="1"/>
    <col min="520" max="520" width="7.5703125" style="587" customWidth="1"/>
    <col min="521" max="748" width="11.7109375" style="587" customWidth="1"/>
    <col min="749" max="758" width="12.85546875" style="587"/>
    <col min="759" max="759" width="25.42578125" style="587" customWidth="1"/>
    <col min="760" max="760" width="17.140625" style="587" customWidth="1"/>
    <col min="761" max="763" width="9.140625" style="587" customWidth="1"/>
    <col min="764" max="764" width="1.7109375" style="587" customWidth="1"/>
    <col min="765" max="766" width="9.140625" style="587" customWidth="1"/>
    <col min="767" max="767" width="1.140625" style="587" customWidth="1"/>
    <col min="768" max="771" width="9.140625" style="587" customWidth="1"/>
    <col min="772" max="772" width="1.140625" style="587" customWidth="1"/>
    <col min="773" max="774" width="9.140625" style="587" customWidth="1"/>
    <col min="775" max="775" width="2" style="587" customWidth="1"/>
    <col min="776" max="776" width="7.5703125" style="587" customWidth="1"/>
    <col min="777" max="1004" width="11.7109375" style="587" customWidth="1"/>
    <col min="1005" max="1014" width="12.85546875" style="587"/>
    <col min="1015" max="1015" width="25.42578125" style="587" customWidth="1"/>
    <col min="1016" max="1016" width="17.140625" style="587" customWidth="1"/>
    <col min="1017" max="1019" width="9.140625" style="587" customWidth="1"/>
    <col min="1020" max="1020" width="1.7109375" style="587" customWidth="1"/>
    <col min="1021" max="1022" width="9.140625" style="587" customWidth="1"/>
    <col min="1023" max="1023" width="1.140625" style="587" customWidth="1"/>
    <col min="1024" max="1027" width="9.140625" style="587" customWidth="1"/>
    <col min="1028" max="1028" width="1.140625" style="587" customWidth="1"/>
    <col min="1029" max="1030" width="9.140625" style="587" customWidth="1"/>
    <col min="1031" max="1031" width="2" style="587" customWidth="1"/>
    <col min="1032" max="1032" width="7.5703125" style="587" customWidth="1"/>
    <col min="1033" max="1260" width="11.7109375" style="587" customWidth="1"/>
    <col min="1261" max="1270" width="12.85546875" style="587"/>
    <col min="1271" max="1271" width="25.42578125" style="587" customWidth="1"/>
    <col min="1272" max="1272" width="17.140625" style="587" customWidth="1"/>
    <col min="1273" max="1275" width="9.140625" style="587" customWidth="1"/>
    <col min="1276" max="1276" width="1.7109375" style="587" customWidth="1"/>
    <col min="1277" max="1278" width="9.140625" style="587" customWidth="1"/>
    <col min="1279" max="1279" width="1.140625" style="587" customWidth="1"/>
    <col min="1280" max="1283" width="9.140625" style="587" customWidth="1"/>
    <col min="1284" max="1284" width="1.140625" style="587" customWidth="1"/>
    <col min="1285" max="1286" width="9.140625" style="587" customWidth="1"/>
    <col min="1287" max="1287" width="2" style="587" customWidth="1"/>
    <col min="1288" max="1288" width="7.5703125" style="587" customWidth="1"/>
    <col min="1289" max="1516" width="11.7109375" style="587" customWidth="1"/>
    <col min="1517" max="1526" width="12.85546875" style="587"/>
    <col min="1527" max="1527" width="25.42578125" style="587" customWidth="1"/>
    <col min="1528" max="1528" width="17.140625" style="587" customWidth="1"/>
    <col min="1529" max="1531" width="9.140625" style="587" customWidth="1"/>
    <col min="1532" max="1532" width="1.7109375" style="587" customWidth="1"/>
    <col min="1533" max="1534" width="9.140625" style="587" customWidth="1"/>
    <col min="1535" max="1535" width="1.140625" style="587" customWidth="1"/>
    <col min="1536" max="1539" width="9.140625" style="587" customWidth="1"/>
    <col min="1540" max="1540" width="1.140625" style="587" customWidth="1"/>
    <col min="1541" max="1542" width="9.140625" style="587" customWidth="1"/>
    <col min="1543" max="1543" width="2" style="587" customWidth="1"/>
    <col min="1544" max="1544" width="7.5703125" style="587" customWidth="1"/>
    <col min="1545" max="1772" width="11.7109375" style="587" customWidth="1"/>
    <col min="1773" max="1782" width="12.85546875" style="587"/>
    <col min="1783" max="1783" width="25.42578125" style="587" customWidth="1"/>
    <col min="1784" max="1784" width="17.140625" style="587" customWidth="1"/>
    <col min="1785" max="1787" width="9.140625" style="587" customWidth="1"/>
    <col min="1788" max="1788" width="1.7109375" style="587" customWidth="1"/>
    <col min="1789" max="1790" width="9.140625" style="587" customWidth="1"/>
    <col min="1791" max="1791" width="1.140625" style="587" customWidth="1"/>
    <col min="1792" max="1795" width="9.140625" style="587" customWidth="1"/>
    <col min="1796" max="1796" width="1.140625" style="587" customWidth="1"/>
    <col min="1797" max="1798" width="9.140625" style="587" customWidth="1"/>
    <col min="1799" max="1799" width="2" style="587" customWidth="1"/>
    <col min="1800" max="1800" width="7.5703125" style="587" customWidth="1"/>
    <col min="1801" max="2028" width="11.7109375" style="587" customWidth="1"/>
    <col min="2029" max="2038" width="12.85546875" style="587"/>
    <col min="2039" max="2039" width="25.42578125" style="587" customWidth="1"/>
    <col min="2040" max="2040" width="17.140625" style="587" customWidth="1"/>
    <col min="2041" max="2043" width="9.140625" style="587" customWidth="1"/>
    <col min="2044" max="2044" width="1.7109375" style="587" customWidth="1"/>
    <col min="2045" max="2046" width="9.140625" style="587" customWidth="1"/>
    <col min="2047" max="2047" width="1.140625" style="587" customWidth="1"/>
    <col min="2048" max="2051" width="9.140625" style="587" customWidth="1"/>
    <col min="2052" max="2052" width="1.140625" style="587" customWidth="1"/>
    <col min="2053" max="2054" width="9.140625" style="587" customWidth="1"/>
    <col min="2055" max="2055" width="2" style="587" customWidth="1"/>
    <col min="2056" max="2056" width="7.5703125" style="587" customWidth="1"/>
    <col min="2057" max="2284" width="11.7109375" style="587" customWidth="1"/>
    <col min="2285" max="2294" width="12.85546875" style="587"/>
    <col min="2295" max="2295" width="25.42578125" style="587" customWidth="1"/>
    <col min="2296" max="2296" width="17.140625" style="587" customWidth="1"/>
    <col min="2297" max="2299" width="9.140625" style="587" customWidth="1"/>
    <col min="2300" max="2300" width="1.7109375" style="587" customWidth="1"/>
    <col min="2301" max="2302" width="9.140625" style="587" customWidth="1"/>
    <col min="2303" max="2303" width="1.140625" style="587" customWidth="1"/>
    <col min="2304" max="2307" width="9.140625" style="587" customWidth="1"/>
    <col min="2308" max="2308" width="1.140625" style="587" customWidth="1"/>
    <col min="2309" max="2310" width="9.140625" style="587" customWidth="1"/>
    <col min="2311" max="2311" width="2" style="587" customWidth="1"/>
    <col min="2312" max="2312" width="7.5703125" style="587" customWidth="1"/>
    <col min="2313" max="2540" width="11.7109375" style="587" customWidth="1"/>
    <col min="2541" max="2550" width="12.85546875" style="587"/>
    <col min="2551" max="2551" width="25.42578125" style="587" customWidth="1"/>
    <col min="2552" max="2552" width="17.140625" style="587" customWidth="1"/>
    <col min="2553" max="2555" width="9.140625" style="587" customWidth="1"/>
    <col min="2556" max="2556" width="1.7109375" style="587" customWidth="1"/>
    <col min="2557" max="2558" width="9.140625" style="587" customWidth="1"/>
    <col min="2559" max="2559" width="1.140625" style="587" customWidth="1"/>
    <col min="2560" max="2563" width="9.140625" style="587" customWidth="1"/>
    <col min="2564" max="2564" width="1.140625" style="587" customWidth="1"/>
    <col min="2565" max="2566" width="9.140625" style="587" customWidth="1"/>
    <col min="2567" max="2567" width="2" style="587" customWidth="1"/>
    <col min="2568" max="2568" width="7.5703125" style="587" customWidth="1"/>
    <col min="2569" max="2796" width="11.7109375" style="587" customWidth="1"/>
    <col min="2797" max="2806" width="12.85546875" style="587"/>
    <col min="2807" max="2807" width="25.42578125" style="587" customWidth="1"/>
    <col min="2808" max="2808" width="17.140625" style="587" customWidth="1"/>
    <col min="2809" max="2811" width="9.140625" style="587" customWidth="1"/>
    <col min="2812" max="2812" width="1.7109375" style="587" customWidth="1"/>
    <col min="2813" max="2814" width="9.140625" style="587" customWidth="1"/>
    <col min="2815" max="2815" width="1.140625" style="587" customWidth="1"/>
    <col min="2816" max="2819" width="9.140625" style="587" customWidth="1"/>
    <col min="2820" max="2820" width="1.140625" style="587" customWidth="1"/>
    <col min="2821" max="2822" width="9.140625" style="587" customWidth="1"/>
    <col min="2823" max="2823" width="2" style="587" customWidth="1"/>
    <col min="2824" max="2824" width="7.5703125" style="587" customWidth="1"/>
    <col min="2825" max="3052" width="11.7109375" style="587" customWidth="1"/>
    <col min="3053" max="3062" width="12.85546875" style="587"/>
    <col min="3063" max="3063" width="25.42578125" style="587" customWidth="1"/>
    <col min="3064" max="3064" width="17.140625" style="587" customWidth="1"/>
    <col min="3065" max="3067" width="9.140625" style="587" customWidth="1"/>
    <col min="3068" max="3068" width="1.7109375" style="587" customWidth="1"/>
    <col min="3069" max="3070" width="9.140625" style="587" customWidth="1"/>
    <col min="3071" max="3071" width="1.140625" style="587" customWidth="1"/>
    <col min="3072" max="3075" width="9.140625" style="587" customWidth="1"/>
    <col min="3076" max="3076" width="1.140625" style="587" customWidth="1"/>
    <col min="3077" max="3078" width="9.140625" style="587" customWidth="1"/>
    <col min="3079" max="3079" width="2" style="587" customWidth="1"/>
    <col min="3080" max="3080" width="7.5703125" style="587" customWidth="1"/>
    <col min="3081" max="3308" width="11.7109375" style="587" customWidth="1"/>
    <col min="3309" max="3318" width="12.85546875" style="587"/>
    <col min="3319" max="3319" width="25.42578125" style="587" customWidth="1"/>
    <col min="3320" max="3320" width="17.140625" style="587" customWidth="1"/>
    <col min="3321" max="3323" width="9.140625" style="587" customWidth="1"/>
    <col min="3324" max="3324" width="1.7109375" style="587" customWidth="1"/>
    <col min="3325" max="3326" width="9.140625" style="587" customWidth="1"/>
    <col min="3327" max="3327" width="1.140625" style="587" customWidth="1"/>
    <col min="3328" max="3331" width="9.140625" style="587" customWidth="1"/>
    <col min="3332" max="3332" width="1.140625" style="587" customWidth="1"/>
    <col min="3333" max="3334" width="9.140625" style="587" customWidth="1"/>
    <col min="3335" max="3335" width="2" style="587" customWidth="1"/>
    <col min="3336" max="3336" width="7.5703125" style="587" customWidth="1"/>
    <col min="3337" max="3564" width="11.7109375" style="587" customWidth="1"/>
    <col min="3565" max="3574" width="12.85546875" style="587"/>
    <col min="3575" max="3575" width="25.42578125" style="587" customWidth="1"/>
    <col min="3576" max="3576" width="17.140625" style="587" customWidth="1"/>
    <col min="3577" max="3579" width="9.140625" style="587" customWidth="1"/>
    <col min="3580" max="3580" width="1.7109375" style="587" customWidth="1"/>
    <col min="3581" max="3582" width="9.140625" style="587" customWidth="1"/>
    <col min="3583" max="3583" width="1.140625" style="587" customWidth="1"/>
    <col min="3584" max="3587" width="9.140625" style="587" customWidth="1"/>
    <col min="3588" max="3588" width="1.140625" style="587" customWidth="1"/>
    <col min="3589" max="3590" width="9.140625" style="587" customWidth="1"/>
    <col min="3591" max="3591" width="2" style="587" customWidth="1"/>
    <col min="3592" max="3592" width="7.5703125" style="587" customWidth="1"/>
    <col min="3593" max="3820" width="11.7109375" style="587" customWidth="1"/>
    <col min="3821" max="3830" width="12.85546875" style="587"/>
    <col min="3831" max="3831" width="25.42578125" style="587" customWidth="1"/>
    <col min="3832" max="3832" width="17.140625" style="587" customWidth="1"/>
    <col min="3833" max="3835" width="9.140625" style="587" customWidth="1"/>
    <col min="3836" max="3836" width="1.7109375" style="587" customWidth="1"/>
    <col min="3837" max="3838" width="9.140625" style="587" customWidth="1"/>
    <col min="3839" max="3839" width="1.140625" style="587" customWidth="1"/>
    <col min="3840" max="3843" width="9.140625" style="587" customWidth="1"/>
    <col min="3844" max="3844" width="1.140625" style="587" customWidth="1"/>
    <col min="3845" max="3846" width="9.140625" style="587" customWidth="1"/>
    <col min="3847" max="3847" width="2" style="587" customWidth="1"/>
    <col min="3848" max="3848" width="7.5703125" style="587" customWidth="1"/>
    <col min="3849" max="4076" width="11.7109375" style="587" customWidth="1"/>
    <col min="4077" max="4086" width="12.85546875" style="587"/>
    <col min="4087" max="4087" width="25.42578125" style="587" customWidth="1"/>
    <col min="4088" max="4088" width="17.140625" style="587" customWidth="1"/>
    <col min="4089" max="4091" width="9.140625" style="587" customWidth="1"/>
    <col min="4092" max="4092" width="1.7109375" style="587" customWidth="1"/>
    <col min="4093" max="4094" width="9.140625" style="587" customWidth="1"/>
    <col min="4095" max="4095" width="1.140625" style="587" customWidth="1"/>
    <col min="4096" max="4099" width="9.140625" style="587" customWidth="1"/>
    <col min="4100" max="4100" width="1.140625" style="587" customWidth="1"/>
    <col min="4101" max="4102" width="9.140625" style="587" customWidth="1"/>
    <col min="4103" max="4103" width="2" style="587" customWidth="1"/>
    <col min="4104" max="4104" width="7.5703125" style="587" customWidth="1"/>
    <col min="4105" max="4332" width="11.7109375" style="587" customWidth="1"/>
    <col min="4333" max="4342" width="12.85546875" style="587"/>
    <col min="4343" max="4343" width="25.42578125" style="587" customWidth="1"/>
    <col min="4344" max="4344" width="17.140625" style="587" customWidth="1"/>
    <col min="4345" max="4347" width="9.140625" style="587" customWidth="1"/>
    <col min="4348" max="4348" width="1.7109375" style="587" customWidth="1"/>
    <col min="4349" max="4350" width="9.140625" style="587" customWidth="1"/>
    <col min="4351" max="4351" width="1.140625" style="587" customWidth="1"/>
    <col min="4352" max="4355" width="9.140625" style="587" customWidth="1"/>
    <col min="4356" max="4356" width="1.140625" style="587" customWidth="1"/>
    <col min="4357" max="4358" width="9.140625" style="587" customWidth="1"/>
    <col min="4359" max="4359" width="2" style="587" customWidth="1"/>
    <col min="4360" max="4360" width="7.5703125" style="587" customWidth="1"/>
    <col min="4361" max="4588" width="11.7109375" style="587" customWidth="1"/>
    <col min="4589" max="4598" width="12.85546875" style="587"/>
    <col min="4599" max="4599" width="25.42578125" style="587" customWidth="1"/>
    <col min="4600" max="4600" width="17.140625" style="587" customWidth="1"/>
    <col min="4601" max="4603" width="9.140625" style="587" customWidth="1"/>
    <col min="4604" max="4604" width="1.7109375" style="587" customWidth="1"/>
    <col min="4605" max="4606" width="9.140625" style="587" customWidth="1"/>
    <col min="4607" max="4607" width="1.140625" style="587" customWidth="1"/>
    <col min="4608" max="4611" width="9.140625" style="587" customWidth="1"/>
    <col min="4612" max="4612" width="1.140625" style="587" customWidth="1"/>
    <col min="4613" max="4614" width="9.140625" style="587" customWidth="1"/>
    <col min="4615" max="4615" width="2" style="587" customWidth="1"/>
    <col min="4616" max="4616" width="7.5703125" style="587" customWidth="1"/>
    <col min="4617" max="4844" width="11.7109375" style="587" customWidth="1"/>
    <col min="4845" max="4854" width="12.85546875" style="587"/>
    <col min="4855" max="4855" width="25.42578125" style="587" customWidth="1"/>
    <col min="4856" max="4856" width="17.140625" style="587" customWidth="1"/>
    <col min="4857" max="4859" width="9.140625" style="587" customWidth="1"/>
    <col min="4860" max="4860" width="1.7109375" style="587" customWidth="1"/>
    <col min="4861" max="4862" width="9.140625" style="587" customWidth="1"/>
    <col min="4863" max="4863" width="1.140625" style="587" customWidth="1"/>
    <col min="4864" max="4867" width="9.140625" style="587" customWidth="1"/>
    <col min="4868" max="4868" width="1.140625" style="587" customWidth="1"/>
    <col min="4869" max="4870" width="9.140625" style="587" customWidth="1"/>
    <col min="4871" max="4871" width="2" style="587" customWidth="1"/>
    <col min="4872" max="4872" width="7.5703125" style="587" customWidth="1"/>
    <col min="4873" max="5100" width="11.7109375" style="587" customWidth="1"/>
    <col min="5101" max="5110" width="12.85546875" style="587"/>
    <col min="5111" max="5111" width="25.42578125" style="587" customWidth="1"/>
    <col min="5112" max="5112" width="17.140625" style="587" customWidth="1"/>
    <col min="5113" max="5115" width="9.140625" style="587" customWidth="1"/>
    <col min="5116" max="5116" width="1.7109375" style="587" customWidth="1"/>
    <col min="5117" max="5118" width="9.140625" style="587" customWidth="1"/>
    <col min="5119" max="5119" width="1.140625" style="587" customWidth="1"/>
    <col min="5120" max="5123" width="9.140625" style="587" customWidth="1"/>
    <col min="5124" max="5124" width="1.140625" style="587" customWidth="1"/>
    <col min="5125" max="5126" width="9.140625" style="587" customWidth="1"/>
    <col min="5127" max="5127" width="2" style="587" customWidth="1"/>
    <col min="5128" max="5128" width="7.5703125" style="587" customWidth="1"/>
    <col min="5129" max="5356" width="11.7109375" style="587" customWidth="1"/>
    <col min="5357" max="5366" width="12.85546875" style="587"/>
    <col min="5367" max="5367" width="25.42578125" style="587" customWidth="1"/>
    <col min="5368" max="5368" width="17.140625" style="587" customWidth="1"/>
    <col min="5369" max="5371" width="9.140625" style="587" customWidth="1"/>
    <col min="5372" max="5372" width="1.7109375" style="587" customWidth="1"/>
    <col min="5373" max="5374" width="9.140625" style="587" customWidth="1"/>
    <col min="5375" max="5375" width="1.140625" style="587" customWidth="1"/>
    <col min="5376" max="5379" width="9.140625" style="587" customWidth="1"/>
    <col min="5380" max="5380" width="1.140625" style="587" customWidth="1"/>
    <col min="5381" max="5382" width="9.140625" style="587" customWidth="1"/>
    <col min="5383" max="5383" width="2" style="587" customWidth="1"/>
    <col min="5384" max="5384" width="7.5703125" style="587" customWidth="1"/>
    <col min="5385" max="5612" width="11.7109375" style="587" customWidth="1"/>
    <col min="5613" max="5622" width="12.85546875" style="587"/>
    <col min="5623" max="5623" width="25.42578125" style="587" customWidth="1"/>
    <col min="5624" max="5624" width="17.140625" style="587" customWidth="1"/>
    <col min="5625" max="5627" width="9.140625" style="587" customWidth="1"/>
    <col min="5628" max="5628" width="1.7109375" style="587" customWidth="1"/>
    <col min="5629" max="5630" width="9.140625" style="587" customWidth="1"/>
    <col min="5631" max="5631" width="1.140625" style="587" customWidth="1"/>
    <col min="5632" max="5635" width="9.140625" style="587" customWidth="1"/>
    <col min="5636" max="5636" width="1.140625" style="587" customWidth="1"/>
    <col min="5637" max="5638" width="9.140625" style="587" customWidth="1"/>
    <col min="5639" max="5639" width="2" style="587" customWidth="1"/>
    <col min="5640" max="5640" width="7.5703125" style="587" customWidth="1"/>
    <col min="5641" max="5868" width="11.7109375" style="587" customWidth="1"/>
    <col min="5869" max="5878" width="12.85546875" style="587"/>
    <col min="5879" max="5879" width="25.42578125" style="587" customWidth="1"/>
    <col min="5880" max="5880" width="17.140625" style="587" customWidth="1"/>
    <col min="5881" max="5883" width="9.140625" style="587" customWidth="1"/>
    <col min="5884" max="5884" width="1.7109375" style="587" customWidth="1"/>
    <col min="5885" max="5886" width="9.140625" style="587" customWidth="1"/>
    <col min="5887" max="5887" width="1.140625" style="587" customWidth="1"/>
    <col min="5888" max="5891" width="9.140625" style="587" customWidth="1"/>
    <col min="5892" max="5892" width="1.140625" style="587" customWidth="1"/>
    <col min="5893" max="5894" width="9.140625" style="587" customWidth="1"/>
    <col min="5895" max="5895" width="2" style="587" customWidth="1"/>
    <col min="5896" max="5896" width="7.5703125" style="587" customWidth="1"/>
    <col min="5897" max="6124" width="11.7109375" style="587" customWidth="1"/>
    <col min="6125" max="6134" width="12.85546875" style="587"/>
    <col min="6135" max="6135" width="25.42578125" style="587" customWidth="1"/>
    <col min="6136" max="6136" width="17.140625" style="587" customWidth="1"/>
    <col min="6137" max="6139" width="9.140625" style="587" customWidth="1"/>
    <col min="6140" max="6140" width="1.7109375" style="587" customWidth="1"/>
    <col min="6141" max="6142" width="9.140625" style="587" customWidth="1"/>
    <col min="6143" max="6143" width="1.140625" style="587" customWidth="1"/>
    <col min="6144" max="6147" width="9.140625" style="587" customWidth="1"/>
    <col min="6148" max="6148" width="1.140625" style="587" customWidth="1"/>
    <col min="6149" max="6150" width="9.140625" style="587" customWidth="1"/>
    <col min="6151" max="6151" width="2" style="587" customWidth="1"/>
    <col min="6152" max="6152" width="7.5703125" style="587" customWidth="1"/>
    <col min="6153" max="6380" width="11.7109375" style="587" customWidth="1"/>
    <col min="6381" max="6390" width="12.85546875" style="587"/>
    <col min="6391" max="6391" width="25.42578125" style="587" customWidth="1"/>
    <col min="6392" max="6392" width="17.140625" style="587" customWidth="1"/>
    <col min="6393" max="6395" width="9.140625" style="587" customWidth="1"/>
    <col min="6396" max="6396" width="1.7109375" style="587" customWidth="1"/>
    <col min="6397" max="6398" width="9.140625" style="587" customWidth="1"/>
    <col min="6399" max="6399" width="1.140625" style="587" customWidth="1"/>
    <col min="6400" max="6403" width="9.140625" style="587" customWidth="1"/>
    <col min="6404" max="6404" width="1.140625" style="587" customWidth="1"/>
    <col min="6405" max="6406" width="9.140625" style="587" customWidth="1"/>
    <col min="6407" max="6407" width="2" style="587" customWidth="1"/>
    <col min="6408" max="6408" width="7.5703125" style="587" customWidth="1"/>
    <col min="6409" max="6636" width="11.7109375" style="587" customWidth="1"/>
    <col min="6637" max="6646" width="12.85546875" style="587"/>
    <col min="6647" max="6647" width="25.42578125" style="587" customWidth="1"/>
    <col min="6648" max="6648" width="17.140625" style="587" customWidth="1"/>
    <col min="6649" max="6651" width="9.140625" style="587" customWidth="1"/>
    <col min="6652" max="6652" width="1.7109375" style="587" customWidth="1"/>
    <col min="6653" max="6654" width="9.140625" style="587" customWidth="1"/>
    <col min="6655" max="6655" width="1.140625" style="587" customWidth="1"/>
    <col min="6656" max="6659" width="9.140625" style="587" customWidth="1"/>
    <col min="6660" max="6660" width="1.140625" style="587" customWidth="1"/>
    <col min="6661" max="6662" width="9.140625" style="587" customWidth="1"/>
    <col min="6663" max="6663" width="2" style="587" customWidth="1"/>
    <col min="6664" max="6664" width="7.5703125" style="587" customWidth="1"/>
    <col min="6665" max="6892" width="11.7109375" style="587" customWidth="1"/>
    <col min="6893" max="6902" width="12.85546875" style="587"/>
    <col min="6903" max="6903" width="25.42578125" style="587" customWidth="1"/>
    <col min="6904" max="6904" width="17.140625" style="587" customWidth="1"/>
    <col min="6905" max="6907" width="9.140625" style="587" customWidth="1"/>
    <col min="6908" max="6908" width="1.7109375" style="587" customWidth="1"/>
    <col min="6909" max="6910" width="9.140625" style="587" customWidth="1"/>
    <col min="6911" max="6911" width="1.140625" style="587" customWidth="1"/>
    <col min="6912" max="6915" width="9.140625" style="587" customWidth="1"/>
    <col min="6916" max="6916" width="1.140625" style="587" customWidth="1"/>
    <col min="6917" max="6918" width="9.140625" style="587" customWidth="1"/>
    <col min="6919" max="6919" width="2" style="587" customWidth="1"/>
    <col min="6920" max="6920" width="7.5703125" style="587" customWidth="1"/>
    <col min="6921" max="7148" width="11.7109375" style="587" customWidth="1"/>
    <col min="7149" max="7158" width="12.85546875" style="587"/>
    <col min="7159" max="7159" width="25.42578125" style="587" customWidth="1"/>
    <col min="7160" max="7160" width="17.140625" style="587" customWidth="1"/>
    <col min="7161" max="7163" width="9.140625" style="587" customWidth="1"/>
    <col min="7164" max="7164" width="1.7109375" style="587" customWidth="1"/>
    <col min="7165" max="7166" width="9.140625" style="587" customWidth="1"/>
    <col min="7167" max="7167" width="1.140625" style="587" customWidth="1"/>
    <col min="7168" max="7171" width="9.140625" style="587" customWidth="1"/>
    <col min="7172" max="7172" width="1.140625" style="587" customWidth="1"/>
    <col min="7173" max="7174" width="9.140625" style="587" customWidth="1"/>
    <col min="7175" max="7175" width="2" style="587" customWidth="1"/>
    <col min="7176" max="7176" width="7.5703125" style="587" customWidth="1"/>
    <col min="7177" max="7404" width="11.7109375" style="587" customWidth="1"/>
    <col min="7405" max="7414" width="12.85546875" style="587"/>
    <col min="7415" max="7415" width="25.42578125" style="587" customWidth="1"/>
    <col min="7416" max="7416" width="17.140625" style="587" customWidth="1"/>
    <col min="7417" max="7419" width="9.140625" style="587" customWidth="1"/>
    <col min="7420" max="7420" width="1.7109375" style="587" customWidth="1"/>
    <col min="7421" max="7422" width="9.140625" style="587" customWidth="1"/>
    <col min="7423" max="7423" width="1.140625" style="587" customWidth="1"/>
    <col min="7424" max="7427" width="9.140625" style="587" customWidth="1"/>
    <col min="7428" max="7428" width="1.140625" style="587" customWidth="1"/>
    <col min="7429" max="7430" width="9.140625" style="587" customWidth="1"/>
    <col min="7431" max="7431" width="2" style="587" customWidth="1"/>
    <col min="7432" max="7432" width="7.5703125" style="587" customWidth="1"/>
    <col min="7433" max="7660" width="11.7109375" style="587" customWidth="1"/>
    <col min="7661" max="7670" width="12.85546875" style="587"/>
    <col min="7671" max="7671" width="25.42578125" style="587" customWidth="1"/>
    <col min="7672" max="7672" width="17.140625" style="587" customWidth="1"/>
    <col min="7673" max="7675" width="9.140625" style="587" customWidth="1"/>
    <col min="7676" max="7676" width="1.7109375" style="587" customWidth="1"/>
    <col min="7677" max="7678" width="9.140625" style="587" customWidth="1"/>
    <col min="7679" max="7679" width="1.140625" style="587" customWidth="1"/>
    <col min="7680" max="7683" width="9.140625" style="587" customWidth="1"/>
    <col min="7684" max="7684" width="1.140625" style="587" customWidth="1"/>
    <col min="7685" max="7686" width="9.140625" style="587" customWidth="1"/>
    <col min="7687" max="7687" width="2" style="587" customWidth="1"/>
    <col min="7688" max="7688" width="7.5703125" style="587" customWidth="1"/>
    <col min="7689" max="7916" width="11.7109375" style="587" customWidth="1"/>
    <col min="7917" max="7926" width="12.85546875" style="587"/>
    <col min="7927" max="7927" width="25.42578125" style="587" customWidth="1"/>
    <col min="7928" max="7928" width="17.140625" style="587" customWidth="1"/>
    <col min="7929" max="7931" width="9.140625" style="587" customWidth="1"/>
    <col min="7932" max="7932" width="1.7109375" style="587" customWidth="1"/>
    <col min="7933" max="7934" width="9.140625" style="587" customWidth="1"/>
    <col min="7935" max="7935" width="1.140625" style="587" customWidth="1"/>
    <col min="7936" max="7939" width="9.140625" style="587" customWidth="1"/>
    <col min="7940" max="7940" width="1.140625" style="587" customWidth="1"/>
    <col min="7941" max="7942" width="9.140625" style="587" customWidth="1"/>
    <col min="7943" max="7943" width="2" style="587" customWidth="1"/>
    <col min="7944" max="7944" width="7.5703125" style="587" customWidth="1"/>
    <col min="7945" max="8172" width="11.7109375" style="587" customWidth="1"/>
    <col min="8173" max="8182" width="12.85546875" style="587"/>
    <col min="8183" max="8183" width="25.42578125" style="587" customWidth="1"/>
    <col min="8184" max="8184" width="17.140625" style="587" customWidth="1"/>
    <col min="8185" max="8187" width="9.140625" style="587" customWidth="1"/>
    <col min="8188" max="8188" width="1.7109375" style="587" customWidth="1"/>
    <col min="8189" max="8190" width="9.140625" style="587" customWidth="1"/>
    <col min="8191" max="8191" width="1.140625" style="587" customWidth="1"/>
    <col min="8192" max="8195" width="9.140625" style="587" customWidth="1"/>
    <col min="8196" max="8196" width="1.140625" style="587" customWidth="1"/>
    <col min="8197" max="8198" width="9.140625" style="587" customWidth="1"/>
    <col min="8199" max="8199" width="2" style="587" customWidth="1"/>
    <col min="8200" max="8200" width="7.5703125" style="587" customWidth="1"/>
    <col min="8201" max="8428" width="11.7109375" style="587" customWidth="1"/>
    <col min="8429" max="8438" width="12.85546875" style="587"/>
    <col min="8439" max="8439" width="25.42578125" style="587" customWidth="1"/>
    <col min="8440" max="8440" width="17.140625" style="587" customWidth="1"/>
    <col min="8441" max="8443" width="9.140625" style="587" customWidth="1"/>
    <col min="8444" max="8444" width="1.7109375" style="587" customWidth="1"/>
    <col min="8445" max="8446" width="9.140625" style="587" customWidth="1"/>
    <col min="8447" max="8447" width="1.140625" style="587" customWidth="1"/>
    <col min="8448" max="8451" width="9.140625" style="587" customWidth="1"/>
    <col min="8452" max="8452" width="1.140625" style="587" customWidth="1"/>
    <col min="8453" max="8454" width="9.140625" style="587" customWidth="1"/>
    <col min="8455" max="8455" width="2" style="587" customWidth="1"/>
    <col min="8456" max="8456" width="7.5703125" style="587" customWidth="1"/>
    <col min="8457" max="8684" width="11.7109375" style="587" customWidth="1"/>
    <col min="8685" max="8694" width="12.85546875" style="587"/>
    <col min="8695" max="8695" width="25.42578125" style="587" customWidth="1"/>
    <col min="8696" max="8696" width="17.140625" style="587" customWidth="1"/>
    <col min="8697" max="8699" width="9.140625" style="587" customWidth="1"/>
    <col min="8700" max="8700" width="1.7109375" style="587" customWidth="1"/>
    <col min="8701" max="8702" width="9.140625" style="587" customWidth="1"/>
    <col min="8703" max="8703" width="1.140625" style="587" customWidth="1"/>
    <col min="8704" max="8707" width="9.140625" style="587" customWidth="1"/>
    <col min="8708" max="8708" width="1.140625" style="587" customWidth="1"/>
    <col min="8709" max="8710" width="9.140625" style="587" customWidth="1"/>
    <col min="8711" max="8711" width="2" style="587" customWidth="1"/>
    <col min="8712" max="8712" width="7.5703125" style="587" customWidth="1"/>
    <col min="8713" max="8940" width="11.7109375" style="587" customWidth="1"/>
    <col min="8941" max="8950" width="12.85546875" style="587"/>
    <col min="8951" max="8951" width="25.42578125" style="587" customWidth="1"/>
    <col min="8952" max="8952" width="17.140625" style="587" customWidth="1"/>
    <col min="8953" max="8955" width="9.140625" style="587" customWidth="1"/>
    <col min="8956" max="8956" width="1.7109375" style="587" customWidth="1"/>
    <col min="8957" max="8958" width="9.140625" style="587" customWidth="1"/>
    <col min="8959" max="8959" width="1.140625" style="587" customWidth="1"/>
    <col min="8960" max="8963" width="9.140625" style="587" customWidth="1"/>
    <col min="8964" max="8964" width="1.140625" style="587" customWidth="1"/>
    <col min="8965" max="8966" width="9.140625" style="587" customWidth="1"/>
    <col min="8967" max="8967" width="2" style="587" customWidth="1"/>
    <col min="8968" max="8968" width="7.5703125" style="587" customWidth="1"/>
    <col min="8969" max="9196" width="11.7109375" style="587" customWidth="1"/>
    <col min="9197" max="9206" width="12.85546875" style="587"/>
    <col min="9207" max="9207" width="25.42578125" style="587" customWidth="1"/>
    <col min="9208" max="9208" width="17.140625" style="587" customWidth="1"/>
    <col min="9209" max="9211" width="9.140625" style="587" customWidth="1"/>
    <col min="9212" max="9212" width="1.7109375" style="587" customWidth="1"/>
    <col min="9213" max="9214" width="9.140625" style="587" customWidth="1"/>
    <col min="9215" max="9215" width="1.140625" style="587" customWidth="1"/>
    <col min="9216" max="9219" width="9.140625" style="587" customWidth="1"/>
    <col min="9220" max="9220" width="1.140625" style="587" customWidth="1"/>
    <col min="9221" max="9222" width="9.140625" style="587" customWidth="1"/>
    <col min="9223" max="9223" width="2" style="587" customWidth="1"/>
    <col min="9224" max="9224" width="7.5703125" style="587" customWidth="1"/>
    <col min="9225" max="9452" width="11.7109375" style="587" customWidth="1"/>
    <col min="9453" max="9462" width="12.85546875" style="587"/>
    <col min="9463" max="9463" width="25.42578125" style="587" customWidth="1"/>
    <col min="9464" max="9464" width="17.140625" style="587" customWidth="1"/>
    <col min="9465" max="9467" width="9.140625" style="587" customWidth="1"/>
    <col min="9468" max="9468" width="1.7109375" style="587" customWidth="1"/>
    <col min="9469" max="9470" width="9.140625" style="587" customWidth="1"/>
    <col min="9471" max="9471" width="1.140625" style="587" customWidth="1"/>
    <col min="9472" max="9475" width="9.140625" style="587" customWidth="1"/>
    <col min="9476" max="9476" width="1.140625" style="587" customWidth="1"/>
    <col min="9477" max="9478" width="9.140625" style="587" customWidth="1"/>
    <col min="9479" max="9479" width="2" style="587" customWidth="1"/>
    <col min="9480" max="9480" width="7.5703125" style="587" customWidth="1"/>
    <col min="9481" max="9708" width="11.7109375" style="587" customWidth="1"/>
    <col min="9709" max="9718" width="12.85546875" style="587"/>
    <col min="9719" max="9719" width="25.42578125" style="587" customWidth="1"/>
    <col min="9720" max="9720" width="17.140625" style="587" customWidth="1"/>
    <col min="9721" max="9723" width="9.140625" style="587" customWidth="1"/>
    <col min="9724" max="9724" width="1.7109375" style="587" customWidth="1"/>
    <col min="9725" max="9726" width="9.140625" style="587" customWidth="1"/>
    <col min="9727" max="9727" width="1.140625" style="587" customWidth="1"/>
    <col min="9728" max="9731" width="9.140625" style="587" customWidth="1"/>
    <col min="9732" max="9732" width="1.140625" style="587" customWidth="1"/>
    <col min="9733" max="9734" width="9.140625" style="587" customWidth="1"/>
    <col min="9735" max="9735" width="2" style="587" customWidth="1"/>
    <col min="9736" max="9736" width="7.5703125" style="587" customWidth="1"/>
    <col min="9737" max="9964" width="11.7109375" style="587" customWidth="1"/>
    <col min="9965" max="9974" width="12.85546875" style="587"/>
    <col min="9975" max="9975" width="25.42578125" style="587" customWidth="1"/>
    <col min="9976" max="9976" width="17.140625" style="587" customWidth="1"/>
    <col min="9977" max="9979" width="9.140625" style="587" customWidth="1"/>
    <col min="9980" max="9980" width="1.7109375" style="587" customWidth="1"/>
    <col min="9981" max="9982" width="9.140625" style="587" customWidth="1"/>
    <col min="9983" max="9983" width="1.140625" style="587" customWidth="1"/>
    <col min="9984" max="9987" width="9.140625" style="587" customWidth="1"/>
    <col min="9988" max="9988" width="1.140625" style="587" customWidth="1"/>
    <col min="9989" max="9990" width="9.140625" style="587" customWidth="1"/>
    <col min="9991" max="9991" width="2" style="587" customWidth="1"/>
    <col min="9992" max="9992" width="7.5703125" style="587" customWidth="1"/>
    <col min="9993" max="10220" width="11.7109375" style="587" customWidth="1"/>
    <col min="10221" max="10230" width="12.85546875" style="587"/>
    <col min="10231" max="10231" width="25.42578125" style="587" customWidth="1"/>
    <col min="10232" max="10232" width="17.140625" style="587" customWidth="1"/>
    <col min="10233" max="10235" width="9.140625" style="587" customWidth="1"/>
    <col min="10236" max="10236" width="1.7109375" style="587" customWidth="1"/>
    <col min="10237" max="10238" width="9.140625" style="587" customWidth="1"/>
    <col min="10239" max="10239" width="1.140625" style="587" customWidth="1"/>
    <col min="10240" max="10243" width="9.140625" style="587" customWidth="1"/>
    <col min="10244" max="10244" width="1.140625" style="587" customWidth="1"/>
    <col min="10245" max="10246" width="9.140625" style="587" customWidth="1"/>
    <col min="10247" max="10247" width="2" style="587" customWidth="1"/>
    <col min="10248" max="10248" width="7.5703125" style="587" customWidth="1"/>
    <col min="10249" max="10476" width="11.7109375" style="587" customWidth="1"/>
    <col min="10477" max="10486" width="12.85546875" style="587"/>
    <col min="10487" max="10487" width="25.42578125" style="587" customWidth="1"/>
    <col min="10488" max="10488" width="17.140625" style="587" customWidth="1"/>
    <col min="10489" max="10491" width="9.140625" style="587" customWidth="1"/>
    <col min="10492" max="10492" width="1.7109375" style="587" customWidth="1"/>
    <col min="10493" max="10494" width="9.140625" style="587" customWidth="1"/>
    <col min="10495" max="10495" width="1.140625" style="587" customWidth="1"/>
    <col min="10496" max="10499" width="9.140625" style="587" customWidth="1"/>
    <col min="10500" max="10500" width="1.140625" style="587" customWidth="1"/>
    <col min="10501" max="10502" width="9.140625" style="587" customWidth="1"/>
    <col min="10503" max="10503" width="2" style="587" customWidth="1"/>
    <col min="10504" max="10504" width="7.5703125" style="587" customWidth="1"/>
    <col min="10505" max="10732" width="11.7109375" style="587" customWidth="1"/>
    <col min="10733" max="10742" width="12.85546875" style="587"/>
    <col min="10743" max="10743" width="25.42578125" style="587" customWidth="1"/>
    <col min="10744" max="10744" width="17.140625" style="587" customWidth="1"/>
    <col min="10745" max="10747" width="9.140625" style="587" customWidth="1"/>
    <col min="10748" max="10748" width="1.7109375" style="587" customWidth="1"/>
    <col min="10749" max="10750" width="9.140625" style="587" customWidth="1"/>
    <col min="10751" max="10751" width="1.140625" style="587" customWidth="1"/>
    <col min="10752" max="10755" width="9.140625" style="587" customWidth="1"/>
    <col min="10756" max="10756" width="1.140625" style="587" customWidth="1"/>
    <col min="10757" max="10758" width="9.140625" style="587" customWidth="1"/>
    <col min="10759" max="10759" width="2" style="587" customWidth="1"/>
    <col min="10760" max="10760" width="7.5703125" style="587" customWidth="1"/>
    <col min="10761" max="10988" width="11.7109375" style="587" customWidth="1"/>
    <col min="10989" max="10998" width="12.85546875" style="587"/>
    <col min="10999" max="10999" width="25.42578125" style="587" customWidth="1"/>
    <col min="11000" max="11000" width="17.140625" style="587" customWidth="1"/>
    <col min="11001" max="11003" width="9.140625" style="587" customWidth="1"/>
    <col min="11004" max="11004" width="1.7109375" style="587" customWidth="1"/>
    <col min="11005" max="11006" width="9.140625" style="587" customWidth="1"/>
    <col min="11007" max="11007" width="1.140625" style="587" customWidth="1"/>
    <col min="11008" max="11011" width="9.140625" style="587" customWidth="1"/>
    <col min="11012" max="11012" width="1.140625" style="587" customWidth="1"/>
    <col min="11013" max="11014" width="9.140625" style="587" customWidth="1"/>
    <col min="11015" max="11015" width="2" style="587" customWidth="1"/>
    <col min="11016" max="11016" width="7.5703125" style="587" customWidth="1"/>
    <col min="11017" max="11244" width="11.7109375" style="587" customWidth="1"/>
    <col min="11245" max="11254" width="12.85546875" style="587"/>
    <col min="11255" max="11255" width="25.42578125" style="587" customWidth="1"/>
    <col min="11256" max="11256" width="17.140625" style="587" customWidth="1"/>
    <col min="11257" max="11259" width="9.140625" style="587" customWidth="1"/>
    <col min="11260" max="11260" width="1.7109375" style="587" customWidth="1"/>
    <col min="11261" max="11262" width="9.140625" style="587" customWidth="1"/>
    <col min="11263" max="11263" width="1.140625" style="587" customWidth="1"/>
    <col min="11264" max="11267" width="9.140625" style="587" customWidth="1"/>
    <col min="11268" max="11268" width="1.140625" style="587" customWidth="1"/>
    <col min="11269" max="11270" width="9.140625" style="587" customWidth="1"/>
    <col min="11271" max="11271" width="2" style="587" customWidth="1"/>
    <col min="11272" max="11272" width="7.5703125" style="587" customWidth="1"/>
    <col min="11273" max="11500" width="11.7109375" style="587" customWidth="1"/>
    <col min="11501" max="11510" width="12.85546875" style="587"/>
    <col min="11511" max="11511" width="25.42578125" style="587" customWidth="1"/>
    <col min="11512" max="11512" width="17.140625" style="587" customWidth="1"/>
    <col min="11513" max="11515" width="9.140625" style="587" customWidth="1"/>
    <col min="11516" max="11516" width="1.7109375" style="587" customWidth="1"/>
    <col min="11517" max="11518" width="9.140625" style="587" customWidth="1"/>
    <col min="11519" max="11519" width="1.140625" style="587" customWidth="1"/>
    <col min="11520" max="11523" width="9.140625" style="587" customWidth="1"/>
    <col min="11524" max="11524" width="1.140625" style="587" customWidth="1"/>
    <col min="11525" max="11526" width="9.140625" style="587" customWidth="1"/>
    <col min="11527" max="11527" width="2" style="587" customWidth="1"/>
    <col min="11528" max="11528" width="7.5703125" style="587" customWidth="1"/>
    <col min="11529" max="11756" width="11.7109375" style="587" customWidth="1"/>
    <col min="11757" max="11766" width="12.85546875" style="587"/>
    <col min="11767" max="11767" width="25.42578125" style="587" customWidth="1"/>
    <col min="11768" max="11768" width="17.140625" style="587" customWidth="1"/>
    <col min="11769" max="11771" width="9.140625" style="587" customWidth="1"/>
    <col min="11772" max="11772" width="1.7109375" style="587" customWidth="1"/>
    <col min="11773" max="11774" width="9.140625" style="587" customWidth="1"/>
    <col min="11775" max="11775" width="1.140625" style="587" customWidth="1"/>
    <col min="11776" max="11779" width="9.140625" style="587" customWidth="1"/>
    <col min="11780" max="11780" width="1.140625" style="587" customWidth="1"/>
    <col min="11781" max="11782" width="9.140625" style="587" customWidth="1"/>
    <col min="11783" max="11783" width="2" style="587" customWidth="1"/>
    <col min="11784" max="11784" width="7.5703125" style="587" customWidth="1"/>
    <col min="11785" max="12012" width="11.7109375" style="587" customWidth="1"/>
    <col min="12013" max="12022" width="12.85546875" style="587"/>
    <col min="12023" max="12023" width="25.42578125" style="587" customWidth="1"/>
    <col min="12024" max="12024" width="17.140625" style="587" customWidth="1"/>
    <col min="12025" max="12027" width="9.140625" style="587" customWidth="1"/>
    <col min="12028" max="12028" width="1.7109375" style="587" customWidth="1"/>
    <col min="12029" max="12030" width="9.140625" style="587" customWidth="1"/>
    <col min="12031" max="12031" width="1.140625" style="587" customWidth="1"/>
    <col min="12032" max="12035" width="9.140625" style="587" customWidth="1"/>
    <col min="12036" max="12036" width="1.140625" style="587" customWidth="1"/>
    <col min="12037" max="12038" width="9.140625" style="587" customWidth="1"/>
    <col min="12039" max="12039" width="2" style="587" customWidth="1"/>
    <col min="12040" max="12040" width="7.5703125" style="587" customWidth="1"/>
    <col min="12041" max="12268" width="11.7109375" style="587" customWidth="1"/>
    <col min="12269" max="12278" width="12.85546875" style="587"/>
    <col min="12279" max="12279" width="25.42578125" style="587" customWidth="1"/>
    <col min="12280" max="12280" width="17.140625" style="587" customWidth="1"/>
    <col min="12281" max="12283" width="9.140625" style="587" customWidth="1"/>
    <col min="12284" max="12284" width="1.7109375" style="587" customWidth="1"/>
    <col min="12285" max="12286" width="9.140625" style="587" customWidth="1"/>
    <col min="12287" max="12287" width="1.140625" style="587" customWidth="1"/>
    <col min="12288" max="12291" width="9.140625" style="587" customWidth="1"/>
    <col min="12292" max="12292" width="1.140625" style="587" customWidth="1"/>
    <col min="12293" max="12294" width="9.140625" style="587" customWidth="1"/>
    <col min="12295" max="12295" width="2" style="587" customWidth="1"/>
    <col min="12296" max="12296" width="7.5703125" style="587" customWidth="1"/>
    <col min="12297" max="12524" width="11.7109375" style="587" customWidth="1"/>
    <col min="12525" max="12534" width="12.85546875" style="587"/>
    <col min="12535" max="12535" width="25.42578125" style="587" customWidth="1"/>
    <col min="12536" max="12536" width="17.140625" style="587" customWidth="1"/>
    <col min="12537" max="12539" width="9.140625" style="587" customWidth="1"/>
    <col min="12540" max="12540" width="1.7109375" style="587" customWidth="1"/>
    <col min="12541" max="12542" width="9.140625" style="587" customWidth="1"/>
    <col min="12543" max="12543" width="1.140625" style="587" customWidth="1"/>
    <col min="12544" max="12547" width="9.140625" style="587" customWidth="1"/>
    <col min="12548" max="12548" width="1.140625" style="587" customWidth="1"/>
    <col min="12549" max="12550" width="9.140625" style="587" customWidth="1"/>
    <col min="12551" max="12551" width="2" style="587" customWidth="1"/>
    <col min="12552" max="12552" width="7.5703125" style="587" customWidth="1"/>
    <col min="12553" max="12780" width="11.7109375" style="587" customWidth="1"/>
    <col min="12781" max="12790" width="12.85546875" style="587"/>
    <col min="12791" max="12791" width="25.42578125" style="587" customWidth="1"/>
    <col min="12792" max="12792" width="17.140625" style="587" customWidth="1"/>
    <col min="12793" max="12795" width="9.140625" style="587" customWidth="1"/>
    <col min="12796" max="12796" width="1.7109375" style="587" customWidth="1"/>
    <col min="12797" max="12798" width="9.140625" style="587" customWidth="1"/>
    <col min="12799" max="12799" width="1.140625" style="587" customWidth="1"/>
    <col min="12800" max="12803" width="9.140625" style="587" customWidth="1"/>
    <col min="12804" max="12804" width="1.140625" style="587" customWidth="1"/>
    <col min="12805" max="12806" width="9.140625" style="587" customWidth="1"/>
    <col min="12807" max="12807" width="2" style="587" customWidth="1"/>
    <col min="12808" max="12808" width="7.5703125" style="587" customWidth="1"/>
    <col min="12809" max="13036" width="11.7109375" style="587" customWidth="1"/>
    <col min="13037" max="13046" width="12.85546875" style="587"/>
    <col min="13047" max="13047" width="25.42578125" style="587" customWidth="1"/>
    <col min="13048" max="13048" width="17.140625" style="587" customWidth="1"/>
    <col min="13049" max="13051" width="9.140625" style="587" customWidth="1"/>
    <col min="13052" max="13052" width="1.7109375" style="587" customWidth="1"/>
    <col min="13053" max="13054" width="9.140625" style="587" customWidth="1"/>
    <col min="13055" max="13055" width="1.140625" style="587" customWidth="1"/>
    <col min="13056" max="13059" width="9.140625" style="587" customWidth="1"/>
    <col min="13060" max="13060" width="1.140625" style="587" customWidth="1"/>
    <col min="13061" max="13062" width="9.140625" style="587" customWidth="1"/>
    <col min="13063" max="13063" width="2" style="587" customWidth="1"/>
    <col min="13064" max="13064" width="7.5703125" style="587" customWidth="1"/>
    <col min="13065" max="13292" width="11.7109375" style="587" customWidth="1"/>
    <col min="13293" max="13302" width="12.85546875" style="587"/>
    <col min="13303" max="13303" width="25.42578125" style="587" customWidth="1"/>
    <col min="13304" max="13304" width="17.140625" style="587" customWidth="1"/>
    <col min="13305" max="13307" width="9.140625" style="587" customWidth="1"/>
    <col min="13308" max="13308" width="1.7109375" style="587" customWidth="1"/>
    <col min="13309" max="13310" width="9.140625" style="587" customWidth="1"/>
    <col min="13311" max="13311" width="1.140625" style="587" customWidth="1"/>
    <col min="13312" max="13315" width="9.140625" style="587" customWidth="1"/>
    <col min="13316" max="13316" width="1.140625" style="587" customWidth="1"/>
    <col min="13317" max="13318" width="9.140625" style="587" customWidth="1"/>
    <col min="13319" max="13319" width="2" style="587" customWidth="1"/>
    <col min="13320" max="13320" width="7.5703125" style="587" customWidth="1"/>
    <col min="13321" max="13548" width="11.7109375" style="587" customWidth="1"/>
    <col min="13549" max="13558" width="12.85546875" style="587"/>
    <col min="13559" max="13559" width="25.42578125" style="587" customWidth="1"/>
    <col min="13560" max="13560" width="17.140625" style="587" customWidth="1"/>
    <col min="13561" max="13563" width="9.140625" style="587" customWidth="1"/>
    <col min="13564" max="13564" width="1.7109375" style="587" customWidth="1"/>
    <col min="13565" max="13566" width="9.140625" style="587" customWidth="1"/>
    <col min="13567" max="13567" width="1.140625" style="587" customWidth="1"/>
    <col min="13568" max="13571" width="9.140625" style="587" customWidth="1"/>
    <col min="13572" max="13572" width="1.140625" style="587" customWidth="1"/>
    <col min="13573" max="13574" width="9.140625" style="587" customWidth="1"/>
    <col min="13575" max="13575" width="2" style="587" customWidth="1"/>
    <col min="13576" max="13576" width="7.5703125" style="587" customWidth="1"/>
    <col min="13577" max="13804" width="11.7109375" style="587" customWidth="1"/>
    <col min="13805" max="13814" width="12.85546875" style="587"/>
    <col min="13815" max="13815" width="25.42578125" style="587" customWidth="1"/>
    <col min="13816" max="13816" width="17.140625" style="587" customWidth="1"/>
    <col min="13817" max="13819" width="9.140625" style="587" customWidth="1"/>
    <col min="13820" max="13820" width="1.7109375" style="587" customWidth="1"/>
    <col min="13821" max="13822" width="9.140625" style="587" customWidth="1"/>
    <col min="13823" max="13823" width="1.140625" style="587" customWidth="1"/>
    <col min="13824" max="13827" width="9.140625" style="587" customWidth="1"/>
    <col min="13828" max="13828" width="1.140625" style="587" customWidth="1"/>
    <col min="13829" max="13830" width="9.140625" style="587" customWidth="1"/>
    <col min="13831" max="13831" width="2" style="587" customWidth="1"/>
    <col min="13832" max="13832" width="7.5703125" style="587" customWidth="1"/>
    <col min="13833" max="14060" width="11.7109375" style="587" customWidth="1"/>
    <col min="14061" max="14070" width="12.85546875" style="587"/>
    <col min="14071" max="14071" width="25.42578125" style="587" customWidth="1"/>
    <col min="14072" max="14072" width="17.140625" style="587" customWidth="1"/>
    <col min="14073" max="14075" width="9.140625" style="587" customWidth="1"/>
    <col min="14076" max="14076" width="1.7109375" style="587" customWidth="1"/>
    <col min="14077" max="14078" width="9.140625" style="587" customWidth="1"/>
    <col min="14079" max="14079" width="1.140625" style="587" customWidth="1"/>
    <col min="14080" max="14083" width="9.140625" style="587" customWidth="1"/>
    <col min="14084" max="14084" width="1.140625" style="587" customWidth="1"/>
    <col min="14085" max="14086" width="9.140625" style="587" customWidth="1"/>
    <col min="14087" max="14087" width="2" style="587" customWidth="1"/>
    <col min="14088" max="14088" width="7.5703125" style="587" customWidth="1"/>
    <col min="14089" max="14316" width="11.7109375" style="587" customWidth="1"/>
    <col min="14317" max="14326" width="12.85546875" style="587"/>
    <col min="14327" max="14327" width="25.42578125" style="587" customWidth="1"/>
    <col min="14328" max="14328" width="17.140625" style="587" customWidth="1"/>
    <col min="14329" max="14331" width="9.140625" style="587" customWidth="1"/>
    <col min="14332" max="14332" width="1.7109375" style="587" customWidth="1"/>
    <col min="14333" max="14334" width="9.140625" style="587" customWidth="1"/>
    <col min="14335" max="14335" width="1.140625" style="587" customWidth="1"/>
    <col min="14336" max="14339" width="9.140625" style="587" customWidth="1"/>
    <col min="14340" max="14340" width="1.140625" style="587" customWidth="1"/>
    <col min="14341" max="14342" width="9.140625" style="587" customWidth="1"/>
    <col min="14343" max="14343" width="2" style="587" customWidth="1"/>
    <col min="14344" max="14344" width="7.5703125" style="587" customWidth="1"/>
    <col min="14345" max="14572" width="11.7109375" style="587" customWidth="1"/>
    <col min="14573" max="14582" width="12.85546875" style="587"/>
    <col min="14583" max="14583" width="25.42578125" style="587" customWidth="1"/>
    <col min="14584" max="14584" width="17.140625" style="587" customWidth="1"/>
    <col min="14585" max="14587" width="9.140625" style="587" customWidth="1"/>
    <col min="14588" max="14588" width="1.7109375" style="587" customWidth="1"/>
    <col min="14589" max="14590" width="9.140625" style="587" customWidth="1"/>
    <col min="14591" max="14591" width="1.140625" style="587" customWidth="1"/>
    <col min="14592" max="14595" width="9.140625" style="587" customWidth="1"/>
    <col min="14596" max="14596" width="1.140625" style="587" customWidth="1"/>
    <col min="14597" max="14598" width="9.140625" style="587" customWidth="1"/>
    <col min="14599" max="14599" width="2" style="587" customWidth="1"/>
    <col min="14600" max="14600" width="7.5703125" style="587" customWidth="1"/>
    <col min="14601" max="14828" width="11.7109375" style="587" customWidth="1"/>
    <col min="14829" max="14838" width="12.85546875" style="587"/>
    <col min="14839" max="14839" width="25.42578125" style="587" customWidth="1"/>
    <col min="14840" max="14840" width="17.140625" style="587" customWidth="1"/>
    <col min="14841" max="14843" width="9.140625" style="587" customWidth="1"/>
    <col min="14844" max="14844" width="1.7109375" style="587" customWidth="1"/>
    <col min="14845" max="14846" width="9.140625" style="587" customWidth="1"/>
    <col min="14847" max="14847" width="1.140625" style="587" customWidth="1"/>
    <col min="14848" max="14851" width="9.140625" style="587" customWidth="1"/>
    <col min="14852" max="14852" width="1.140625" style="587" customWidth="1"/>
    <col min="14853" max="14854" width="9.140625" style="587" customWidth="1"/>
    <col min="14855" max="14855" width="2" style="587" customWidth="1"/>
    <col min="14856" max="14856" width="7.5703125" style="587" customWidth="1"/>
    <col min="14857" max="15084" width="11.7109375" style="587" customWidth="1"/>
    <col min="15085" max="15094" width="12.85546875" style="587"/>
    <col min="15095" max="15095" width="25.42578125" style="587" customWidth="1"/>
    <col min="15096" max="15096" width="17.140625" style="587" customWidth="1"/>
    <col min="15097" max="15099" width="9.140625" style="587" customWidth="1"/>
    <col min="15100" max="15100" width="1.7109375" style="587" customWidth="1"/>
    <col min="15101" max="15102" width="9.140625" style="587" customWidth="1"/>
    <col min="15103" max="15103" width="1.140625" style="587" customWidth="1"/>
    <col min="15104" max="15107" width="9.140625" style="587" customWidth="1"/>
    <col min="15108" max="15108" width="1.140625" style="587" customWidth="1"/>
    <col min="15109" max="15110" width="9.140625" style="587" customWidth="1"/>
    <col min="15111" max="15111" width="2" style="587" customWidth="1"/>
    <col min="15112" max="15112" width="7.5703125" style="587" customWidth="1"/>
    <col min="15113" max="15340" width="11.7109375" style="587" customWidth="1"/>
    <col min="15341" max="15350" width="12.85546875" style="587"/>
    <col min="15351" max="15351" width="25.42578125" style="587" customWidth="1"/>
    <col min="15352" max="15352" width="17.140625" style="587" customWidth="1"/>
    <col min="15353" max="15355" width="9.140625" style="587" customWidth="1"/>
    <col min="15356" max="15356" width="1.7109375" style="587" customWidth="1"/>
    <col min="15357" max="15358" width="9.140625" style="587" customWidth="1"/>
    <col min="15359" max="15359" width="1.140625" style="587" customWidth="1"/>
    <col min="15360" max="15363" width="9.140625" style="587" customWidth="1"/>
    <col min="15364" max="15364" width="1.140625" style="587" customWidth="1"/>
    <col min="15365" max="15366" width="9.140625" style="587" customWidth="1"/>
    <col min="15367" max="15367" width="2" style="587" customWidth="1"/>
    <col min="15368" max="15368" width="7.5703125" style="587" customWidth="1"/>
    <col min="15369" max="15596" width="11.7109375" style="587" customWidth="1"/>
    <col min="15597" max="15606" width="12.85546875" style="587"/>
    <col min="15607" max="15607" width="25.42578125" style="587" customWidth="1"/>
    <col min="15608" max="15608" width="17.140625" style="587" customWidth="1"/>
    <col min="15609" max="15611" width="9.140625" style="587" customWidth="1"/>
    <col min="15612" max="15612" width="1.7109375" style="587" customWidth="1"/>
    <col min="15613" max="15614" width="9.140625" style="587" customWidth="1"/>
    <col min="15615" max="15615" width="1.140625" style="587" customWidth="1"/>
    <col min="15616" max="15619" width="9.140625" style="587" customWidth="1"/>
    <col min="15620" max="15620" width="1.140625" style="587" customWidth="1"/>
    <col min="15621" max="15622" width="9.140625" style="587" customWidth="1"/>
    <col min="15623" max="15623" width="2" style="587" customWidth="1"/>
    <col min="15624" max="15624" width="7.5703125" style="587" customWidth="1"/>
    <col min="15625" max="15852" width="11.7109375" style="587" customWidth="1"/>
    <col min="15853" max="15862" width="12.85546875" style="587"/>
    <col min="15863" max="15863" width="25.42578125" style="587" customWidth="1"/>
    <col min="15864" max="15864" width="17.140625" style="587" customWidth="1"/>
    <col min="15865" max="15867" width="9.140625" style="587" customWidth="1"/>
    <col min="15868" max="15868" width="1.7109375" style="587" customWidth="1"/>
    <col min="15869" max="15870" width="9.140625" style="587" customWidth="1"/>
    <col min="15871" max="15871" width="1.140625" style="587" customWidth="1"/>
    <col min="15872" max="15875" width="9.140625" style="587" customWidth="1"/>
    <col min="15876" max="15876" width="1.140625" style="587" customWidth="1"/>
    <col min="15877" max="15878" width="9.140625" style="587" customWidth="1"/>
    <col min="15879" max="15879" width="2" style="587" customWidth="1"/>
    <col min="15880" max="15880" width="7.5703125" style="587" customWidth="1"/>
    <col min="15881" max="16108" width="11.7109375" style="587" customWidth="1"/>
    <col min="16109" max="16118" width="12.85546875" style="587"/>
    <col min="16119" max="16119" width="25.42578125" style="587" customWidth="1"/>
    <col min="16120" max="16120" width="17.140625" style="587" customWidth="1"/>
    <col min="16121" max="16123" width="9.140625" style="587" customWidth="1"/>
    <col min="16124" max="16124" width="1.7109375" style="587" customWidth="1"/>
    <col min="16125" max="16126" width="9.140625" style="587" customWidth="1"/>
    <col min="16127" max="16127" width="1.140625" style="587" customWidth="1"/>
    <col min="16128" max="16131" width="9.140625" style="587" customWidth="1"/>
    <col min="16132" max="16132" width="1.140625" style="587" customWidth="1"/>
    <col min="16133" max="16134" width="9.140625" style="587" customWidth="1"/>
    <col min="16135" max="16135" width="2" style="587" customWidth="1"/>
    <col min="16136" max="16136" width="7.5703125" style="587" customWidth="1"/>
    <col min="16137" max="16364" width="11.7109375" style="587" customWidth="1"/>
    <col min="16365" max="16384" width="12.85546875" style="587"/>
  </cols>
  <sheetData>
    <row r="1" spans="1:30" ht="15" x14ac:dyDescent="0.25">
      <c r="A1" s="600">
        <f>Konti_PTS!B7</f>
        <v>0</v>
      </c>
      <c r="R1" s="601" t="str">
        <f>"K:\BH_mit_AbtIIa\_mit_PD\Bedarf 20"&amp;RIGHT(O2,2)-1&amp;"\"&amp;VLOOKUP(A1,CI!C:S,11,FALSE)&amp;"\"</f>
        <v>K:\BH_mit_AbtIIa\_mit_PD\Bedarf 2024\\</v>
      </c>
      <c r="Z1"/>
      <c r="AA1"/>
      <c r="AD1" s="587" t="str">
        <f>RIGHT(O2,2)</f>
        <v>25</v>
      </c>
    </row>
    <row r="2" spans="1:30" s="603" customFormat="1" ht="43.5" customHeight="1" x14ac:dyDescent="0.15">
      <c r="A2" s="602" t="str">
        <f>Konti_PTS!C7</f>
        <v>PTS  . . .</v>
      </c>
      <c r="B2" s="520"/>
      <c r="C2" s="595"/>
      <c r="D2" s="595"/>
      <c r="E2" s="587"/>
      <c r="H2" s="587"/>
      <c r="I2" s="587"/>
      <c r="J2" s="587"/>
      <c r="K2" s="516"/>
      <c r="L2" s="516"/>
      <c r="N2" s="587"/>
      <c r="O2" s="604" t="str">
        <f>"Schuljahr 20"&amp;RIGHT(Konti_PTS!H1,5)</f>
        <v>Schuljahr 2024/25</v>
      </c>
      <c r="R2" s="601" t="str">
        <f>"K:\BH_mit_AbtIIa\_mit_PD\Bedarf 20"&amp;RIGHT(O2,2)-1&amp;"\Muttersprache\"</f>
        <v>K:\BH_mit_AbtIIa\_mit_PD\Bedarf 2024\Muttersprache\</v>
      </c>
      <c r="V2" s="605"/>
    </row>
    <row r="3" spans="1:30" ht="155.25" customHeight="1" x14ac:dyDescent="0.25">
      <c r="A3" s="843" t="s">
        <v>386</v>
      </c>
      <c r="B3" s="844"/>
      <c r="C3" s="606" t="s">
        <v>342</v>
      </c>
      <c r="D3" s="607" t="s">
        <v>343</v>
      </c>
      <c r="E3" s="608"/>
      <c r="F3" s="609" t="s">
        <v>351</v>
      </c>
      <c r="G3" s="610"/>
      <c r="H3" s="611" t="s">
        <v>344</v>
      </c>
      <c r="I3" s="612" t="s">
        <v>346</v>
      </c>
      <c r="J3" s="613" t="s">
        <v>347</v>
      </c>
      <c r="K3" s="614" t="s">
        <v>348</v>
      </c>
      <c r="L3" s="615" t="s">
        <v>349</v>
      </c>
      <c r="M3" s="615" t="s">
        <v>350</v>
      </c>
      <c r="N3" s="613" t="s">
        <v>345</v>
      </c>
      <c r="O3" s="774" t="s">
        <v>391</v>
      </c>
      <c r="R3" s="601" t="str">
        <f>"K:\BH_mit_AbtIIa\_mit_PD\Bedarf 20"&amp;RIGHT(O2,2)-1&amp;"\Religion\"</f>
        <v>K:\BH_mit_AbtIIa\_mit_PD\Bedarf 2024\Religion\</v>
      </c>
      <c r="V3" s="601"/>
      <c r="X3" s="601"/>
    </row>
    <row r="4" spans="1:30" s="626" customFormat="1" ht="22.5" x14ac:dyDescent="0.2">
      <c r="A4" s="616" t="s">
        <v>356</v>
      </c>
      <c r="B4" s="617" t="s">
        <v>357</v>
      </c>
      <c r="C4" s="618"/>
      <c r="D4" s="619"/>
      <c r="E4" s="620"/>
      <c r="F4" s="621" t="s">
        <v>358</v>
      </c>
      <c r="G4" s="618"/>
      <c r="H4" s="618" t="s">
        <v>359</v>
      </c>
      <c r="I4" s="622" t="s">
        <v>360</v>
      </c>
      <c r="J4" s="618" t="s">
        <v>361</v>
      </c>
      <c r="K4" s="623" t="s">
        <v>362</v>
      </c>
      <c r="L4" s="624" t="s">
        <v>363</v>
      </c>
      <c r="M4" s="624" t="s">
        <v>364</v>
      </c>
      <c r="N4" s="618"/>
      <c r="O4" s="625" t="s">
        <v>365</v>
      </c>
      <c r="R4" s="605" t="str">
        <f ca="1">VLOOKUP(A1,CI!C:S,8,FALSE)&amp;" "&amp;VLOOKUP(A1,CI!C:S,9,FALSE)&amp;" Bedarf "&amp;YEAR(TODAY())&amp;"_"&amp;TEXT((TODAY()),"MM")&amp;"_"&amp;TEXT(DAY(TODAY()),"TT")&amp;" "&amp;TEXT(NOW(),"HHMM")</f>
        <v xml:space="preserve">  Bedarf 2024_03_15 1259</v>
      </c>
      <c r="V4" s="601"/>
    </row>
    <row r="5" spans="1:30" ht="23.25" customHeight="1" x14ac:dyDescent="0.25">
      <c r="A5" s="661">
        <f>Lehrpersonen!A5</f>
        <v>0</v>
      </c>
      <c r="B5" s="662">
        <f>Lehrpersonen!B5</f>
        <v>0</v>
      </c>
      <c r="C5" s="663">
        <f>Lehrpersonen!C5</f>
        <v>0</v>
      </c>
      <c r="D5" s="664">
        <f>Lehrpersonen!D5</f>
        <v>0</v>
      </c>
      <c r="E5" s="627">
        <f>Lehrpersonen!F5</f>
        <v>0</v>
      </c>
      <c r="F5" s="628">
        <f>Lehrpersonen!Q5</f>
        <v>0</v>
      </c>
      <c r="G5" s="629"/>
      <c r="H5" s="665">
        <f>Lehrpersonen!H5</f>
        <v>0</v>
      </c>
      <c r="I5" s="665">
        <f>Lehrpersonen!J5</f>
        <v>0</v>
      </c>
      <c r="J5" s="665">
        <f>Lehrpersonen!K5</f>
        <v>0</v>
      </c>
      <c r="K5" s="630">
        <f>Lehrpersonen!L5</f>
        <v>0</v>
      </c>
      <c r="L5" s="665">
        <f>Lehrpersonen!M5</f>
        <v>0</v>
      </c>
      <c r="M5" s="665">
        <f>Lehrpersonen!O5</f>
        <v>0</v>
      </c>
      <c r="N5" s="665">
        <f>Lehrpersonen!I5</f>
        <v>0</v>
      </c>
      <c r="O5" s="666">
        <f>Lehrpersonen!G5</f>
        <v>0</v>
      </c>
      <c r="R5" s="605" t="str">
        <f>VLOOKUP(A1,CI!C:S,8,FALSE)&amp;" "&amp;VLOOKUP(A1,CI!C:S,9,FALSE)&amp;" Erstsprache 20"&amp;RIGHT(O2,2)-1&amp;"'"&amp;RIGHT(O2,2)</f>
        <v xml:space="preserve">  Erstsprache 2024'25</v>
      </c>
      <c r="V5" s="605"/>
    </row>
    <row r="6" spans="1:30" ht="23.25" customHeight="1" x14ac:dyDescent="0.25">
      <c r="A6" s="631">
        <f>Lehrpersonen!A6</f>
        <v>0</v>
      </c>
      <c r="B6" s="632">
        <f>Lehrpersonen!B6</f>
        <v>0</v>
      </c>
      <c r="C6" s="633">
        <f>Lehrpersonen!C6</f>
        <v>0</v>
      </c>
      <c r="D6" s="634">
        <f>Lehrpersonen!D6</f>
        <v>0</v>
      </c>
      <c r="E6" s="635"/>
      <c r="F6" s="636">
        <f>Lehrpersonen!Q6</f>
        <v>0</v>
      </c>
      <c r="G6" s="637"/>
      <c r="H6" s="638">
        <f>Lehrpersonen!H6</f>
        <v>0</v>
      </c>
      <c r="I6" s="638">
        <f>Lehrpersonen!J6</f>
        <v>0</v>
      </c>
      <c r="J6" s="638">
        <f>Lehrpersonen!K6</f>
        <v>0</v>
      </c>
      <c r="K6" s="639">
        <f>Lehrpersonen!L6</f>
        <v>0</v>
      </c>
      <c r="L6" s="638">
        <f>Lehrpersonen!M6</f>
        <v>0</v>
      </c>
      <c r="M6" s="638">
        <f>Lehrpersonen!O6</f>
        <v>0</v>
      </c>
      <c r="N6" s="638">
        <f>Lehrpersonen!I6</f>
        <v>0</v>
      </c>
      <c r="O6" s="640">
        <f>Lehrpersonen!G6</f>
        <v>0</v>
      </c>
      <c r="R6" s="605" t="str">
        <f>VLOOKUP(A1,CI!C:S,8,FALSE)&amp;" "&amp;VLOOKUP(A1,CI!C:S,9,FALSE)&amp;" Religion 20"&amp;RIGHT(O2,2)-1&amp;"'"&amp;RIGHT(O2,2)</f>
        <v xml:space="preserve">  Religion 2024'25</v>
      </c>
      <c r="V6" s="605"/>
    </row>
    <row r="7" spans="1:30" ht="23.25" customHeight="1" x14ac:dyDescent="0.25">
      <c r="A7" s="631">
        <f>Lehrpersonen!A7</f>
        <v>0</v>
      </c>
      <c r="B7" s="632">
        <f>Lehrpersonen!B7</f>
        <v>0</v>
      </c>
      <c r="C7" s="633">
        <f>Lehrpersonen!C7</f>
        <v>0</v>
      </c>
      <c r="D7" s="634">
        <f>Lehrpersonen!D7</f>
        <v>0</v>
      </c>
      <c r="E7" s="635"/>
      <c r="F7" s="636">
        <f>Lehrpersonen!Q7</f>
        <v>0</v>
      </c>
      <c r="G7" s="637"/>
      <c r="H7" s="638">
        <f>Lehrpersonen!H7</f>
        <v>0</v>
      </c>
      <c r="I7" s="638">
        <f>Lehrpersonen!J7</f>
        <v>0</v>
      </c>
      <c r="J7" s="638">
        <f>Lehrpersonen!K7</f>
        <v>0</v>
      </c>
      <c r="K7" s="639">
        <f>Lehrpersonen!L7</f>
        <v>0</v>
      </c>
      <c r="L7" s="638">
        <f>Lehrpersonen!M7</f>
        <v>0</v>
      </c>
      <c r="M7" s="638">
        <f>Lehrpersonen!O7</f>
        <v>0</v>
      </c>
      <c r="N7" s="638">
        <f>Lehrpersonen!I7</f>
        <v>0</v>
      </c>
      <c r="O7" s="640">
        <f>Lehrpersonen!G7</f>
        <v>0</v>
      </c>
      <c r="R7"/>
      <c r="V7" s="605"/>
    </row>
    <row r="8" spans="1:30" ht="23.25" customHeight="1" x14ac:dyDescent="0.25">
      <c r="A8" s="631">
        <f>Lehrpersonen!A8</f>
        <v>0</v>
      </c>
      <c r="B8" s="632">
        <f>Lehrpersonen!B8</f>
        <v>0</v>
      </c>
      <c r="C8" s="633">
        <f>Lehrpersonen!C8</f>
        <v>0</v>
      </c>
      <c r="D8" s="634">
        <f>Lehrpersonen!D8</f>
        <v>0</v>
      </c>
      <c r="E8" s="635"/>
      <c r="F8" s="636">
        <f>Lehrpersonen!Q8</f>
        <v>0</v>
      </c>
      <c r="G8" s="637"/>
      <c r="H8" s="638">
        <f>Lehrpersonen!H8</f>
        <v>0</v>
      </c>
      <c r="I8" s="638">
        <f>Lehrpersonen!J8</f>
        <v>0</v>
      </c>
      <c r="J8" s="638">
        <f>Lehrpersonen!K8</f>
        <v>0</v>
      </c>
      <c r="K8" s="639">
        <f>Lehrpersonen!L8</f>
        <v>0</v>
      </c>
      <c r="L8" s="638">
        <f>Lehrpersonen!M8</f>
        <v>0</v>
      </c>
      <c r="M8" s="638">
        <f>Lehrpersonen!O8</f>
        <v>0</v>
      </c>
      <c r="N8" s="638">
        <f>Lehrpersonen!I8</f>
        <v>0</v>
      </c>
      <c r="O8" s="640">
        <f>Lehrpersonen!G8</f>
        <v>0</v>
      </c>
      <c r="V8" s="605"/>
    </row>
    <row r="9" spans="1:30" ht="23.25" customHeight="1" x14ac:dyDescent="0.25">
      <c r="A9" s="631">
        <f>Lehrpersonen!A9</f>
        <v>0</v>
      </c>
      <c r="B9" s="632">
        <f>Lehrpersonen!B9</f>
        <v>0</v>
      </c>
      <c r="C9" s="633">
        <f>Lehrpersonen!C9</f>
        <v>0</v>
      </c>
      <c r="D9" s="634">
        <f>Lehrpersonen!D9</f>
        <v>0</v>
      </c>
      <c r="E9" s="635"/>
      <c r="F9" s="636">
        <f>Lehrpersonen!Q9</f>
        <v>0</v>
      </c>
      <c r="G9" s="637"/>
      <c r="H9" s="638">
        <f>Lehrpersonen!H9</f>
        <v>0</v>
      </c>
      <c r="I9" s="638">
        <f>Lehrpersonen!J9</f>
        <v>0</v>
      </c>
      <c r="J9" s="638">
        <f>Lehrpersonen!K9</f>
        <v>0</v>
      </c>
      <c r="K9" s="639">
        <f>Lehrpersonen!L9</f>
        <v>0</v>
      </c>
      <c r="L9" s="638">
        <f>Lehrpersonen!M9</f>
        <v>0</v>
      </c>
      <c r="M9" s="638">
        <f>Lehrpersonen!O9</f>
        <v>0</v>
      </c>
      <c r="N9" s="638">
        <f>Lehrpersonen!I9</f>
        <v>0</v>
      </c>
      <c r="O9" s="640">
        <f>Lehrpersonen!G9</f>
        <v>0</v>
      </c>
      <c r="Q9" s="587"/>
    </row>
    <row r="10" spans="1:30" ht="23.25" customHeight="1" x14ac:dyDescent="0.25">
      <c r="A10" s="631">
        <f>Lehrpersonen!A10</f>
        <v>0</v>
      </c>
      <c r="B10" s="632">
        <f>Lehrpersonen!B10</f>
        <v>0</v>
      </c>
      <c r="C10" s="633">
        <f>Lehrpersonen!C10</f>
        <v>0</v>
      </c>
      <c r="D10" s="634">
        <f>Lehrpersonen!D10</f>
        <v>0</v>
      </c>
      <c r="E10" s="635"/>
      <c r="F10" s="636">
        <f>Lehrpersonen!Q10</f>
        <v>0</v>
      </c>
      <c r="G10" s="637"/>
      <c r="H10" s="638">
        <f>Lehrpersonen!H10</f>
        <v>0</v>
      </c>
      <c r="I10" s="638">
        <f>Lehrpersonen!J10</f>
        <v>0</v>
      </c>
      <c r="J10" s="638">
        <f>Lehrpersonen!K10</f>
        <v>0</v>
      </c>
      <c r="K10" s="639">
        <f>Lehrpersonen!L10</f>
        <v>0</v>
      </c>
      <c r="L10" s="638">
        <f>Lehrpersonen!M10</f>
        <v>0</v>
      </c>
      <c r="M10" s="638">
        <f>Lehrpersonen!O10</f>
        <v>0</v>
      </c>
      <c r="N10" s="638">
        <f>Lehrpersonen!I10</f>
        <v>0</v>
      </c>
      <c r="O10" s="640">
        <f>Lehrpersonen!G10</f>
        <v>0</v>
      </c>
      <c r="Q10" s="587"/>
    </row>
    <row r="11" spans="1:30" ht="23.25" customHeight="1" x14ac:dyDescent="0.25">
      <c r="A11" s="631">
        <f>Lehrpersonen!A11</f>
        <v>0</v>
      </c>
      <c r="B11" s="632">
        <f>Lehrpersonen!B11</f>
        <v>0</v>
      </c>
      <c r="C11" s="633">
        <f>Lehrpersonen!C11</f>
        <v>0</v>
      </c>
      <c r="D11" s="634">
        <f>Lehrpersonen!D11</f>
        <v>0</v>
      </c>
      <c r="E11" s="635"/>
      <c r="F11" s="636">
        <f>Lehrpersonen!Q11</f>
        <v>0</v>
      </c>
      <c r="G11" s="637"/>
      <c r="H11" s="638">
        <f>Lehrpersonen!H11</f>
        <v>0</v>
      </c>
      <c r="I11" s="638">
        <f>Lehrpersonen!J11</f>
        <v>0</v>
      </c>
      <c r="J11" s="638">
        <f>Lehrpersonen!K11</f>
        <v>0</v>
      </c>
      <c r="K11" s="639">
        <f>Lehrpersonen!L11</f>
        <v>0</v>
      </c>
      <c r="L11" s="638">
        <f>Lehrpersonen!M11</f>
        <v>0</v>
      </c>
      <c r="M11" s="638">
        <f>Lehrpersonen!O11</f>
        <v>0</v>
      </c>
      <c r="N11" s="638">
        <f>Lehrpersonen!I11</f>
        <v>0</v>
      </c>
      <c r="O11" s="640">
        <f>Lehrpersonen!G11</f>
        <v>0</v>
      </c>
      <c r="Q11" s="587"/>
    </row>
    <row r="12" spans="1:30" ht="23.25" customHeight="1" x14ac:dyDescent="0.25">
      <c r="A12" s="631">
        <f>Lehrpersonen!A12</f>
        <v>0</v>
      </c>
      <c r="B12" s="632">
        <f>Lehrpersonen!B12</f>
        <v>0</v>
      </c>
      <c r="C12" s="633">
        <f>Lehrpersonen!C12</f>
        <v>0</v>
      </c>
      <c r="D12" s="634">
        <f>Lehrpersonen!D12</f>
        <v>0</v>
      </c>
      <c r="E12" s="635"/>
      <c r="F12" s="636">
        <f>Lehrpersonen!Q12</f>
        <v>0</v>
      </c>
      <c r="G12" s="637"/>
      <c r="H12" s="638">
        <f>Lehrpersonen!H12</f>
        <v>0</v>
      </c>
      <c r="I12" s="638">
        <f>Lehrpersonen!J12</f>
        <v>0</v>
      </c>
      <c r="J12" s="638">
        <f>Lehrpersonen!K12</f>
        <v>0</v>
      </c>
      <c r="K12" s="639">
        <f>Lehrpersonen!L12</f>
        <v>0</v>
      </c>
      <c r="L12" s="638">
        <f>Lehrpersonen!M12</f>
        <v>0</v>
      </c>
      <c r="M12" s="638">
        <f>Lehrpersonen!O12</f>
        <v>0</v>
      </c>
      <c r="N12" s="638">
        <f>Lehrpersonen!I12</f>
        <v>0</v>
      </c>
      <c r="O12" s="640">
        <f>Lehrpersonen!G12</f>
        <v>0</v>
      </c>
      <c r="Q12" s="587"/>
    </row>
    <row r="13" spans="1:30" ht="23.25" customHeight="1" x14ac:dyDescent="0.25">
      <c r="A13" s="631">
        <f>Lehrpersonen!A13</f>
        <v>0</v>
      </c>
      <c r="B13" s="632">
        <f>Lehrpersonen!B13</f>
        <v>0</v>
      </c>
      <c r="C13" s="633">
        <f>Lehrpersonen!C13</f>
        <v>0</v>
      </c>
      <c r="D13" s="634">
        <f>Lehrpersonen!D13</f>
        <v>0</v>
      </c>
      <c r="E13" s="635"/>
      <c r="F13" s="636">
        <f>Lehrpersonen!Q13</f>
        <v>0</v>
      </c>
      <c r="G13" s="637"/>
      <c r="H13" s="638">
        <f>Lehrpersonen!H13</f>
        <v>0</v>
      </c>
      <c r="I13" s="638">
        <f>Lehrpersonen!J13</f>
        <v>0</v>
      </c>
      <c r="J13" s="638">
        <f>Lehrpersonen!K13</f>
        <v>0</v>
      </c>
      <c r="K13" s="639">
        <f>Lehrpersonen!L13</f>
        <v>0</v>
      </c>
      <c r="L13" s="638">
        <f>Lehrpersonen!M13</f>
        <v>0</v>
      </c>
      <c r="M13" s="638">
        <f>Lehrpersonen!O13</f>
        <v>0</v>
      </c>
      <c r="N13" s="638">
        <f>Lehrpersonen!I13</f>
        <v>0</v>
      </c>
      <c r="O13" s="640">
        <f>Lehrpersonen!G13</f>
        <v>0</v>
      </c>
      <c r="Q13" s="587"/>
    </row>
    <row r="14" spans="1:30" ht="23.25" customHeight="1" x14ac:dyDescent="0.25">
      <c r="A14" s="631">
        <f>Lehrpersonen!A14</f>
        <v>0</v>
      </c>
      <c r="B14" s="632">
        <f>Lehrpersonen!B14</f>
        <v>0</v>
      </c>
      <c r="C14" s="633">
        <f>Lehrpersonen!C14</f>
        <v>0</v>
      </c>
      <c r="D14" s="634">
        <f>Lehrpersonen!D14</f>
        <v>0</v>
      </c>
      <c r="E14" s="635"/>
      <c r="F14" s="636">
        <f>Lehrpersonen!Q14</f>
        <v>0</v>
      </c>
      <c r="G14" s="637"/>
      <c r="H14" s="638">
        <f>Lehrpersonen!H14</f>
        <v>0</v>
      </c>
      <c r="I14" s="638">
        <f>Lehrpersonen!J14</f>
        <v>0</v>
      </c>
      <c r="J14" s="638">
        <f>Lehrpersonen!K14</f>
        <v>0</v>
      </c>
      <c r="K14" s="639">
        <f>Lehrpersonen!L14</f>
        <v>0</v>
      </c>
      <c r="L14" s="638">
        <f>Lehrpersonen!M14</f>
        <v>0</v>
      </c>
      <c r="M14" s="638">
        <f>Lehrpersonen!O14</f>
        <v>0</v>
      </c>
      <c r="N14" s="638">
        <f>Lehrpersonen!I14</f>
        <v>0</v>
      </c>
      <c r="O14" s="640">
        <f>Lehrpersonen!G14</f>
        <v>0</v>
      </c>
      <c r="Q14" s="587"/>
    </row>
    <row r="15" spans="1:30" ht="23.25" customHeight="1" x14ac:dyDescent="0.25">
      <c r="A15" s="631">
        <f>Lehrpersonen!A15</f>
        <v>0</v>
      </c>
      <c r="B15" s="632">
        <f>Lehrpersonen!B15</f>
        <v>0</v>
      </c>
      <c r="C15" s="633">
        <f>Lehrpersonen!C15</f>
        <v>0</v>
      </c>
      <c r="D15" s="634">
        <f>Lehrpersonen!D15</f>
        <v>0</v>
      </c>
      <c r="E15" s="635"/>
      <c r="F15" s="636">
        <f>Lehrpersonen!Q15</f>
        <v>0</v>
      </c>
      <c r="G15" s="637"/>
      <c r="H15" s="638">
        <f>Lehrpersonen!H15</f>
        <v>0</v>
      </c>
      <c r="I15" s="638">
        <f>Lehrpersonen!J15</f>
        <v>0</v>
      </c>
      <c r="J15" s="638">
        <f>Lehrpersonen!K15</f>
        <v>0</v>
      </c>
      <c r="K15" s="639">
        <f>Lehrpersonen!L15</f>
        <v>0</v>
      </c>
      <c r="L15" s="638">
        <f>Lehrpersonen!M15</f>
        <v>0</v>
      </c>
      <c r="M15" s="638">
        <f>Lehrpersonen!O15</f>
        <v>0</v>
      </c>
      <c r="N15" s="638">
        <f>Lehrpersonen!I15</f>
        <v>0</v>
      </c>
      <c r="O15" s="640">
        <f>Lehrpersonen!G15</f>
        <v>0</v>
      </c>
      <c r="Q15" s="587"/>
    </row>
    <row r="16" spans="1:30" ht="23.25" customHeight="1" x14ac:dyDescent="0.25">
      <c r="A16" s="631">
        <f>Lehrpersonen!A16</f>
        <v>0</v>
      </c>
      <c r="B16" s="632">
        <f>Lehrpersonen!B16</f>
        <v>0</v>
      </c>
      <c r="C16" s="633">
        <f>Lehrpersonen!C16</f>
        <v>0</v>
      </c>
      <c r="D16" s="634">
        <f>Lehrpersonen!D16</f>
        <v>0</v>
      </c>
      <c r="E16" s="635"/>
      <c r="F16" s="636">
        <f>Lehrpersonen!Q16</f>
        <v>0</v>
      </c>
      <c r="G16" s="637"/>
      <c r="H16" s="638">
        <f>Lehrpersonen!H16</f>
        <v>0</v>
      </c>
      <c r="I16" s="638">
        <f>Lehrpersonen!J16</f>
        <v>0</v>
      </c>
      <c r="J16" s="638">
        <f>Lehrpersonen!K16</f>
        <v>0</v>
      </c>
      <c r="K16" s="639">
        <f>Lehrpersonen!L16</f>
        <v>0</v>
      </c>
      <c r="L16" s="638">
        <f>Lehrpersonen!M16</f>
        <v>0</v>
      </c>
      <c r="M16" s="638">
        <f>Lehrpersonen!O16</f>
        <v>0</v>
      </c>
      <c r="N16" s="638">
        <f>Lehrpersonen!I16</f>
        <v>0</v>
      </c>
      <c r="O16" s="640">
        <f>Lehrpersonen!G16</f>
        <v>0</v>
      </c>
      <c r="Q16" s="587"/>
    </row>
    <row r="17" spans="1:17" ht="23.25" customHeight="1" x14ac:dyDescent="0.25">
      <c r="A17" s="631">
        <f>Lehrpersonen!A17</f>
        <v>0</v>
      </c>
      <c r="B17" s="632">
        <f>Lehrpersonen!B17</f>
        <v>0</v>
      </c>
      <c r="C17" s="633">
        <f>Lehrpersonen!C17</f>
        <v>0</v>
      </c>
      <c r="D17" s="634">
        <f>Lehrpersonen!D17</f>
        <v>0</v>
      </c>
      <c r="E17" s="635"/>
      <c r="F17" s="636">
        <f>Lehrpersonen!Q17</f>
        <v>0</v>
      </c>
      <c r="G17" s="637"/>
      <c r="H17" s="638">
        <f>Lehrpersonen!H17</f>
        <v>0</v>
      </c>
      <c r="I17" s="638">
        <f>Lehrpersonen!J17</f>
        <v>0</v>
      </c>
      <c r="J17" s="638">
        <f>Lehrpersonen!K17</f>
        <v>0</v>
      </c>
      <c r="K17" s="639">
        <f>Lehrpersonen!L17</f>
        <v>0</v>
      </c>
      <c r="L17" s="638">
        <f>Lehrpersonen!M17</f>
        <v>0</v>
      </c>
      <c r="M17" s="638">
        <f>Lehrpersonen!O17</f>
        <v>0</v>
      </c>
      <c r="N17" s="638">
        <f>Lehrpersonen!I17</f>
        <v>0</v>
      </c>
      <c r="O17" s="640">
        <f>Lehrpersonen!G17</f>
        <v>0</v>
      </c>
      <c r="Q17" s="587"/>
    </row>
    <row r="18" spans="1:17" ht="23.25" customHeight="1" x14ac:dyDescent="0.25">
      <c r="A18" s="631">
        <f>Lehrpersonen!A18</f>
        <v>0</v>
      </c>
      <c r="B18" s="632">
        <f>Lehrpersonen!B18</f>
        <v>0</v>
      </c>
      <c r="C18" s="633">
        <f>Lehrpersonen!C18</f>
        <v>0</v>
      </c>
      <c r="D18" s="634">
        <f>Lehrpersonen!D18</f>
        <v>0</v>
      </c>
      <c r="E18" s="635"/>
      <c r="F18" s="636">
        <f>Lehrpersonen!Q18</f>
        <v>0</v>
      </c>
      <c r="G18" s="637"/>
      <c r="H18" s="638">
        <f>Lehrpersonen!H18</f>
        <v>0</v>
      </c>
      <c r="I18" s="638">
        <f>Lehrpersonen!J18</f>
        <v>0</v>
      </c>
      <c r="J18" s="638">
        <f>Lehrpersonen!K18</f>
        <v>0</v>
      </c>
      <c r="K18" s="639">
        <f>Lehrpersonen!L18</f>
        <v>0</v>
      </c>
      <c r="L18" s="638">
        <f>Lehrpersonen!M18</f>
        <v>0</v>
      </c>
      <c r="M18" s="638">
        <f>Lehrpersonen!O18</f>
        <v>0</v>
      </c>
      <c r="N18" s="638">
        <f>Lehrpersonen!I18</f>
        <v>0</v>
      </c>
      <c r="O18" s="640">
        <f>Lehrpersonen!G18</f>
        <v>0</v>
      </c>
      <c r="Q18" s="587"/>
    </row>
    <row r="19" spans="1:17" ht="23.25" customHeight="1" x14ac:dyDescent="0.25">
      <c r="A19" s="631">
        <f>Lehrpersonen!A19</f>
        <v>0</v>
      </c>
      <c r="B19" s="632">
        <f>Lehrpersonen!B19</f>
        <v>0</v>
      </c>
      <c r="C19" s="633">
        <f>Lehrpersonen!C19</f>
        <v>0</v>
      </c>
      <c r="D19" s="634">
        <f>Lehrpersonen!D19</f>
        <v>0</v>
      </c>
      <c r="E19" s="635"/>
      <c r="F19" s="636">
        <f>Lehrpersonen!Q19</f>
        <v>0</v>
      </c>
      <c r="G19" s="637"/>
      <c r="H19" s="638">
        <f>Lehrpersonen!H19</f>
        <v>0</v>
      </c>
      <c r="I19" s="638">
        <f>Lehrpersonen!J19</f>
        <v>0</v>
      </c>
      <c r="J19" s="638">
        <f>Lehrpersonen!K19</f>
        <v>0</v>
      </c>
      <c r="K19" s="639">
        <f>Lehrpersonen!L19</f>
        <v>0</v>
      </c>
      <c r="L19" s="638">
        <f>Lehrpersonen!M19</f>
        <v>0</v>
      </c>
      <c r="M19" s="638">
        <f>Lehrpersonen!O19</f>
        <v>0</v>
      </c>
      <c r="N19" s="638">
        <f>Lehrpersonen!I19</f>
        <v>0</v>
      </c>
      <c r="O19" s="640">
        <f>Lehrpersonen!G19</f>
        <v>0</v>
      </c>
      <c r="Q19" s="587"/>
    </row>
    <row r="20" spans="1:17" ht="23.25" customHeight="1" x14ac:dyDescent="0.25">
      <c r="A20" s="631">
        <f>Lehrpersonen!A20</f>
        <v>0</v>
      </c>
      <c r="B20" s="632">
        <f>Lehrpersonen!B20</f>
        <v>0</v>
      </c>
      <c r="C20" s="633">
        <f>Lehrpersonen!C20</f>
        <v>0</v>
      </c>
      <c r="D20" s="634">
        <f>Lehrpersonen!D20</f>
        <v>0</v>
      </c>
      <c r="E20" s="635"/>
      <c r="F20" s="636">
        <f>Lehrpersonen!Q20</f>
        <v>0</v>
      </c>
      <c r="G20" s="637"/>
      <c r="H20" s="638">
        <f>Lehrpersonen!H20</f>
        <v>0</v>
      </c>
      <c r="I20" s="638">
        <f>Lehrpersonen!J20</f>
        <v>0</v>
      </c>
      <c r="J20" s="638">
        <f>Lehrpersonen!K20</f>
        <v>0</v>
      </c>
      <c r="K20" s="639">
        <f>Lehrpersonen!L20</f>
        <v>0</v>
      </c>
      <c r="L20" s="638">
        <f>Lehrpersonen!M20</f>
        <v>0</v>
      </c>
      <c r="M20" s="638">
        <f>Lehrpersonen!O20</f>
        <v>0</v>
      </c>
      <c r="N20" s="638">
        <f>Lehrpersonen!I20</f>
        <v>0</v>
      </c>
      <c r="O20" s="640">
        <f>Lehrpersonen!G20</f>
        <v>0</v>
      </c>
      <c r="Q20" s="587"/>
    </row>
    <row r="21" spans="1:17" ht="23.25" customHeight="1" x14ac:dyDescent="0.25">
      <c r="A21" s="631">
        <f>Lehrpersonen!A21</f>
        <v>0</v>
      </c>
      <c r="B21" s="632">
        <f>Lehrpersonen!B21</f>
        <v>0</v>
      </c>
      <c r="C21" s="633">
        <f>Lehrpersonen!C21</f>
        <v>0</v>
      </c>
      <c r="D21" s="634">
        <f>Lehrpersonen!D21</f>
        <v>0</v>
      </c>
      <c r="E21" s="635"/>
      <c r="F21" s="636">
        <f>Lehrpersonen!Q21</f>
        <v>0</v>
      </c>
      <c r="G21" s="637"/>
      <c r="H21" s="638">
        <f>Lehrpersonen!H21</f>
        <v>0</v>
      </c>
      <c r="I21" s="638">
        <f>Lehrpersonen!J21</f>
        <v>0</v>
      </c>
      <c r="J21" s="638">
        <f>Lehrpersonen!K21</f>
        <v>0</v>
      </c>
      <c r="K21" s="639">
        <f>Lehrpersonen!L21</f>
        <v>0</v>
      </c>
      <c r="L21" s="638">
        <f>Lehrpersonen!M21</f>
        <v>0</v>
      </c>
      <c r="M21" s="638">
        <f>Lehrpersonen!O21</f>
        <v>0</v>
      </c>
      <c r="N21" s="638">
        <f>Lehrpersonen!I21</f>
        <v>0</v>
      </c>
      <c r="O21" s="640">
        <f>Lehrpersonen!G21</f>
        <v>0</v>
      </c>
      <c r="Q21" s="587"/>
    </row>
    <row r="22" spans="1:17" ht="23.25" customHeight="1" x14ac:dyDescent="0.25">
      <c r="A22" s="631">
        <f>Lehrpersonen!A22</f>
        <v>0</v>
      </c>
      <c r="B22" s="632">
        <f>Lehrpersonen!B22</f>
        <v>0</v>
      </c>
      <c r="C22" s="633">
        <f>Lehrpersonen!C22</f>
        <v>0</v>
      </c>
      <c r="D22" s="634">
        <f>Lehrpersonen!D22</f>
        <v>0</v>
      </c>
      <c r="E22" s="635"/>
      <c r="F22" s="636">
        <f>Lehrpersonen!Q22</f>
        <v>0</v>
      </c>
      <c r="G22" s="637"/>
      <c r="H22" s="638">
        <f>Lehrpersonen!H22</f>
        <v>0</v>
      </c>
      <c r="I22" s="638">
        <f>Lehrpersonen!J22</f>
        <v>0</v>
      </c>
      <c r="J22" s="638">
        <f>Lehrpersonen!K22</f>
        <v>0</v>
      </c>
      <c r="K22" s="639">
        <f>Lehrpersonen!L22</f>
        <v>0</v>
      </c>
      <c r="L22" s="638">
        <f>Lehrpersonen!M22</f>
        <v>0</v>
      </c>
      <c r="M22" s="638">
        <f>Lehrpersonen!O22</f>
        <v>0</v>
      </c>
      <c r="N22" s="638">
        <f>Lehrpersonen!I22</f>
        <v>0</v>
      </c>
      <c r="O22" s="640">
        <f>Lehrpersonen!G22</f>
        <v>0</v>
      </c>
      <c r="Q22" s="587"/>
    </row>
    <row r="23" spans="1:17" ht="23.25" customHeight="1" x14ac:dyDescent="0.25">
      <c r="A23" s="631">
        <f>Lehrpersonen!A23</f>
        <v>0</v>
      </c>
      <c r="B23" s="632">
        <f>Lehrpersonen!B23</f>
        <v>0</v>
      </c>
      <c r="C23" s="633">
        <f>Lehrpersonen!C23</f>
        <v>0</v>
      </c>
      <c r="D23" s="634">
        <f>Lehrpersonen!D23</f>
        <v>0</v>
      </c>
      <c r="E23" s="635"/>
      <c r="F23" s="636">
        <f>Lehrpersonen!Q23</f>
        <v>0</v>
      </c>
      <c r="G23" s="637"/>
      <c r="H23" s="638">
        <f>Lehrpersonen!H23</f>
        <v>0</v>
      </c>
      <c r="I23" s="638">
        <f>Lehrpersonen!J23</f>
        <v>0</v>
      </c>
      <c r="J23" s="638">
        <f>Lehrpersonen!K23</f>
        <v>0</v>
      </c>
      <c r="K23" s="639">
        <f>Lehrpersonen!L23</f>
        <v>0</v>
      </c>
      <c r="L23" s="638">
        <f>Lehrpersonen!M23</f>
        <v>0</v>
      </c>
      <c r="M23" s="638">
        <f>Lehrpersonen!O23</f>
        <v>0</v>
      </c>
      <c r="N23" s="638">
        <f>Lehrpersonen!I23</f>
        <v>0</v>
      </c>
      <c r="O23" s="640">
        <f>Lehrpersonen!G23</f>
        <v>0</v>
      </c>
      <c r="Q23" s="587"/>
    </row>
    <row r="24" spans="1:17" ht="23.25" customHeight="1" x14ac:dyDescent="0.25">
      <c r="A24" s="631">
        <f>Lehrpersonen!A24</f>
        <v>0</v>
      </c>
      <c r="B24" s="632">
        <f>Lehrpersonen!B24</f>
        <v>0</v>
      </c>
      <c r="C24" s="633">
        <f>Lehrpersonen!C24</f>
        <v>0</v>
      </c>
      <c r="D24" s="634">
        <f>Lehrpersonen!D24</f>
        <v>0</v>
      </c>
      <c r="E24" s="635"/>
      <c r="F24" s="636">
        <f>Lehrpersonen!Q24</f>
        <v>0</v>
      </c>
      <c r="G24" s="637"/>
      <c r="H24" s="638">
        <f>Lehrpersonen!H24</f>
        <v>0</v>
      </c>
      <c r="I24" s="638">
        <f>Lehrpersonen!J24</f>
        <v>0</v>
      </c>
      <c r="J24" s="638">
        <f>Lehrpersonen!K24</f>
        <v>0</v>
      </c>
      <c r="K24" s="639">
        <f>Lehrpersonen!L24</f>
        <v>0</v>
      </c>
      <c r="L24" s="638">
        <f>Lehrpersonen!M24</f>
        <v>0</v>
      </c>
      <c r="M24" s="638">
        <f>Lehrpersonen!O24</f>
        <v>0</v>
      </c>
      <c r="N24" s="638">
        <f>Lehrpersonen!I24</f>
        <v>0</v>
      </c>
      <c r="O24" s="640">
        <f>Lehrpersonen!G24</f>
        <v>0</v>
      </c>
      <c r="Q24" s="587"/>
    </row>
    <row r="25" spans="1:17" ht="23.25" customHeight="1" x14ac:dyDescent="0.25">
      <c r="A25" s="631">
        <f>Lehrpersonen!A25</f>
        <v>0</v>
      </c>
      <c r="B25" s="632">
        <f>Lehrpersonen!B25</f>
        <v>0</v>
      </c>
      <c r="C25" s="633">
        <f>Lehrpersonen!C25</f>
        <v>0</v>
      </c>
      <c r="D25" s="634">
        <f>Lehrpersonen!D25</f>
        <v>0</v>
      </c>
      <c r="E25" s="635"/>
      <c r="F25" s="636">
        <f>Lehrpersonen!Q25</f>
        <v>0</v>
      </c>
      <c r="G25" s="637"/>
      <c r="H25" s="638">
        <f>Lehrpersonen!H25</f>
        <v>0</v>
      </c>
      <c r="I25" s="638">
        <f>Lehrpersonen!J25</f>
        <v>0</v>
      </c>
      <c r="J25" s="638">
        <f>Lehrpersonen!K25</f>
        <v>0</v>
      </c>
      <c r="K25" s="639">
        <f>Lehrpersonen!L25</f>
        <v>0</v>
      </c>
      <c r="L25" s="638">
        <f>Lehrpersonen!M25</f>
        <v>0</v>
      </c>
      <c r="M25" s="638">
        <f>Lehrpersonen!O25</f>
        <v>0</v>
      </c>
      <c r="N25" s="638">
        <f>Lehrpersonen!I25</f>
        <v>0</v>
      </c>
      <c r="O25" s="640">
        <f>Lehrpersonen!G25</f>
        <v>0</v>
      </c>
      <c r="Q25" s="587"/>
    </row>
    <row r="26" spans="1:17" ht="23.25" customHeight="1" x14ac:dyDescent="0.25">
      <c r="A26" s="631">
        <f>Lehrpersonen!A26</f>
        <v>0</v>
      </c>
      <c r="B26" s="632">
        <f>Lehrpersonen!B26</f>
        <v>0</v>
      </c>
      <c r="C26" s="633">
        <f>Lehrpersonen!C26</f>
        <v>0</v>
      </c>
      <c r="D26" s="634">
        <f>Lehrpersonen!D26</f>
        <v>0</v>
      </c>
      <c r="E26" s="635"/>
      <c r="F26" s="636">
        <f>Lehrpersonen!Q26</f>
        <v>0</v>
      </c>
      <c r="G26" s="637"/>
      <c r="H26" s="638">
        <f>Lehrpersonen!H26</f>
        <v>0</v>
      </c>
      <c r="I26" s="638">
        <f>Lehrpersonen!J26</f>
        <v>0</v>
      </c>
      <c r="J26" s="638">
        <f>Lehrpersonen!K26</f>
        <v>0</v>
      </c>
      <c r="K26" s="639">
        <f>Lehrpersonen!L26</f>
        <v>0</v>
      </c>
      <c r="L26" s="638">
        <f>Lehrpersonen!M26</f>
        <v>0</v>
      </c>
      <c r="M26" s="638">
        <f>Lehrpersonen!O26</f>
        <v>0</v>
      </c>
      <c r="N26" s="638">
        <f>Lehrpersonen!I26</f>
        <v>0</v>
      </c>
      <c r="O26" s="640">
        <f>Lehrpersonen!G26</f>
        <v>0</v>
      </c>
      <c r="Q26" s="587"/>
    </row>
    <row r="27" spans="1:17" ht="23.25" customHeight="1" x14ac:dyDescent="0.25">
      <c r="A27" s="631">
        <f>Lehrpersonen!A27</f>
        <v>0</v>
      </c>
      <c r="B27" s="632">
        <f>Lehrpersonen!B27</f>
        <v>0</v>
      </c>
      <c r="C27" s="633">
        <f>Lehrpersonen!C27</f>
        <v>0</v>
      </c>
      <c r="D27" s="634">
        <f>Lehrpersonen!D27</f>
        <v>0</v>
      </c>
      <c r="E27" s="635"/>
      <c r="F27" s="636">
        <f>Lehrpersonen!Q27</f>
        <v>0</v>
      </c>
      <c r="G27" s="637"/>
      <c r="H27" s="638">
        <f>Lehrpersonen!H27</f>
        <v>0</v>
      </c>
      <c r="I27" s="638">
        <f>Lehrpersonen!J27</f>
        <v>0</v>
      </c>
      <c r="J27" s="638">
        <f>Lehrpersonen!K27</f>
        <v>0</v>
      </c>
      <c r="K27" s="639">
        <f>Lehrpersonen!L27</f>
        <v>0</v>
      </c>
      <c r="L27" s="638">
        <f>Lehrpersonen!M27</f>
        <v>0</v>
      </c>
      <c r="M27" s="638">
        <f>Lehrpersonen!O27</f>
        <v>0</v>
      </c>
      <c r="N27" s="638">
        <f>Lehrpersonen!I27</f>
        <v>0</v>
      </c>
      <c r="O27" s="640">
        <f>Lehrpersonen!G27</f>
        <v>0</v>
      </c>
      <c r="Q27" s="587"/>
    </row>
    <row r="28" spans="1:17" ht="23.25" customHeight="1" x14ac:dyDescent="0.25">
      <c r="A28" s="631">
        <f>Lehrpersonen!A28</f>
        <v>0</v>
      </c>
      <c r="B28" s="632">
        <f>Lehrpersonen!B28</f>
        <v>0</v>
      </c>
      <c r="C28" s="633">
        <f>Lehrpersonen!C28</f>
        <v>0</v>
      </c>
      <c r="D28" s="634">
        <f>Lehrpersonen!D28</f>
        <v>0</v>
      </c>
      <c r="E28" s="635"/>
      <c r="F28" s="636">
        <f>Lehrpersonen!Q28</f>
        <v>0</v>
      </c>
      <c r="G28" s="637"/>
      <c r="H28" s="638">
        <f>Lehrpersonen!H28</f>
        <v>0</v>
      </c>
      <c r="I28" s="638">
        <f>Lehrpersonen!J28</f>
        <v>0</v>
      </c>
      <c r="J28" s="638">
        <f>Lehrpersonen!K28</f>
        <v>0</v>
      </c>
      <c r="K28" s="639">
        <f>Lehrpersonen!L28</f>
        <v>0</v>
      </c>
      <c r="L28" s="638">
        <f>Lehrpersonen!M28</f>
        <v>0</v>
      </c>
      <c r="M28" s="638">
        <f>Lehrpersonen!O28</f>
        <v>0</v>
      </c>
      <c r="N28" s="638">
        <f>Lehrpersonen!I28</f>
        <v>0</v>
      </c>
      <c r="O28" s="640">
        <f>Lehrpersonen!G28</f>
        <v>0</v>
      </c>
      <c r="Q28" s="587"/>
    </row>
    <row r="29" spans="1:17" ht="23.25" customHeight="1" x14ac:dyDescent="0.25">
      <c r="A29" s="631">
        <f>Lehrpersonen!A29</f>
        <v>0</v>
      </c>
      <c r="B29" s="632">
        <f>Lehrpersonen!B29</f>
        <v>0</v>
      </c>
      <c r="C29" s="633">
        <f>Lehrpersonen!C29</f>
        <v>0</v>
      </c>
      <c r="D29" s="634">
        <f>Lehrpersonen!D29</f>
        <v>0</v>
      </c>
      <c r="E29" s="635"/>
      <c r="F29" s="636">
        <f>Lehrpersonen!Q29</f>
        <v>0</v>
      </c>
      <c r="G29" s="637"/>
      <c r="H29" s="638">
        <f>Lehrpersonen!H29</f>
        <v>0</v>
      </c>
      <c r="I29" s="638">
        <f>Lehrpersonen!J29</f>
        <v>0</v>
      </c>
      <c r="J29" s="638">
        <f>Lehrpersonen!K29</f>
        <v>0</v>
      </c>
      <c r="K29" s="639">
        <f>Lehrpersonen!L29</f>
        <v>0</v>
      </c>
      <c r="L29" s="638">
        <f>Lehrpersonen!M29</f>
        <v>0</v>
      </c>
      <c r="M29" s="638">
        <f>Lehrpersonen!O29</f>
        <v>0</v>
      </c>
      <c r="N29" s="638">
        <f>Lehrpersonen!I29</f>
        <v>0</v>
      </c>
      <c r="O29" s="640">
        <f>Lehrpersonen!G29</f>
        <v>0</v>
      </c>
      <c r="Q29" s="587"/>
    </row>
    <row r="30" spans="1:17" ht="23.25" customHeight="1" x14ac:dyDescent="0.25">
      <c r="A30" s="631">
        <f>Lehrpersonen!A30</f>
        <v>0</v>
      </c>
      <c r="B30" s="632">
        <f>Lehrpersonen!B30</f>
        <v>0</v>
      </c>
      <c r="C30" s="633">
        <f>Lehrpersonen!C30</f>
        <v>0</v>
      </c>
      <c r="D30" s="634">
        <f>Lehrpersonen!D30</f>
        <v>0</v>
      </c>
      <c r="E30" s="635"/>
      <c r="F30" s="636">
        <f>Lehrpersonen!Q30</f>
        <v>0</v>
      </c>
      <c r="G30" s="637"/>
      <c r="H30" s="638">
        <f>Lehrpersonen!H30</f>
        <v>0</v>
      </c>
      <c r="I30" s="638">
        <f>Lehrpersonen!J30</f>
        <v>0</v>
      </c>
      <c r="J30" s="638">
        <f>Lehrpersonen!K30</f>
        <v>0</v>
      </c>
      <c r="K30" s="639">
        <f>Lehrpersonen!L30</f>
        <v>0</v>
      </c>
      <c r="L30" s="638">
        <f>Lehrpersonen!M30</f>
        <v>0</v>
      </c>
      <c r="M30" s="638">
        <f>Lehrpersonen!O30</f>
        <v>0</v>
      </c>
      <c r="N30" s="638">
        <f>Lehrpersonen!I30</f>
        <v>0</v>
      </c>
      <c r="O30" s="640">
        <f>Lehrpersonen!G30</f>
        <v>0</v>
      </c>
      <c r="Q30" s="587"/>
    </row>
    <row r="31" spans="1:17" ht="23.25" customHeight="1" x14ac:dyDescent="0.25">
      <c r="A31" s="631">
        <f>Lehrpersonen!A31</f>
        <v>0</v>
      </c>
      <c r="B31" s="632">
        <f>Lehrpersonen!B31</f>
        <v>0</v>
      </c>
      <c r="C31" s="633">
        <f>Lehrpersonen!C31</f>
        <v>0</v>
      </c>
      <c r="D31" s="634">
        <f>Lehrpersonen!D31</f>
        <v>0</v>
      </c>
      <c r="E31" s="635"/>
      <c r="F31" s="636">
        <f>Lehrpersonen!Q31</f>
        <v>0</v>
      </c>
      <c r="G31" s="637"/>
      <c r="H31" s="638">
        <f>Lehrpersonen!H31</f>
        <v>0</v>
      </c>
      <c r="I31" s="638">
        <f>Lehrpersonen!J31</f>
        <v>0</v>
      </c>
      <c r="J31" s="638">
        <f>Lehrpersonen!K31</f>
        <v>0</v>
      </c>
      <c r="K31" s="639">
        <f>Lehrpersonen!L31</f>
        <v>0</v>
      </c>
      <c r="L31" s="638">
        <f>Lehrpersonen!M31</f>
        <v>0</v>
      </c>
      <c r="M31" s="638">
        <f>Lehrpersonen!O31</f>
        <v>0</v>
      </c>
      <c r="N31" s="638">
        <f>Lehrpersonen!I31</f>
        <v>0</v>
      </c>
      <c r="O31" s="640">
        <f>Lehrpersonen!G31</f>
        <v>0</v>
      </c>
      <c r="Q31" s="587"/>
    </row>
    <row r="32" spans="1:17" ht="23.25" customHeight="1" x14ac:dyDescent="0.25">
      <c r="A32" s="631">
        <f>Lehrpersonen!A32</f>
        <v>0</v>
      </c>
      <c r="B32" s="632">
        <f>Lehrpersonen!B32</f>
        <v>0</v>
      </c>
      <c r="C32" s="633">
        <f>Lehrpersonen!C32</f>
        <v>0</v>
      </c>
      <c r="D32" s="634">
        <f>Lehrpersonen!D32</f>
        <v>0</v>
      </c>
      <c r="E32" s="635"/>
      <c r="F32" s="636">
        <f>Lehrpersonen!Q32</f>
        <v>0</v>
      </c>
      <c r="G32" s="637"/>
      <c r="H32" s="638">
        <f>Lehrpersonen!H32</f>
        <v>0</v>
      </c>
      <c r="I32" s="638">
        <f>Lehrpersonen!J32</f>
        <v>0</v>
      </c>
      <c r="J32" s="638">
        <f>Lehrpersonen!K32</f>
        <v>0</v>
      </c>
      <c r="K32" s="639">
        <f>Lehrpersonen!L32</f>
        <v>0</v>
      </c>
      <c r="L32" s="638">
        <f>Lehrpersonen!M32</f>
        <v>0</v>
      </c>
      <c r="M32" s="638">
        <f>Lehrpersonen!O32</f>
        <v>0</v>
      </c>
      <c r="N32" s="638">
        <f>Lehrpersonen!I32</f>
        <v>0</v>
      </c>
      <c r="O32" s="640">
        <f>Lehrpersonen!G32</f>
        <v>0</v>
      </c>
      <c r="Q32" s="587"/>
    </row>
    <row r="33" spans="1:17" ht="23.25" customHeight="1" x14ac:dyDescent="0.25">
      <c r="A33" s="631">
        <f>Lehrpersonen!A33</f>
        <v>0</v>
      </c>
      <c r="B33" s="632">
        <f>Lehrpersonen!B33</f>
        <v>0</v>
      </c>
      <c r="C33" s="633">
        <f>Lehrpersonen!C33</f>
        <v>0</v>
      </c>
      <c r="D33" s="634">
        <f>Lehrpersonen!D33</f>
        <v>0</v>
      </c>
      <c r="E33" s="635"/>
      <c r="F33" s="636">
        <f>Lehrpersonen!Q33</f>
        <v>0</v>
      </c>
      <c r="G33" s="637"/>
      <c r="H33" s="638">
        <f>Lehrpersonen!H33</f>
        <v>0</v>
      </c>
      <c r="I33" s="638">
        <f>Lehrpersonen!J33</f>
        <v>0</v>
      </c>
      <c r="J33" s="638">
        <f>Lehrpersonen!K33</f>
        <v>0</v>
      </c>
      <c r="K33" s="639">
        <f>Lehrpersonen!L33</f>
        <v>0</v>
      </c>
      <c r="L33" s="638">
        <f>Lehrpersonen!M33</f>
        <v>0</v>
      </c>
      <c r="M33" s="638">
        <f>Lehrpersonen!O33</f>
        <v>0</v>
      </c>
      <c r="N33" s="638">
        <f>Lehrpersonen!I33</f>
        <v>0</v>
      </c>
      <c r="O33" s="640">
        <f>Lehrpersonen!G33</f>
        <v>0</v>
      </c>
      <c r="Q33" s="587"/>
    </row>
    <row r="34" spans="1:17" ht="23.25" customHeight="1" x14ac:dyDescent="0.25">
      <c r="A34" s="631">
        <f>Lehrpersonen!A34</f>
        <v>0</v>
      </c>
      <c r="B34" s="632">
        <f>Lehrpersonen!B34</f>
        <v>0</v>
      </c>
      <c r="C34" s="633">
        <f>Lehrpersonen!C34</f>
        <v>0</v>
      </c>
      <c r="D34" s="634">
        <f>Lehrpersonen!D34</f>
        <v>0</v>
      </c>
      <c r="E34" s="635"/>
      <c r="F34" s="636">
        <f>Lehrpersonen!Q34</f>
        <v>0</v>
      </c>
      <c r="G34" s="637"/>
      <c r="H34" s="638">
        <f>Lehrpersonen!H34</f>
        <v>0</v>
      </c>
      <c r="I34" s="638">
        <f>Lehrpersonen!J34</f>
        <v>0</v>
      </c>
      <c r="J34" s="638">
        <f>Lehrpersonen!K34</f>
        <v>0</v>
      </c>
      <c r="K34" s="639">
        <f>Lehrpersonen!L34</f>
        <v>0</v>
      </c>
      <c r="L34" s="638">
        <f>Lehrpersonen!M34</f>
        <v>0</v>
      </c>
      <c r="M34" s="638">
        <f>Lehrpersonen!O34</f>
        <v>0</v>
      </c>
      <c r="N34" s="638">
        <f>Lehrpersonen!I34</f>
        <v>0</v>
      </c>
      <c r="O34" s="640">
        <f>Lehrpersonen!G34</f>
        <v>0</v>
      </c>
      <c r="Q34" s="587"/>
    </row>
    <row r="35" spans="1:17" ht="23.25" customHeight="1" x14ac:dyDescent="0.25">
      <c r="A35" s="631">
        <f>Lehrpersonen!A35</f>
        <v>0</v>
      </c>
      <c r="B35" s="632">
        <f>Lehrpersonen!B35</f>
        <v>0</v>
      </c>
      <c r="C35" s="633">
        <f>Lehrpersonen!C35</f>
        <v>0</v>
      </c>
      <c r="D35" s="634">
        <f>Lehrpersonen!D35</f>
        <v>0</v>
      </c>
      <c r="E35" s="635"/>
      <c r="F35" s="636">
        <f>Lehrpersonen!Q35</f>
        <v>0</v>
      </c>
      <c r="G35" s="637"/>
      <c r="H35" s="638">
        <f>Lehrpersonen!H35</f>
        <v>0</v>
      </c>
      <c r="I35" s="638">
        <f>Lehrpersonen!J35</f>
        <v>0</v>
      </c>
      <c r="J35" s="638">
        <f>Lehrpersonen!K35</f>
        <v>0</v>
      </c>
      <c r="K35" s="639">
        <f>Lehrpersonen!L35</f>
        <v>0</v>
      </c>
      <c r="L35" s="638">
        <f>Lehrpersonen!M35</f>
        <v>0</v>
      </c>
      <c r="M35" s="638">
        <f>Lehrpersonen!O35</f>
        <v>0</v>
      </c>
      <c r="N35" s="638">
        <f>Lehrpersonen!I35</f>
        <v>0</v>
      </c>
      <c r="O35" s="640">
        <f>Lehrpersonen!G35</f>
        <v>0</v>
      </c>
      <c r="Q35" s="587"/>
    </row>
    <row r="36" spans="1:17" ht="23.25" customHeight="1" x14ac:dyDescent="0.25">
      <c r="A36" s="631">
        <f>Lehrpersonen!A36</f>
        <v>0</v>
      </c>
      <c r="B36" s="632">
        <f>Lehrpersonen!B36</f>
        <v>0</v>
      </c>
      <c r="C36" s="633">
        <f>Lehrpersonen!C36</f>
        <v>0</v>
      </c>
      <c r="D36" s="634">
        <f>Lehrpersonen!D36</f>
        <v>0</v>
      </c>
      <c r="E36" s="635"/>
      <c r="F36" s="636">
        <f>Lehrpersonen!Q36</f>
        <v>0</v>
      </c>
      <c r="G36" s="637"/>
      <c r="H36" s="638">
        <f>Lehrpersonen!H36</f>
        <v>0</v>
      </c>
      <c r="I36" s="638">
        <f>Lehrpersonen!J36</f>
        <v>0</v>
      </c>
      <c r="J36" s="638">
        <f>Lehrpersonen!K36</f>
        <v>0</v>
      </c>
      <c r="K36" s="639">
        <f>Lehrpersonen!L36</f>
        <v>0</v>
      </c>
      <c r="L36" s="638">
        <f>Lehrpersonen!M36</f>
        <v>0</v>
      </c>
      <c r="M36" s="638">
        <f>Lehrpersonen!O36</f>
        <v>0</v>
      </c>
      <c r="N36" s="638">
        <f>Lehrpersonen!I36</f>
        <v>0</v>
      </c>
      <c r="O36" s="640">
        <f>Lehrpersonen!G36</f>
        <v>0</v>
      </c>
      <c r="Q36" s="587"/>
    </row>
    <row r="37" spans="1:17" ht="23.25" customHeight="1" x14ac:dyDescent="0.25">
      <c r="A37" s="631">
        <f>Lehrpersonen!A37</f>
        <v>0</v>
      </c>
      <c r="B37" s="632">
        <f>Lehrpersonen!B37</f>
        <v>0</v>
      </c>
      <c r="C37" s="633">
        <f>Lehrpersonen!C37</f>
        <v>0</v>
      </c>
      <c r="D37" s="634">
        <f>Lehrpersonen!D37</f>
        <v>0</v>
      </c>
      <c r="E37" s="635"/>
      <c r="F37" s="636">
        <f>Lehrpersonen!Q37</f>
        <v>0</v>
      </c>
      <c r="G37" s="637"/>
      <c r="H37" s="638">
        <f>Lehrpersonen!H37</f>
        <v>0</v>
      </c>
      <c r="I37" s="638">
        <f>Lehrpersonen!J37</f>
        <v>0</v>
      </c>
      <c r="J37" s="638">
        <f>Lehrpersonen!K37</f>
        <v>0</v>
      </c>
      <c r="K37" s="639">
        <f>Lehrpersonen!L37</f>
        <v>0</v>
      </c>
      <c r="L37" s="638">
        <f>Lehrpersonen!M37</f>
        <v>0</v>
      </c>
      <c r="M37" s="638">
        <f>Lehrpersonen!O37</f>
        <v>0</v>
      </c>
      <c r="N37" s="638">
        <f>Lehrpersonen!I37</f>
        <v>0</v>
      </c>
      <c r="O37" s="640">
        <f>Lehrpersonen!G37</f>
        <v>0</v>
      </c>
      <c r="Q37" s="587"/>
    </row>
    <row r="38" spans="1:17" ht="23.25" customHeight="1" x14ac:dyDescent="0.25">
      <c r="A38" s="631">
        <f>Lehrpersonen!A38</f>
        <v>0</v>
      </c>
      <c r="B38" s="632">
        <f>Lehrpersonen!B38</f>
        <v>0</v>
      </c>
      <c r="C38" s="633">
        <f>Lehrpersonen!C38</f>
        <v>0</v>
      </c>
      <c r="D38" s="634">
        <f>Lehrpersonen!D38</f>
        <v>0</v>
      </c>
      <c r="E38" s="635"/>
      <c r="F38" s="636">
        <f>Lehrpersonen!Q38</f>
        <v>0</v>
      </c>
      <c r="G38" s="637"/>
      <c r="H38" s="638">
        <f>Lehrpersonen!H38</f>
        <v>0</v>
      </c>
      <c r="I38" s="638">
        <f>Lehrpersonen!J38</f>
        <v>0</v>
      </c>
      <c r="J38" s="638">
        <f>Lehrpersonen!K38</f>
        <v>0</v>
      </c>
      <c r="K38" s="639">
        <f>Lehrpersonen!L38</f>
        <v>0</v>
      </c>
      <c r="L38" s="638">
        <f>Lehrpersonen!M38</f>
        <v>0</v>
      </c>
      <c r="M38" s="638">
        <f>Lehrpersonen!O38</f>
        <v>0</v>
      </c>
      <c r="N38" s="638">
        <f>Lehrpersonen!I38</f>
        <v>0</v>
      </c>
      <c r="O38" s="640">
        <f>Lehrpersonen!G38</f>
        <v>0</v>
      </c>
      <c r="Q38" s="587"/>
    </row>
    <row r="39" spans="1:17" ht="23.25" customHeight="1" x14ac:dyDescent="0.25">
      <c r="A39" s="631">
        <f>Lehrpersonen!A39</f>
        <v>0</v>
      </c>
      <c r="B39" s="632">
        <f>Lehrpersonen!B39</f>
        <v>0</v>
      </c>
      <c r="C39" s="633">
        <f>Lehrpersonen!C39</f>
        <v>0</v>
      </c>
      <c r="D39" s="634">
        <f>Lehrpersonen!D39</f>
        <v>0</v>
      </c>
      <c r="E39" s="635"/>
      <c r="F39" s="636">
        <f>Lehrpersonen!Q39</f>
        <v>0</v>
      </c>
      <c r="G39" s="637"/>
      <c r="H39" s="638">
        <f>Lehrpersonen!H39</f>
        <v>0</v>
      </c>
      <c r="I39" s="638">
        <f>Lehrpersonen!J39</f>
        <v>0</v>
      </c>
      <c r="J39" s="638">
        <f>Lehrpersonen!K39</f>
        <v>0</v>
      </c>
      <c r="K39" s="639">
        <f>Lehrpersonen!L39</f>
        <v>0</v>
      </c>
      <c r="L39" s="638">
        <f>Lehrpersonen!M39</f>
        <v>0</v>
      </c>
      <c r="M39" s="638">
        <f>Lehrpersonen!O39</f>
        <v>0</v>
      </c>
      <c r="N39" s="638">
        <f>Lehrpersonen!I39</f>
        <v>0</v>
      </c>
      <c r="O39" s="640">
        <f>Lehrpersonen!G39</f>
        <v>0</v>
      </c>
      <c r="Q39" s="587"/>
    </row>
    <row r="40" spans="1:17" ht="23.25" customHeight="1" x14ac:dyDescent="0.25">
      <c r="A40" s="631">
        <f>Lehrpersonen!A40</f>
        <v>0</v>
      </c>
      <c r="B40" s="632">
        <f>Lehrpersonen!B40</f>
        <v>0</v>
      </c>
      <c r="C40" s="633">
        <f>Lehrpersonen!C40</f>
        <v>0</v>
      </c>
      <c r="D40" s="634">
        <f>Lehrpersonen!D40</f>
        <v>0</v>
      </c>
      <c r="E40" s="635"/>
      <c r="F40" s="636">
        <f>Lehrpersonen!Q40</f>
        <v>0</v>
      </c>
      <c r="G40" s="637"/>
      <c r="H40" s="638">
        <f>Lehrpersonen!H40</f>
        <v>0</v>
      </c>
      <c r="I40" s="638">
        <f>Lehrpersonen!J40</f>
        <v>0</v>
      </c>
      <c r="J40" s="638">
        <f>Lehrpersonen!K40</f>
        <v>0</v>
      </c>
      <c r="K40" s="639">
        <f>Lehrpersonen!L40</f>
        <v>0</v>
      </c>
      <c r="L40" s="638">
        <f>Lehrpersonen!M40</f>
        <v>0</v>
      </c>
      <c r="M40" s="638">
        <f>Lehrpersonen!O40</f>
        <v>0</v>
      </c>
      <c r="N40" s="638">
        <f>Lehrpersonen!I40</f>
        <v>0</v>
      </c>
      <c r="O40" s="640">
        <f>Lehrpersonen!G40</f>
        <v>0</v>
      </c>
      <c r="Q40" s="587"/>
    </row>
    <row r="41" spans="1:17" ht="23.25" customHeight="1" x14ac:dyDescent="0.25">
      <c r="A41" s="631">
        <f>Lehrpersonen!A41</f>
        <v>0</v>
      </c>
      <c r="B41" s="632">
        <f>Lehrpersonen!B41</f>
        <v>0</v>
      </c>
      <c r="C41" s="633">
        <f>Lehrpersonen!C41</f>
        <v>0</v>
      </c>
      <c r="D41" s="634">
        <f>Lehrpersonen!D41</f>
        <v>0</v>
      </c>
      <c r="E41" s="635"/>
      <c r="F41" s="636">
        <f>Lehrpersonen!Q41</f>
        <v>0</v>
      </c>
      <c r="G41" s="637"/>
      <c r="H41" s="638">
        <f>Lehrpersonen!H41</f>
        <v>0</v>
      </c>
      <c r="I41" s="638">
        <f>Lehrpersonen!J41</f>
        <v>0</v>
      </c>
      <c r="J41" s="638">
        <f>Lehrpersonen!K41</f>
        <v>0</v>
      </c>
      <c r="K41" s="639">
        <f>Lehrpersonen!L41</f>
        <v>0</v>
      </c>
      <c r="L41" s="638">
        <f>Lehrpersonen!M41</f>
        <v>0</v>
      </c>
      <c r="M41" s="638">
        <f>Lehrpersonen!O41</f>
        <v>0</v>
      </c>
      <c r="N41" s="638">
        <f>Lehrpersonen!I41</f>
        <v>0</v>
      </c>
      <c r="O41" s="640">
        <f>Lehrpersonen!G41</f>
        <v>0</v>
      </c>
      <c r="Q41" s="587"/>
    </row>
    <row r="42" spans="1:17" ht="23.25" customHeight="1" x14ac:dyDescent="0.25">
      <c r="A42" s="631">
        <f>Lehrpersonen!A42</f>
        <v>0</v>
      </c>
      <c r="B42" s="632">
        <f>Lehrpersonen!B42</f>
        <v>0</v>
      </c>
      <c r="C42" s="633">
        <f>Lehrpersonen!C42</f>
        <v>0</v>
      </c>
      <c r="D42" s="634">
        <f>Lehrpersonen!D42</f>
        <v>0</v>
      </c>
      <c r="E42" s="635"/>
      <c r="F42" s="636">
        <f>Lehrpersonen!Q42</f>
        <v>0</v>
      </c>
      <c r="G42" s="637"/>
      <c r="H42" s="638">
        <f>Lehrpersonen!H42</f>
        <v>0</v>
      </c>
      <c r="I42" s="638">
        <f>Lehrpersonen!J42</f>
        <v>0</v>
      </c>
      <c r="J42" s="638">
        <f>Lehrpersonen!K42</f>
        <v>0</v>
      </c>
      <c r="K42" s="639">
        <f>Lehrpersonen!L42</f>
        <v>0</v>
      </c>
      <c r="L42" s="638">
        <f>Lehrpersonen!M42</f>
        <v>0</v>
      </c>
      <c r="M42" s="638">
        <f>Lehrpersonen!O42</f>
        <v>0</v>
      </c>
      <c r="N42" s="638">
        <f>Lehrpersonen!I42</f>
        <v>0</v>
      </c>
      <c r="O42" s="640">
        <f>Lehrpersonen!G42</f>
        <v>0</v>
      </c>
      <c r="Q42" s="587"/>
    </row>
    <row r="43" spans="1:17" ht="23.25" customHeight="1" x14ac:dyDescent="0.25">
      <c r="A43" s="631">
        <f>Lehrpersonen!A43</f>
        <v>0</v>
      </c>
      <c r="B43" s="632">
        <f>Lehrpersonen!B43</f>
        <v>0</v>
      </c>
      <c r="C43" s="633">
        <f>Lehrpersonen!C43</f>
        <v>0</v>
      </c>
      <c r="D43" s="634">
        <f>Lehrpersonen!D43</f>
        <v>0</v>
      </c>
      <c r="E43" s="635"/>
      <c r="F43" s="636">
        <f>Lehrpersonen!Q43</f>
        <v>0</v>
      </c>
      <c r="G43" s="637"/>
      <c r="H43" s="638">
        <f>Lehrpersonen!H43</f>
        <v>0</v>
      </c>
      <c r="I43" s="638">
        <f>Lehrpersonen!J43</f>
        <v>0</v>
      </c>
      <c r="J43" s="638">
        <f>Lehrpersonen!K43</f>
        <v>0</v>
      </c>
      <c r="K43" s="639">
        <f>Lehrpersonen!L43</f>
        <v>0</v>
      </c>
      <c r="L43" s="638">
        <f>Lehrpersonen!M43</f>
        <v>0</v>
      </c>
      <c r="M43" s="638">
        <f>Lehrpersonen!O43</f>
        <v>0</v>
      </c>
      <c r="N43" s="638">
        <f>Lehrpersonen!I43</f>
        <v>0</v>
      </c>
      <c r="O43" s="640">
        <f>Lehrpersonen!G43</f>
        <v>0</v>
      </c>
      <c r="Q43" s="587"/>
    </row>
    <row r="44" spans="1:17" ht="23.25" customHeight="1" x14ac:dyDescent="0.25">
      <c r="A44" s="631">
        <f>Lehrpersonen!A44</f>
        <v>0</v>
      </c>
      <c r="B44" s="632">
        <f>Lehrpersonen!B44</f>
        <v>0</v>
      </c>
      <c r="C44" s="633">
        <f>Lehrpersonen!C44</f>
        <v>0</v>
      </c>
      <c r="D44" s="634">
        <f>Lehrpersonen!D44</f>
        <v>0</v>
      </c>
      <c r="E44" s="635"/>
      <c r="F44" s="636">
        <f>Lehrpersonen!Q44</f>
        <v>0</v>
      </c>
      <c r="G44" s="637"/>
      <c r="H44" s="638">
        <f>Lehrpersonen!H44</f>
        <v>0</v>
      </c>
      <c r="I44" s="638">
        <f>Lehrpersonen!J44</f>
        <v>0</v>
      </c>
      <c r="J44" s="638">
        <f>Lehrpersonen!K44</f>
        <v>0</v>
      </c>
      <c r="K44" s="639">
        <f>Lehrpersonen!L44</f>
        <v>0</v>
      </c>
      <c r="L44" s="638">
        <f>Lehrpersonen!M44</f>
        <v>0</v>
      </c>
      <c r="M44" s="638">
        <f>Lehrpersonen!O44</f>
        <v>0</v>
      </c>
      <c r="N44" s="638">
        <f>Lehrpersonen!I44</f>
        <v>0</v>
      </c>
      <c r="O44" s="640">
        <f>Lehrpersonen!G44</f>
        <v>0</v>
      </c>
      <c r="Q44" s="587"/>
    </row>
    <row r="45" spans="1:17" ht="23.25" customHeight="1" x14ac:dyDescent="0.25">
      <c r="A45" s="631">
        <f>Lehrpersonen!A45</f>
        <v>0</v>
      </c>
      <c r="B45" s="632">
        <f>Lehrpersonen!B45</f>
        <v>0</v>
      </c>
      <c r="C45" s="633">
        <f>Lehrpersonen!C45</f>
        <v>0</v>
      </c>
      <c r="D45" s="634">
        <f>Lehrpersonen!D45</f>
        <v>0</v>
      </c>
      <c r="E45" s="635"/>
      <c r="F45" s="636">
        <f>Lehrpersonen!Q45</f>
        <v>0</v>
      </c>
      <c r="G45" s="637"/>
      <c r="H45" s="638">
        <f>Lehrpersonen!H45</f>
        <v>0</v>
      </c>
      <c r="I45" s="638">
        <f>Lehrpersonen!J45</f>
        <v>0</v>
      </c>
      <c r="J45" s="638">
        <f>Lehrpersonen!K45</f>
        <v>0</v>
      </c>
      <c r="K45" s="639">
        <f>Lehrpersonen!L45</f>
        <v>0</v>
      </c>
      <c r="L45" s="638">
        <f>Lehrpersonen!M45</f>
        <v>0</v>
      </c>
      <c r="M45" s="638">
        <f>Lehrpersonen!O45</f>
        <v>0</v>
      </c>
      <c r="N45" s="638">
        <f>Lehrpersonen!I45</f>
        <v>0</v>
      </c>
      <c r="O45" s="640">
        <f>Lehrpersonen!G45</f>
        <v>0</v>
      </c>
      <c r="Q45" s="587"/>
    </row>
    <row r="46" spans="1:17" ht="23.25" customHeight="1" x14ac:dyDescent="0.25">
      <c r="A46" s="631">
        <f>Lehrpersonen!A46</f>
        <v>0</v>
      </c>
      <c r="B46" s="632">
        <f>Lehrpersonen!B46</f>
        <v>0</v>
      </c>
      <c r="C46" s="633">
        <f>Lehrpersonen!C46</f>
        <v>0</v>
      </c>
      <c r="D46" s="634">
        <f>Lehrpersonen!D46</f>
        <v>0</v>
      </c>
      <c r="E46" s="635"/>
      <c r="F46" s="636">
        <f>Lehrpersonen!Q46</f>
        <v>0</v>
      </c>
      <c r="G46" s="637"/>
      <c r="H46" s="638">
        <f>Lehrpersonen!H46</f>
        <v>0</v>
      </c>
      <c r="I46" s="638">
        <f>Lehrpersonen!J46</f>
        <v>0</v>
      </c>
      <c r="J46" s="638">
        <f>Lehrpersonen!K46</f>
        <v>0</v>
      </c>
      <c r="K46" s="639">
        <f>Lehrpersonen!L46</f>
        <v>0</v>
      </c>
      <c r="L46" s="638">
        <f>Lehrpersonen!M46</f>
        <v>0</v>
      </c>
      <c r="M46" s="638">
        <f>Lehrpersonen!O46</f>
        <v>0</v>
      </c>
      <c r="N46" s="638">
        <f>Lehrpersonen!I46</f>
        <v>0</v>
      </c>
      <c r="O46" s="640">
        <f>Lehrpersonen!G46</f>
        <v>0</v>
      </c>
      <c r="Q46" s="587"/>
    </row>
    <row r="47" spans="1:17" ht="23.25" customHeight="1" x14ac:dyDescent="0.25">
      <c r="A47" s="631">
        <f>Lehrpersonen!A47</f>
        <v>0</v>
      </c>
      <c r="B47" s="632">
        <f>Lehrpersonen!B47</f>
        <v>0</v>
      </c>
      <c r="C47" s="633">
        <f>Lehrpersonen!C47</f>
        <v>0</v>
      </c>
      <c r="D47" s="634">
        <f>Lehrpersonen!D47</f>
        <v>0</v>
      </c>
      <c r="E47" s="635"/>
      <c r="F47" s="636">
        <f>Lehrpersonen!Q47</f>
        <v>0</v>
      </c>
      <c r="G47" s="637"/>
      <c r="H47" s="638">
        <f>Lehrpersonen!H47</f>
        <v>0</v>
      </c>
      <c r="I47" s="638">
        <f>Lehrpersonen!J47</f>
        <v>0</v>
      </c>
      <c r="J47" s="638">
        <f>Lehrpersonen!K47</f>
        <v>0</v>
      </c>
      <c r="K47" s="639">
        <f>Lehrpersonen!L47</f>
        <v>0</v>
      </c>
      <c r="L47" s="638">
        <f>Lehrpersonen!M47</f>
        <v>0</v>
      </c>
      <c r="M47" s="638">
        <f>Lehrpersonen!O47</f>
        <v>0</v>
      </c>
      <c r="N47" s="638">
        <f>Lehrpersonen!I47</f>
        <v>0</v>
      </c>
      <c r="O47" s="640">
        <f>Lehrpersonen!G47</f>
        <v>0</v>
      </c>
      <c r="Q47" s="587"/>
    </row>
    <row r="48" spans="1:17" ht="23.25" customHeight="1" x14ac:dyDescent="0.25">
      <c r="A48" s="631">
        <f>Lehrpersonen!A48</f>
        <v>0</v>
      </c>
      <c r="B48" s="632">
        <f>Lehrpersonen!B48</f>
        <v>0</v>
      </c>
      <c r="C48" s="633">
        <f>Lehrpersonen!C48</f>
        <v>0</v>
      </c>
      <c r="D48" s="634">
        <f>Lehrpersonen!D48</f>
        <v>0</v>
      </c>
      <c r="E48" s="635"/>
      <c r="F48" s="636">
        <f>Lehrpersonen!Q48</f>
        <v>0</v>
      </c>
      <c r="G48" s="637"/>
      <c r="H48" s="638">
        <f>Lehrpersonen!H48</f>
        <v>0</v>
      </c>
      <c r="I48" s="638">
        <f>Lehrpersonen!J48</f>
        <v>0</v>
      </c>
      <c r="J48" s="638">
        <f>Lehrpersonen!K48</f>
        <v>0</v>
      </c>
      <c r="K48" s="639">
        <f>Lehrpersonen!L48</f>
        <v>0</v>
      </c>
      <c r="L48" s="638">
        <f>Lehrpersonen!M48</f>
        <v>0</v>
      </c>
      <c r="M48" s="638">
        <f>Lehrpersonen!O48</f>
        <v>0</v>
      </c>
      <c r="N48" s="638">
        <f>Lehrpersonen!I48</f>
        <v>0</v>
      </c>
      <c r="O48" s="640">
        <f>Lehrpersonen!G48</f>
        <v>0</v>
      </c>
      <c r="Q48" s="587"/>
    </row>
    <row r="49" spans="1:17" ht="23.25" customHeight="1" x14ac:dyDescent="0.25">
      <c r="A49" s="631">
        <f>Lehrpersonen!A49</f>
        <v>0</v>
      </c>
      <c r="B49" s="632">
        <f>Lehrpersonen!B49</f>
        <v>0</v>
      </c>
      <c r="C49" s="633">
        <f>Lehrpersonen!C49</f>
        <v>0</v>
      </c>
      <c r="D49" s="634">
        <f>Lehrpersonen!D49</f>
        <v>0</v>
      </c>
      <c r="E49" s="635"/>
      <c r="F49" s="636">
        <f>Lehrpersonen!Q49</f>
        <v>0</v>
      </c>
      <c r="G49" s="637"/>
      <c r="H49" s="638">
        <f>Lehrpersonen!H49</f>
        <v>0</v>
      </c>
      <c r="I49" s="638">
        <f>Lehrpersonen!J49</f>
        <v>0</v>
      </c>
      <c r="J49" s="638">
        <f>Lehrpersonen!K49</f>
        <v>0</v>
      </c>
      <c r="K49" s="639">
        <f>Lehrpersonen!L49</f>
        <v>0</v>
      </c>
      <c r="L49" s="638">
        <f>Lehrpersonen!M49</f>
        <v>0</v>
      </c>
      <c r="M49" s="638">
        <f>Lehrpersonen!O49</f>
        <v>0</v>
      </c>
      <c r="N49" s="638">
        <f>Lehrpersonen!I49</f>
        <v>0</v>
      </c>
      <c r="O49" s="640">
        <f>Lehrpersonen!G49</f>
        <v>0</v>
      </c>
      <c r="Q49" s="587"/>
    </row>
    <row r="50" spans="1:17" ht="23.25" customHeight="1" x14ac:dyDescent="0.25">
      <c r="A50" s="631">
        <f>Lehrpersonen!A50</f>
        <v>0</v>
      </c>
      <c r="B50" s="632">
        <f>Lehrpersonen!B50</f>
        <v>0</v>
      </c>
      <c r="C50" s="633">
        <f>Lehrpersonen!C50</f>
        <v>0</v>
      </c>
      <c r="D50" s="634">
        <f>Lehrpersonen!D50</f>
        <v>0</v>
      </c>
      <c r="E50" s="635"/>
      <c r="F50" s="636">
        <f>Lehrpersonen!Q50</f>
        <v>0</v>
      </c>
      <c r="G50" s="637"/>
      <c r="H50" s="638">
        <f>Lehrpersonen!H50</f>
        <v>0</v>
      </c>
      <c r="I50" s="638">
        <f>Lehrpersonen!J50</f>
        <v>0</v>
      </c>
      <c r="J50" s="638">
        <f>Lehrpersonen!K50</f>
        <v>0</v>
      </c>
      <c r="K50" s="639">
        <f>Lehrpersonen!L50</f>
        <v>0</v>
      </c>
      <c r="L50" s="638">
        <f>Lehrpersonen!M50</f>
        <v>0</v>
      </c>
      <c r="M50" s="638">
        <f>Lehrpersonen!O50</f>
        <v>0</v>
      </c>
      <c r="N50" s="638">
        <f>Lehrpersonen!I50</f>
        <v>0</v>
      </c>
      <c r="O50" s="640">
        <f>Lehrpersonen!G50</f>
        <v>0</v>
      </c>
      <c r="Q50" s="587"/>
    </row>
    <row r="51" spans="1:17" ht="23.25" customHeight="1" x14ac:dyDescent="0.25">
      <c r="A51" s="631">
        <f>Lehrpersonen!A51</f>
        <v>0</v>
      </c>
      <c r="B51" s="632">
        <f>Lehrpersonen!B51</f>
        <v>0</v>
      </c>
      <c r="C51" s="633">
        <f>Lehrpersonen!C51</f>
        <v>0</v>
      </c>
      <c r="D51" s="634">
        <f>Lehrpersonen!D51</f>
        <v>0</v>
      </c>
      <c r="E51" s="635"/>
      <c r="F51" s="636">
        <f>Lehrpersonen!Q51</f>
        <v>0</v>
      </c>
      <c r="G51" s="637"/>
      <c r="H51" s="638">
        <f>Lehrpersonen!H51</f>
        <v>0</v>
      </c>
      <c r="I51" s="638">
        <f>Lehrpersonen!J51</f>
        <v>0</v>
      </c>
      <c r="J51" s="638">
        <f>Lehrpersonen!K51</f>
        <v>0</v>
      </c>
      <c r="K51" s="639">
        <f>Lehrpersonen!L51</f>
        <v>0</v>
      </c>
      <c r="L51" s="638">
        <f>Lehrpersonen!M51</f>
        <v>0</v>
      </c>
      <c r="M51" s="638">
        <f>Lehrpersonen!O51</f>
        <v>0</v>
      </c>
      <c r="N51" s="638">
        <f>Lehrpersonen!I51</f>
        <v>0</v>
      </c>
      <c r="O51" s="640">
        <f>Lehrpersonen!G51</f>
        <v>0</v>
      </c>
      <c r="Q51" s="587"/>
    </row>
    <row r="52" spans="1:17" ht="23.25" customHeight="1" x14ac:dyDescent="0.25">
      <c r="A52" s="631">
        <f>Lehrpersonen!A52</f>
        <v>0</v>
      </c>
      <c r="B52" s="632">
        <f>Lehrpersonen!B52</f>
        <v>0</v>
      </c>
      <c r="C52" s="633">
        <f>Lehrpersonen!C52</f>
        <v>0</v>
      </c>
      <c r="D52" s="634">
        <f>Lehrpersonen!D52</f>
        <v>0</v>
      </c>
      <c r="E52" s="635"/>
      <c r="F52" s="636">
        <f>Lehrpersonen!Q52</f>
        <v>0</v>
      </c>
      <c r="G52" s="637"/>
      <c r="H52" s="638">
        <f>Lehrpersonen!H52</f>
        <v>0</v>
      </c>
      <c r="I52" s="638">
        <f>Lehrpersonen!J52</f>
        <v>0</v>
      </c>
      <c r="J52" s="638">
        <f>Lehrpersonen!K52</f>
        <v>0</v>
      </c>
      <c r="K52" s="639">
        <f>Lehrpersonen!L52</f>
        <v>0</v>
      </c>
      <c r="L52" s="638">
        <f>Lehrpersonen!M52</f>
        <v>0</v>
      </c>
      <c r="M52" s="638">
        <f>Lehrpersonen!O52</f>
        <v>0</v>
      </c>
      <c r="N52" s="638">
        <f>Lehrpersonen!I52</f>
        <v>0</v>
      </c>
      <c r="O52" s="640">
        <f>Lehrpersonen!G52</f>
        <v>0</v>
      </c>
      <c r="Q52" s="587"/>
    </row>
    <row r="53" spans="1:17" ht="23.25" customHeight="1" x14ac:dyDescent="0.25">
      <c r="A53" s="631">
        <f>Lehrpersonen!A53</f>
        <v>0</v>
      </c>
      <c r="B53" s="632">
        <f>Lehrpersonen!B53</f>
        <v>0</v>
      </c>
      <c r="C53" s="633">
        <f>Lehrpersonen!C53</f>
        <v>0</v>
      </c>
      <c r="D53" s="634">
        <f>Lehrpersonen!D53</f>
        <v>0</v>
      </c>
      <c r="E53" s="635"/>
      <c r="F53" s="636">
        <f>Lehrpersonen!Q53</f>
        <v>0</v>
      </c>
      <c r="G53" s="637"/>
      <c r="H53" s="638">
        <f>Lehrpersonen!H53</f>
        <v>0</v>
      </c>
      <c r="I53" s="638">
        <f>Lehrpersonen!J53</f>
        <v>0</v>
      </c>
      <c r="J53" s="638">
        <f>Lehrpersonen!K53</f>
        <v>0</v>
      </c>
      <c r="K53" s="639">
        <f>Lehrpersonen!L53</f>
        <v>0</v>
      </c>
      <c r="L53" s="638">
        <f>Lehrpersonen!M53</f>
        <v>0</v>
      </c>
      <c r="M53" s="638">
        <f>Lehrpersonen!O53</f>
        <v>0</v>
      </c>
      <c r="N53" s="638">
        <f>Lehrpersonen!I53</f>
        <v>0</v>
      </c>
      <c r="O53" s="640">
        <f>Lehrpersonen!G53</f>
        <v>0</v>
      </c>
      <c r="Q53" s="587"/>
    </row>
    <row r="54" spans="1:17" ht="23.25" customHeight="1" x14ac:dyDescent="0.25">
      <c r="A54" s="631">
        <f>Lehrpersonen!A54</f>
        <v>0</v>
      </c>
      <c r="B54" s="632">
        <f>Lehrpersonen!B54</f>
        <v>0</v>
      </c>
      <c r="C54" s="633">
        <f>Lehrpersonen!C54</f>
        <v>0</v>
      </c>
      <c r="D54" s="634">
        <f>Lehrpersonen!D54</f>
        <v>0</v>
      </c>
      <c r="E54" s="635"/>
      <c r="F54" s="636">
        <f>Lehrpersonen!Q54</f>
        <v>0</v>
      </c>
      <c r="G54" s="637"/>
      <c r="H54" s="638">
        <f>Lehrpersonen!H54</f>
        <v>0</v>
      </c>
      <c r="I54" s="638">
        <f>Lehrpersonen!J54</f>
        <v>0</v>
      </c>
      <c r="J54" s="638">
        <f>Lehrpersonen!K54</f>
        <v>0</v>
      </c>
      <c r="K54" s="639">
        <f>Lehrpersonen!L54</f>
        <v>0</v>
      </c>
      <c r="L54" s="638">
        <f>Lehrpersonen!M54</f>
        <v>0</v>
      </c>
      <c r="M54" s="638">
        <f>Lehrpersonen!O54</f>
        <v>0</v>
      </c>
      <c r="N54" s="638">
        <f>Lehrpersonen!I54</f>
        <v>0</v>
      </c>
      <c r="O54" s="640">
        <f>Lehrpersonen!G54</f>
        <v>0</v>
      </c>
      <c r="Q54" s="587"/>
    </row>
    <row r="55" spans="1:17" ht="23.25" customHeight="1" x14ac:dyDescent="0.25">
      <c r="A55" s="631">
        <f>Lehrpersonen!A55</f>
        <v>0</v>
      </c>
      <c r="B55" s="632">
        <f>Lehrpersonen!B55</f>
        <v>0</v>
      </c>
      <c r="C55" s="633">
        <f>Lehrpersonen!C55</f>
        <v>0</v>
      </c>
      <c r="D55" s="634">
        <f>Lehrpersonen!D55</f>
        <v>0</v>
      </c>
      <c r="E55" s="635"/>
      <c r="F55" s="636">
        <f>Lehrpersonen!Q55</f>
        <v>0</v>
      </c>
      <c r="G55" s="637"/>
      <c r="H55" s="638">
        <f>Lehrpersonen!H55</f>
        <v>0</v>
      </c>
      <c r="I55" s="638">
        <f>Lehrpersonen!J55</f>
        <v>0</v>
      </c>
      <c r="J55" s="638">
        <f>Lehrpersonen!K55</f>
        <v>0</v>
      </c>
      <c r="K55" s="639">
        <f>Lehrpersonen!L55</f>
        <v>0</v>
      </c>
      <c r="L55" s="638">
        <f>Lehrpersonen!M55</f>
        <v>0</v>
      </c>
      <c r="M55" s="638">
        <f>Lehrpersonen!O55</f>
        <v>0</v>
      </c>
      <c r="N55" s="638">
        <f>Lehrpersonen!I55</f>
        <v>0</v>
      </c>
      <c r="O55" s="640">
        <f>Lehrpersonen!G55</f>
        <v>0</v>
      </c>
      <c r="Q55" s="587"/>
    </row>
    <row r="56" spans="1:17" ht="23.25" customHeight="1" x14ac:dyDescent="0.25">
      <c r="A56" s="631">
        <f>Lehrpersonen!A56</f>
        <v>0</v>
      </c>
      <c r="B56" s="632">
        <f>Lehrpersonen!B56</f>
        <v>0</v>
      </c>
      <c r="C56" s="633">
        <f>Lehrpersonen!C56</f>
        <v>0</v>
      </c>
      <c r="D56" s="634">
        <f>Lehrpersonen!D56</f>
        <v>0</v>
      </c>
      <c r="E56" s="635"/>
      <c r="F56" s="636">
        <f>Lehrpersonen!Q56</f>
        <v>0</v>
      </c>
      <c r="G56" s="637"/>
      <c r="H56" s="638">
        <f>Lehrpersonen!H56</f>
        <v>0</v>
      </c>
      <c r="I56" s="638">
        <f>Lehrpersonen!J56</f>
        <v>0</v>
      </c>
      <c r="J56" s="638">
        <f>Lehrpersonen!K56</f>
        <v>0</v>
      </c>
      <c r="K56" s="639">
        <f>Lehrpersonen!L56</f>
        <v>0</v>
      </c>
      <c r="L56" s="638">
        <f>Lehrpersonen!M56</f>
        <v>0</v>
      </c>
      <c r="M56" s="638">
        <f>Lehrpersonen!O56</f>
        <v>0</v>
      </c>
      <c r="N56" s="638">
        <f>Lehrpersonen!I56</f>
        <v>0</v>
      </c>
      <c r="O56" s="640">
        <f>Lehrpersonen!G56</f>
        <v>0</v>
      </c>
      <c r="Q56" s="587"/>
    </row>
    <row r="57" spans="1:17" ht="23.25" customHeight="1" x14ac:dyDescent="0.25">
      <c r="A57" s="631">
        <f>Lehrpersonen!A57</f>
        <v>0</v>
      </c>
      <c r="B57" s="632">
        <f>Lehrpersonen!B57</f>
        <v>0</v>
      </c>
      <c r="C57" s="633">
        <f>Lehrpersonen!C57</f>
        <v>0</v>
      </c>
      <c r="D57" s="634">
        <f>Lehrpersonen!D57</f>
        <v>0</v>
      </c>
      <c r="E57" s="635"/>
      <c r="F57" s="636">
        <f>Lehrpersonen!Q57</f>
        <v>0</v>
      </c>
      <c r="G57" s="637"/>
      <c r="H57" s="638">
        <f>Lehrpersonen!H57</f>
        <v>0</v>
      </c>
      <c r="I57" s="638">
        <f>Lehrpersonen!J57</f>
        <v>0</v>
      </c>
      <c r="J57" s="638">
        <f>Lehrpersonen!K57</f>
        <v>0</v>
      </c>
      <c r="K57" s="639">
        <f>Lehrpersonen!L57</f>
        <v>0</v>
      </c>
      <c r="L57" s="638">
        <f>Lehrpersonen!M57</f>
        <v>0</v>
      </c>
      <c r="M57" s="638">
        <f>Lehrpersonen!O57</f>
        <v>0</v>
      </c>
      <c r="N57" s="638">
        <f>Lehrpersonen!I57</f>
        <v>0</v>
      </c>
      <c r="O57" s="640">
        <f>Lehrpersonen!G57</f>
        <v>0</v>
      </c>
      <c r="Q57" s="587"/>
    </row>
    <row r="58" spans="1:17" ht="23.25" customHeight="1" x14ac:dyDescent="0.25">
      <c r="A58" s="631">
        <f>Lehrpersonen!A58</f>
        <v>0</v>
      </c>
      <c r="B58" s="632">
        <f>Lehrpersonen!B58</f>
        <v>0</v>
      </c>
      <c r="C58" s="633">
        <f>Lehrpersonen!C58</f>
        <v>0</v>
      </c>
      <c r="D58" s="634">
        <f>Lehrpersonen!D58</f>
        <v>0</v>
      </c>
      <c r="E58" s="635"/>
      <c r="F58" s="636">
        <f>Lehrpersonen!Q58</f>
        <v>0</v>
      </c>
      <c r="G58" s="637"/>
      <c r="H58" s="638">
        <f>Lehrpersonen!H58</f>
        <v>0</v>
      </c>
      <c r="I58" s="638">
        <f>Lehrpersonen!J58</f>
        <v>0</v>
      </c>
      <c r="J58" s="638">
        <f>Lehrpersonen!K58</f>
        <v>0</v>
      </c>
      <c r="K58" s="639">
        <f>Lehrpersonen!L58</f>
        <v>0</v>
      </c>
      <c r="L58" s="638">
        <f>Lehrpersonen!M58</f>
        <v>0</v>
      </c>
      <c r="M58" s="638">
        <f>Lehrpersonen!O58</f>
        <v>0</v>
      </c>
      <c r="N58" s="638">
        <f>Lehrpersonen!I58</f>
        <v>0</v>
      </c>
      <c r="O58" s="640">
        <f>Lehrpersonen!G58</f>
        <v>0</v>
      </c>
      <c r="Q58" s="587"/>
    </row>
    <row r="59" spans="1:17" ht="23.25" customHeight="1" x14ac:dyDescent="0.25">
      <c r="A59" s="631">
        <f>Lehrpersonen!A59</f>
        <v>0</v>
      </c>
      <c r="B59" s="632">
        <f>Lehrpersonen!B59</f>
        <v>0</v>
      </c>
      <c r="C59" s="633">
        <f>Lehrpersonen!C59</f>
        <v>0</v>
      </c>
      <c r="D59" s="634">
        <f>Lehrpersonen!D59</f>
        <v>0</v>
      </c>
      <c r="E59" s="635"/>
      <c r="F59" s="636">
        <f>Lehrpersonen!Q59</f>
        <v>0</v>
      </c>
      <c r="G59" s="637"/>
      <c r="H59" s="638">
        <f>Lehrpersonen!H59</f>
        <v>0</v>
      </c>
      <c r="I59" s="638">
        <f>Lehrpersonen!J59</f>
        <v>0</v>
      </c>
      <c r="J59" s="638">
        <f>Lehrpersonen!K59</f>
        <v>0</v>
      </c>
      <c r="K59" s="639">
        <f>Lehrpersonen!L59</f>
        <v>0</v>
      </c>
      <c r="L59" s="638">
        <f>Lehrpersonen!M59</f>
        <v>0</v>
      </c>
      <c r="M59" s="638">
        <f>Lehrpersonen!O59</f>
        <v>0</v>
      </c>
      <c r="N59" s="638">
        <f>Lehrpersonen!I59</f>
        <v>0</v>
      </c>
      <c r="O59" s="640">
        <f>Lehrpersonen!G59</f>
        <v>0</v>
      </c>
      <c r="Q59" s="587"/>
    </row>
    <row r="60" spans="1:17" ht="23.25" customHeight="1" x14ac:dyDescent="0.25">
      <c r="A60" s="631">
        <f>Lehrpersonen!A60</f>
        <v>0</v>
      </c>
      <c r="B60" s="632">
        <f>Lehrpersonen!B60</f>
        <v>0</v>
      </c>
      <c r="C60" s="633">
        <f>Lehrpersonen!C60</f>
        <v>0</v>
      </c>
      <c r="D60" s="634">
        <f>Lehrpersonen!D60</f>
        <v>0</v>
      </c>
      <c r="E60" s="635"/>
      <c r="F60" s="636">
        <f>Lehrpersonen!Q60</f>
        <v>0</v>
      </c>
      <c r="G60" s="637"/>
      <c r="H60" s="638">
        <f>Lehrpersonen!H60</f>
        <v>0</v>
      </c>
      <c r="I60" s="638">
        <f>Lehrpersonen!J60</f>
        <v>0</v>
      </c>
      <c r="J60" s="638">
        <f>Lehrpersonen!K60</f>
        <v>0</v>
      </c>
      <c r="K60" s="639">
        <f>Lehrpersonen!L60</f>
        <v>0</v>
      </c>
      <c r="L60" s="638">
        <f>Lehrpersonen!M60</f>
        <v>0</v>
      </c>
      <c r="M60" s="638">
        <f>Lehrpersonen!O60</f>
        <v>0</v>
      </c>
      <c r="N60" s="638">
        <f>Lehrpersonen!I60</f>
        <v>0</v>
      </c>
      <c r="O60" s="640">
        <f>Lehrpersonen!G60</f>
        <v>0</v>
      </c>
      <c r="Q60" s="587"/>
    </row>
    <row r="61" spans="1:17" ht="23.25" customHeight="1" x14ac:dyDescent="0.25">
      <c r="A61" s="631">
        <f>Lehrpersonen!A61</f>
        <v>0</v>
      </c>
      <c r="B61" s="632">
        <f>Lehrpersonen!B61</f>
        <v>0</v>
      </c>
      <c r="C61" s="633">
        <f>Lehrpersonen!C61</f>
        <v>0</v>
      </c>
      <c r="D61" s="634">
        <f>Lehrpersonen!D61</f>
        <v>0</v>
      </c>
      <c r="E61" s="635"/>
      <c r="F61" s="636">
        <f>Lehrpersonen!Q61</f>
        <v>0</v>
      </c>
      <c r="G61" s="637"/>
      <c r="H61" s="638">
        <f>Lehrpersonen!H61</f>
        <v>0</v>
      </c>
      <c r="I61" s="638">
        <f>Lehrpersonen!J61</f>
        <v>0</v>
      </c>
      <c r="J61" s="638">
        <f>Lehrpersonen!K61</f>
        <v>0</v>
      </c>
      <c r="K61" s="639">
        <f>Lehrpersonen!L61</f>
        <v>0</v>
      </c>
      <c r="L61" s="638">
        <f>Lehrpersonen!M61</f>
        <v>0</v>
      </c>
      <c r="M61" s="638">
        <f>Lehrpersonen!O61</f>
        <v>0</v>
      </c>
      <c r="N61" s="638">
        <f>Lehrpersonen!I61</f>
        <v>0</v>
      </c>
      <c r="O61" s="640">
        <f>Lehrpersonen!G61</f>
        <v>0</v>
      </c>
      <c r="Q61" s="587"/>
    </row>
    <row r="62" spans="1:17" ht="23.25" customHeight="1" x14ac:dyDescent="0.25">
      <c r="A62" s="631">
        <f>Lehrpersonen!A62</f>
        <v>0</v>
      </c>
      <c r="B62" s="632">
        <f>Lehrpersonen!B62</f>
        <v>0</v>
      </c>
      <c r="C62" s="633">
        <f>Lehrpersonen!C62</f>
        <v>0</v>
      </c>
      <c r="D62" s="634">
        <f>Lehrpersonen!D62</f>
        <v>0</v>
      </c>
      <c r="E62" s="635"/>
      <c r="F62" s="636">
        <f>Lehrpersonen!Q62</f>
        <v>0</v>
      </c>
      <c r="G62" s="637"/>
      <c r="H62" s="638">
        <f>Lehrpersonen!H62</f>
        <v>0</v>
      </c>
      <c r="I62" s="638">
        <f>Lehrpersonen!J62</f>
        <v>0</v>
      </c>
      <c r="J62" s="638">
        <f>Lehrpersonen!K62</f>
        <v>0</v>
      </c>
      <c r="K62" s="639">
        <f>Lehrpersonen!L62</f>
        <v>0</v>
      </c>
      <c r="L62" s="638">
        <f>Lehrpersonen!M62</f>
        <v>0</v>
      </c>
      <c r="M62" s="638">
        <f>Lehrpersonen!O62</f>
        <v>0</v>
      </c>
      <c r="N62" s="638">
        <f>Lehrpersonen!I62</f>
        <v>0</v>
      </c>
      <c r="O62" s="640">
        <f>Lehrpersonen!G62</f>
        <v>0</v>
      </c>
      <c r="Q62" s="587"/>
    </row>
    <row r="63" spans="1:17" ht="23.25" customHeight="1" x14ac:dyDescent="0.25">
      <c r="A63" s="631">
        <f>Lehrpersonen!A63</f>
        <v>0</v>
      </c>
      <c r="B63" s="632">
        <f>Lehrpersonen!B63</f>
        <v>0</v>
      </c>
      <c r="C63" s="633">
        <f>Lehrpersonen!C63</f>
        <v>0</v>
      </c>
      <c r="D63" s="634">
        <f>Lehrpersonen!D63</f>
        <v>0</v>
      </c>
      <c r="E63" s="635"/>
      <c r="F63" s="636">
        <f>Lehrpersonen!Q63</f>
        <v>0</v>
      </c>
      <c r="G63" s="637"/>
      <c r="H63" s="638">
        <f>Lehrpersonen!H63</f>
        <v>0</v>
      </c>
      <c r="I63" s="638">
        <f>Lehrpersonen!J63</f>
        <v>0</v>
      </c>
      <c r="J63" s="638">
        <f>Lehrpersonen!K63</f>
        <v>0</v>
      </c>
      <c r="K63" s="639">
        <f>Lehrpersonen!L63</f>
        <v>0</v>
      </c>
      <c r="L63" s="638">
        <f>Lehrpersonen!M63</f>
        <v>0</v>
      </c>
      <c r="M63" s="638">
        <f>Lehrpersonen!O63</f>
        <v>0</v>
      </c>
      <c r="N63" s="638">
        <f>Lehrpersonen!I63</f>
        <v>0</v>
      </c>
      <c r="O63" s="640">
        <f>Lehrpersonen!G63</f>
        <v>0</v>
      </c>
      <c r="Q63" s="587"/>
    </row>
    <row r="64" spans="1:17" ht="23.25" customHeight="1" x14ac:dyDescent="0.25">
      <c r="A64" s="631">
        <f>Lehrpersonen!A64</f>
        <v>0</v>
      </c>
      <c r="B64" s="632">
        <f>Lehrpersonen!B64</f>
        <v>0</v>
      </c>
      <c r="C64" s="633">
        <f>Lehrpersonen!C64</f>
        <v>0</v>
      </c>
      <c r="D64" s="634">
        <f>Lehrpersonen!D64</f>
        <v>0</v>
      </c>
      <c r="E64" s="635"/>
      <c r="F64" s="636">
        <f>Lehrpersonen!Q64</f>
        <v>0</v>
      </c>
      <c r="G64" s="637"/>
      <c r="H64" s="638">
        <f>Lehrpersonen!H64</f>
        <v>0</v>
      </c>
      <c r="I64" s="638">
        <f>Lehrpersonen!J64</f>
        <v>0</v>
      </c>
      <c r="J64" s="638">
        <f>Lehrpersonen!K64</f>
        <v>0</v>
      </c>
      <c r="K64" s="639">
        <f>Lehrpersonen!L64</f>
        <v>0</v>
      </c>
      <c r="L64" s="638">
        <f>Lehrpersonen!M64</f>
        <v>0</v>
      </c>
      <c r="M64" s="638">
        <f>Lehrpersonen!O64</f>
        <v>0</v>
      </c>
      <c r="N64" s="638">
        <f>Lehrpersonen!I64</f>
        <v>0</v>
      </c>
      <c r="O64" s="640">
        <f>Lehrpersonen!G64</f>
        <v>0</v>
      </c>
      <c r="Q64" s="587"/>
    </row>
    <row r="65" spans="1:17" ht="23.25" customHeight="1" x14ac:dyDescent="0.25">
      <c r="A65" s="631">
        <f>Lehrpersonen!A65</f>
        <v>0</v>
      </c>
      <c r="B65" s="632">
        <f>Lehrpersonen!B65</f>
        <v>0</v>
      </c>
      <c r="C65" s="633">
        <f>Lehrpersonen!C65</f>
        <v>0</v>
      </c>
      <c r="D65" s="634">
        <f>Lehrpersonen!D65</f>
        <v>0</v>
      </c>
      <c r="E65" s="635"/>
      <c r="F65" s="636">
        <f>Lehrpersonen!Q65</f>
        <v>0</v>
      </c>
      <c r="G65" s="637"/>
      <c r="H65" s="638">
        <f>Lehrpersonen!H65</f>
        <v>0</v>
      </c>
      <c r="I65" s="638">
        <f>Lehrpersonen!J65</f>
        <v>0</v>
      </c>
      <c r="J65" s="638">
        <f>Lehrpersonen!K65</f>
        <v>0</v>
      </c>
      <c r="K65" s="639">
        <f>Lehrpersonen!L65</f>
        <v>0</v>
      </c>
      <c r="L65" s="638">
        <f>Lehrpersonen!M65</f>
        <v>0</v>
      </c>
      <c r="M65" s="638">
        <f>Lehrpersonen!O65</f>
        <v>0</v>
      </c>
      <c r="N65" s="638">
        <f>Lehrpersonen!I65</f>
        <v>0</v>
      </c>
      <c r="O65" s="640">
        <f>Lehrpersonen!G65</f>
        <v>0</v>
      </c>
      <c r="Q65" s="587"/>
    </row>
    <row r="66" spans="1:17" ht="23.25" customHeight="1" x14ac:dyDescent="0.25">
      <c r="A66" s="631">
        <f>Lehrpersonen!A66</f>
        <v>0</v>
      </c>
      <c r="B66" s="632">
        <f>Lehrpersonen!B66</f>
        <v>0</v>
      </c>
      <c r="C66" s="633">
        <f>Lehrpersonen!C66</f>
        <v>0</v>
      </c>
      <c r="D66" s="634">
        <f>Lehrpersonen!D66</f>
        <v>0</v>
      </c>
      <c r="E66" s="635"/>
      <c r="F66" s="636">
        <f>Lehrpersonen!Q66</f>
        <v>0</v>
      </c>
      <c r="G66" s="637"/>
      <c r="H66" s="638">
        <f>Lehrpersonen!H66</f>
        <v>0</v>
      </c>
      <c r="I66" s="638">
        <f>Lehrpersonen!J66</f>
        <v>0</v>
      </c>
      <c r="J66" s="638">
        <f>Lehrpersonen!K66</f>
        <v>0</v>
      </c>
      <c r="K66" s="639">
        <f>Lehrpersonen!L66</f>
        <v>0</v>
      </c>
      <c r="L66" s="638">
        <f>Lehrpersonen!M66</f>
        <v>0</v>
      </c>
      <c r="M66" s="638">
        <f>Lehrpersonen!O66</f>
        <v>0</v>
      </c>
      <c r="N66" s="638">
        <f>Lehrpersonen!I66</f>
        <v>0</v>
      </c>
      <c r="O66" s="640">
        <f>Lehrpersonen!G66</f>
        <v>0</v>
      </c>
      <c r="Q66" s="587"/>
    </row>
    <row r="67" spans="1:17" ht="23.25" customHeight="1" x14ac:dyDescent="0.25">
      <c r="A67" s="631">
        <f>Lehrpersonen!A67</f>
        <v>0</v>
      </c>
      <c r="B67" s="632">
        <f>Lehrpersonen!B67</f>
        <v>0</v>
      </c>
      <c r="C67" s="633">
        <f>Lehrpersonen!C67</f>
        <v>0</v>
      </c>
      <c r="D67" s="634">
        <f>Lehrpersonen!D67</f>
        <v>0</v>
      </c>
      <c r="E67" s="635"/>
      <c r="F67" s="636">
        <f>Lehrpersonen!Q67</f>
        <v>0</v>
      </c>
      <c r="G67" s="637"/>
      <c r="H67" s="638">
        <f>Lehrpersonen!H67</f>
        <v>0</v>
      </c>
      <c r="I67" s="638">
        <f>Lehrpersonen!J67</f>
        <v>0</v>
      </c>
      <c r="J67" s="638">
        <f>Lehrpersonen!K67</f>
        <v>0</v>
      </c>
      <c r="K67" s="639">
        <f>Lehrpersonen!L67</f>
        <v>0</v>
      </c>
      <c r="L67" s="638">
        <f>Lehrpersonen!M67</f>
        <v>0</v>
      </c>
      <c r="M67" s="638">
        <f>Lehrpersonen!O67</f>
        <v>0</v>
      </c>
      <c r="N67" s="638">
        <f>Lehrpersonen!I67</f>
        <v>0</v>
      </c>
      <c r="O67" s="640">
        <f>Lehrpersonen!G67</f>
        <v>0</v>
      </c>
      <c r="Q67" s="587"/>
    </row>
    <row r="68" spans="1:17" ht="23.25" customHeight="1" x14ac:dyDescent="0.25">
      <c r="A68" s="631">
        <f>Lehrpersonen!A68</f>
        <v>0</v>
      </c>
      <c r="B68" s="632">
        <f>Lehrpersonen!B68</f>
        <v>0</v>
      </c>
      <c r="C68" s="633">
        <f>Lehrpersonen!C68</f>
        <v>0</v>
      </c>
      <c r="D68" s="634">
        <f>Lehrpersonen!D68</f>
        <v>0</v>
      </c>
      <c r="E68" s="635"/>
      <c r="F68" s="636">
        <f>Lehrpersonen!Q68</f>
        <v>0</v>
      </c>
      <c r="G68" s="637"/>
      <c r="H68" s="638">
        <f>Lehrpersonen!H68</f>
        <v>0</v>
      </c>
      <c r="I68" s="638">
        <f>Lehrpersonen!J68</f>
        <v>0</v>
      </c>
      <c r="J68" s="638">
        <f>Lehrpersonen!K68</f>
        <v>0</v>
      </c>
      <c r="K68" s="639">
        <f>Lehrpersonen!L68</f>
        <v>0</v>
      </c>
      <c r="L68" s="638">
        <f>Lehrpersonen!M68</f>
        <v>0</v>
      </c>
      <c r="M68" s="638">
        <f>Lehrpersonen!O68</f>
        <v>0</v>
      </c>
      <c r="N68" s="638">
        <f>Lehrpersonen!I68</f>
        <v>0</v>
      </c>
      <c r="O68" s="640">
        <f>Lehrpersonen!G68</f>
        <v>0</v>
      </c>
      <c r="Q68" s="587"/>
    </row>
    <row r="69" spans="1:17" ht="23.25" customHeight="1" x14ac:dyDescent="0.25">
      <c r="A69" s="631">
        <f>Lehrpersonen!A69</f>
        <v>0</v>
      </c>
      <c r="B69" s="632">
        <f>Lehrpersonen!B69</f>
        <v>0</v>
      </c>
      <c r="C69" s="633">
        <f>Lehrpersonen!C69</f>
        <v>0</v>
      </c>
      <c r="D69" s="634">
        <f>Lehrpersonen!D69</f>
        <v>0</v>
      </c>
      <c r="E69" s="635"/>
      <c r="F69" s="636">
        <f>Lehrpersonen!Q69</f>
        <v>0</v>
      </c>
      <c r="G69" s="637"/>
      <c r="H69" s="638">
        <f>Lehrpersonen!H69</f>
        <v>0</v>
      </c>
      <c r="I69" s="638">
        <f>Lehrpersonen!J69</f>
        <v>0</v>
      </c>
      <c r="J69" s="638">
        <f>Lehrpersonen!K69</f>
        <v>0</v>
      </c>
      <c r="K69" s="639">
        <f>Lehrpersonen!L69</f>
        <v>0</v>
      </c>
      <c r="L69" s="638">
        <f>Lehrpersonen!M69</f>
        <v>0</v>
      </c>
      <c r="M69" s="638">
        <f>Lehrpersonen!O69</f>
        <v>0</v>
      </c>
      <c r="N69" s="638">
        <f>Lehrpersonen!I69</f>
        <v>0</v>
      </c>
      <c r="O69" s="640">
        <f>Lehrpersonen!G69</f>
        <v>0</v>
      </c>
      <c r="Q69" s="587"/>
    </row>
    <row r="70" spans="1:17" ht="23.25" customHeight="1" x14ac:dyDescent="0.25">
      <c r="A70" s="631">
        <f>Lehrpersonen!A70</f>
        <v>0</v>
      </c>
      <c r="B70" s="632">
        <f>Lehrpersonen!B70</f>
        <v>0</v>
      </c>
      <c r="C70" s="633">
        <f>Lehrpersonen!C70</f>
        <v>0</v>
      </c>
      <c r="D70" s="634">
        <f>Lehrpersonen!D70</f>
        <v>0</v>
      </c>
      <c r="E70" s="635"/>
      <c r="F70" s="636">
        <f>Lehrpersonen!Q70</f>
        <v>0</v>
      </c>
      <c r="G70" s="637"/>
      <c r="H70" s="638">
        <f>Lehrpersonen!H70</f>
        <v>0</v>
      </c>
      <c r="I70" s="638">
        <f>Lehrpersonen!J70</f>
        <v>0</v>
      </c>
      <c r="J70" s="638">
        <f>Lehrpersonen!K70</f>
        <v>0</v>
      </c>
      <c r="K70" s="639">
        <f>Lehrpersonen!L70</f>
        <v>0</v>
      </c>
      <c r="L70" s="638">
        <f>Lehrpersonen!M70</f>
        <v>0</v>
      </c>
      <c r="M70" s="638">
        <f>Lehrpersonen!O70</f>
        <v>0</v>
      </c>
      <c r="N70" s="638">
        <f>Lehrpersonen!I70</f>
        <v>0</v>
      </c>
      <c r="O70" s="640">
        <f>Lehrpersonen!G70</f>
        <v>0</v>
      </c>
      <c r="Q70" s="587"/>
    </row>
    <row r="71" spans="1:17" ht="23.25" customHeight="1" x14ac:dyDescent="0.25">
      <c r="A71" s="631">
        <f>Lehrpersonen!A71</f>
        <v>0</v>
      </c>
      <c r="B71" s="632">
        <f>Lehrpersonen!B71</f>
        <v>0</v>
      </c>
      <c r="C71" s="633">
        <f>Lehrpersonen!C71</f>
        <v>0</v>
      </c>
      <c r="D71" s="634">
        <f>Lehrpersonen!D71</f>
        <v>0</v>
      </c>
      <c r="E71" s="635"/>
      <c r="F71" s="636">
        <f>Lehrpersonen!Q71</f>
        <v>0</v>
      </c>
      <c r="G71" s="637"/>
      <c r="H71" s="638">
        <f>Lehrpersonen!H71</f>
        <v>0</v>
      </c>
      <c r="I71" s="638">
        <f>Lehrpersonen!J71</f>
        <v>0</v>
      </c>
      <c r="J71" s="638">
        <f>Lehrpersonen!K71</f>
        <v>0</v>
      </c>
      <c r="K71" s="639">
        <f>Lehrpersonen!L71</f>
        <v>0</v>
      </c>
      <c r="L71" s="638">
        <f>Lehrpersonen!M71</f>
        <v>0</v>
      </c>
      <c r="M71" s="638">
        <f>Lehrpersonen!O71</f>
        <v>0</v>
      </c>
      <c r="N71" s="638">
        <f>Lehrpersonen!I71</f>
        <v>0</v>
      </c>
      <c r="O71" s="640">
        <f>Lehrpersonen!G71</f>
        <v>0</v>
      </c>
      <c r="Q71" s="587"/>
    </row>
    <row r="72" spans="1:17" ht="23.25" customHeight="1" x14ac:dyDescent="0.25">
      <c r="A72" s="631">
        <f>Lehrpersonen!A72</f>
        <v>0</v>
      </c>
      <c r="B72" s="632">
        <f>Lehrpersonen!B72</f>
        <v>0</v>
      </c>
      <c r="C72" s="633">
        <f>Lehrpersonen!C72</f>
        <v>0</v>
      </c>
      <c r="D72" s="634">
        <f>Lehrpersonen!D72</f>
        <v>0</v>
      </c>
      <c r="E72" s="635"/>
      <c r="F72" s="636">
        <f>Lehrpersonen!Q72</f>
        <v>0</v>
      </c>
      <c r="G72" s="637"/>
      <c r="H72" s="638">
        <f>Lehrpersonen!H72</f>
        <v>0</v>
      </c>
      <c r="I72" s="638">
        <f>Lehrpersonen!J72</f>
        <v>0</v>
      </c>
      <c r="J72" s="638">
        <f>Lehrpersonen!K72</f>
        <v>0</v>
      </c>
      <c r="K72" s="639">
        <f>Lehrpersonen!L72</f>
        <v>0</v>
      </c>
      <c r="L72" s="638">
        <f>Lehrpersonen!M72</f>
        <v>0</v>
      </c>
      <c r="M72" s="638">
        <f>Lehrpersonen!O72</f>
        <v>0</v>
      </c>
      <c r="N72" s="638">
        <f>Lehrpersonen!I72</f>
        <v>0</v>
      </c>
      <c r="O72" s="640">
        <f>Lehrpersonen!G72</f>
        <v>0</v>
      </c>
      <c r="Q72" s="587"/>
    </row>
    <row r="73" spans="1:17" ht="23.25" customHeight="1" x14ac:dyDescent="0.25">
      <c r="A73" s="631">
        <f>Lehrpersonen!A73</f>
        <v>0</v>
      </c>
      <c r="B73" s="632">
        <f>Lehrpersonen!B73</f>
        <v>0</v>
      </c>
      <c r="C73" s="633">
        <f>Lehrpersonen!C73</f>
        <v>0</v>
      </c>
      <c r="D73" s="634">
        <f>Lehrpersonen!D73</f>
        <v>0</v>
      </c>
      <c r="E73" s="635"/>
      <c r="F73" s="636">
        <f>Lehrpersonen!Q73</f>
        <v>0</v>
      </c>
      <c r="G73" s="637"/>
      <c r="H73" s="638">
        <f>Lehrpersonen!H73</f>
        <v>0</v>
      </c>
      <c r="I73" s="638">
        <f>Lehrpersonen!J73</f>
        <v>0</v>
      </c>
      <c r="J73" s="638">
        <f>Lehrpersonen!K73</f>
        <v>0</v>
      </c>
      <c r="K73" s="639">
        <f>Lehrpersonen!L73</f>
        <v>0</v>
      </c>
      <c r="L73" s="638">
        <f>Lehrpersonen!M73</f>
        <v>0</v>
      </c>
      <c r="M73" s="638">
        <f>Lehrpersonen!O73</f>
        <v>0</v>
      </c>
      <c r="N73" s="638">
        <f>Lehrpersonen!I73</f>
        <v>0</v>
      </c>
      <c r="O73" s="640">
        <f>Lehrpersonen!G73</f>
        <v>0</v>
      </c>
      <c r="Q73" s="587"/>
    </row>
    <row r="74" spans="1:17" ht="23.25" customHeight="1" x14ac:dyDescent="0.25">
      <c r="A74" s="631">
        <f>Lehrpersonen!A74</f>
        <v>0</v>
      </c>
      <c r="B74" s="632">
        <f>Lehrpersonen!B74</f>
        <v>0</v>
      </c>
      <c r="C74" s="633">
        <f>Lehrpersonen!C74</f>
        <v>0</v>
      </c>
      <c r="D74" s="634">
        <f>Lehrpersonen!D74</f>
        <v>0</v>
      </c>
      <c r="E74" s="635"/>
      <c r="F74" s="636">
        <f>Lehrpersonen!Q74</f>
        <v>0</v>
      </c>
      <c r="G74" s="637"/>
      <c r="H74" s="638">
        <f>Lehrpersonen!H74</f>
        <v>0</v>
      </c>
      <c r="I74" s="638">
        <f>Lehrpersonen!J74</f>
        <v>0</v>
      </c>
      <c r="J74" s="638">
        <f>Lehrpersonen!K74</f>
        <v>0</v>
      </c>
      <c r="K74" s="639">
        <f>Lehrpersonen!L74</f>
        <v>0</v>
      </c>
      <c r="L74" s="638">
        <f>Lehrpersonen!M74</f>
        <v>0</v>
      </c>
      <c r="M74" s="638">
        <f>Lehrpersonen!O74</f>
        <v>0</v>
      </c>
      <c r="N74" s="638">
        <f>Lehrpersonen!I74</f>
        <v>0</v>
      </c>
      <c r="O74" s="640">
        <f>Lehrpersonen!G74</f>
        <v>0</v>
      </c>
      <c r="Q74" s="587"/>
    </row>
    <row r="75" spans="1:17" ht="23.25" customHeight="1" x14ac:dyDescent="0.25">
      <c r="A75" s="631">
        <f>Lehrpersonen!A75</f>
        <v>0</v>
      </c>
      <c r="B75" s="632">
        <f>Lehrpersonen!B75</f>
        <v>0</v>
      </c>
      <c r="C75" s="633">
        <f>Lehrpersonen!C75</f>
        <v>0</v>
      </c>
      <c r="D75" s="634">
        <f>Lehrpersonen!D75</f>
        <v>0</v>
      </c>
      <c r="E75" s="635"/>
      <c r="F75" s="636">
        <f>Lehrpersonen!Q75</f>
        <v>0</v>
      </c>
      <c r="G75" s="637"/>
      <c r="H75" s="638">
        <f>Lehrpersonen!H75</f>
        <v>0</v>
      </c>
      <c r="I75" s="638">
        <f>Lehrpersonen!J75</f>
        <v>0</v>
      </c>
      <c r="J75" s="638">
        <f>Lehrpersonen!K75</f>
        <v>0</v>
      </c>
      <c r="K75" s="639">
        <f>Lehrpersonen!L75</f>
        <v>0</v>
      </c>
      <c r="L75" s="638">
        <f>Lehrpersonen!M75</f>
        <v>0</v>
      </c>
      <c r="M75" s="638">
        <f>Lehrpersonen!O75</f>
        <v>0</v>
      </c>
      <c r="N75" s="638">
        <f>Lehrpersonen!I75</f>
        <v>0</v>
      </c>
      <c r="O75" s="640">
        <f>Lehrpersonen!G75</f>
        <v>0</v>
      </c>
      <c r="Q75" s="587"/>
    </row>
    <row r="76" spans="1:17" ht="23.25" customHeight="1" x14ac:dyDescent="0.25">
      <c r="A76" s="631">
        <f>Lehrpersonen!A76</f>
        <v>0</v>
      </c>
      <c r="B76" s="632">
        <f>Lehrpersonen!B76</f>
        <v>0</v>
      </c>
      <c r="C76" s="633">
        <f>Lehrpersonen!C76</f>
        <v>0</v>
      </c>
      <c r="D76" s="634">
        <f>Lehrpersonen!D76</f>
        <v>0</v>
      </c>
      <c r="E76" s="635"/>
      <c r="F76" s="636">
        <f>Lehrpersonen!Q76</f>
        <v>0</v>
      </c>
      <c r="G76" s="637"/>
      <c r="H76" s="638">
        <f>Lehrpersonen!H76</f>
        <v>0</v>
      </c>
      <c r="I76" s="638">
        <f>Lehrpersonen!J76</f>
        <v>0</v>
      </c>
      <c r="J76" s="638">
        <f>Lehrpersonen!K76</f>
        <v>0</v>
      </c>
      <c r="K76" s="639">
        <f>Lehrpersonen!L76</f>
        <v>0</v>
      </c>
      <c r="L76" s="638">
        <f>Lehrpersonen!M76</f>
        <v>0</v>
      </c>
      <c r="M76" s="638">
        <f>Lehrpersonen!O76</f>
        <v>0</v>
      </c>
      <c r="N76" s="638">
        <f>Lehrpersonen!I76</f>
        <v>0</v>
      </c>
      <c r="O76" s="640">
        <f>Lehrpersonen!G76</f>
        <v>0</v>
      </c>
      <c r="Q76" s="587"/>
    </row>
    <row r="77" spans="1:17" ht="23.25" customHeight="1" x14ac:dyDescent="0.25">
      <c r="A77" s="631">
        <f>Lehrpersonen!A77</f>
        <v>0</v>
      </c>
      <c r="B77" s="632">
        <f>Lehrpersonen!B77</f>
        <v>0</v>
      </c>
      <c r="C77" s="633">
        <f>Lehrpersonen!C77</f>
        <v>0</v>
      </c>
      <c r="D77" s="634">
        <f>Lehrpersonen!D77</f>
        <v>0</v>
      </c>
      <c r="E77" s="635"/>
      <c r="F77" s="636">
        <f>Lehrpersonen!Q77</f>
        <v>0</v>
      </c>
      <c r="G77" s="637"/>
      <c r="H77" s="638">
        <f>Lehrpersonen!H77</f>
        <v>0</v>
      </c>
      <c r="I77" s="638">
        <f>Lehrpersonen!J77</f>
        <v>0</v>
      </c>
      <c r="J77" s="638">
        <f>Lehrpersonen!K77</f>
        <v>0</v>
      </c>
      <c r="K77" s="639">
        <f>Lehrpersonen!L77</f>
        <v>0</v>
      </c>
      <c r="L77" s="638">
        <f>Lehrpersonen!M77</f>
        <v>0</v>
      </c>
      <c r="M77" s="638">
        <f>Lehrpersonen!O77</f>
        <v>0</v>
      </c>
      <c r="N77" s="638">
        <f>Lehrpersonen!I77</f>
        <v>0</v>
      </c>
      <c r="O77" s="640">
        <f>Lehrpersonen!G77</f>
        <v>0</v>
      </c>
      <c r="Q77" s="587"/>
    </row>
    <row r="78" spans="1:17" ht="23.25" customHeight="1" x14ac:dyDescent="0.25">
      <c r="A78" s="631">
        <f>Lehrpersonen!A78</f>
        <v>0</v>
      </c>
      <c r="B78" s="632">
        <f>Lehrpersonen!B78</f>
        <v>0</v>
      </c>
      <c r="C78" s="633">
        <f>Lehrpersonen!C78</f>
        <v>0</v>
      </c>
      <c r="D78" s="634">
        <f>Lehrpersonen!D78</f>
        <v>0</v>
      </c>
      <c r="E78" s="635"/>
      <c r="F78" s="636">
        <f>Lehrpersonen!Q78</f>
        <v>0</v>
      </c>
      <c r="G78" s="637"/>
      <c r="H78" s="638">
        <f>Lehrpersonen!H78</f>
        <v>0</v>
      </c>
      <c r="I78" s="638">
        <f>Lehrpersonen!J78</f>
        <v>0</v>
      </c>
      <c r="J78" s="638">
        <f>Lehrpersonen!K78</f>
        <v>0</v>
      </c>
      <c r="K78" s="639">
        <f>Lehrpersonen!L78</f>
        <v>0</v>
      </c>
      <c r="L78" s="638">
        <f>Lehrpersonen!M78</f>
        <v>0</v>
      </c>
      <c r="M78" s="638">
        <f>Lehrpersonen!O78</f>
        <v>0</v>
      </c>
      <c r="N78" s="638">
        <f>Lehrpersonen!I78</f>
        <v>0</v>
      </c>
      <c r="O78" s="640">
        <f>Lehrpersonen!G78</f>
        <v>0</v>
      </c>
      <c r="Q78" s="587"/>
    </row>
    <row r="79" spans="1:17" ht="23.25" customHeight="1" x14ac:dyDescent="0.25">
      <c r="A79" s="631">
        <f>Lehrpersonen!A79</f>
        <v>0</v>
      </c>
      <c r="B79" s="632">
        <f>Lehrpersonen!B79</f>
        <v>0</v>
      </c>
      <c r="C79" s="633">
        <f>Lehrpersonen!C79</f>
        <v>0</v>
      </c>
      <c r="D79" s="634">
        <f>Lehrpersonen!D79</f>
        <v>0</v>
      </c>
      <c r="E79" s="635"/>
      <c r="F79" s="636">
        <f>Lehrpersonen!Q79</f>
        <v>0</v>
      </c>
      <c r="G79" s="637"/>
      <c r="H79" s="638">
        <f>Lehrpersonen!H79</f>
        <v>0</v>
      </c>
      <c r="I79" s="638">
        <f>Lehrpersonen!J79</f>
        <v>0</v>
      </c>
      <c r="J79" s="638">
        <f>Lehrpersonen!K79</f>
        <v>0</v>
      </c>
      <c r="K79" s="639">
        <f>Lehrpersonen!L79</f>
        <v>0</v>
      </c>
      <c r="L79" s="638">
        <f>Lehrpersonen!M79</f>
        <v>0</v>
      </c>
      <c r="M79" s="638">
        <f>Lehrpersonen!O79</f>
        <v>0</v>
      </c>
      <c r="N79" s="638">
        <f>Lehrpersonen!I79</f>
        <v>0</v>
      </c>
      <c r="O79" s="640">
        <f>Lehrpersonen!G79</f>
        <v>0</v>
      </c>
      <c r="Q79" s="587"/>
    </row>
    <row r="80" spans="1:17" ht="23.25" customHeight="1" x14ac:dyDescent="0.25">
      <c r="A80" s="631">
        <f>Lehrpersonen!A80</f>
        <v>0</v>
      </c>
      <c r="B80" s="632">
        <f>Lehrpersonen!B80</f>
        <v>0</v>
      </c>
      <c r="C80" s="633">
        <f>Lehrpersonen!C80</f>
        <v>0</v>
      </c>
      <c r="D80" s="634">
        <f>Lehrpersonen!D80</f>
        <v>0</v>
      </c>
      <c r="E80" s="635"/>
      <c r="F80" s="636">
        <f>Lehrpersonen!Q80</f>
        <v>0</v>
      </c>
      <c r="G80" s="637"/>
      <c r="H80" s="638">
        <f>Lehrpersonen!H80</f>
        <v>0</v>
      </c>
      <c r="I80" s="638">
        <f>Lehrpersonen!J80</f>
        <v>0</v>
      </c>
      <c r="J80" s="638">
        <f>Lehrpersonen!K80</f>
        <v>0</v>
      </c>
      <c r="K80" s="639">
        <f>Lehrpersonen!L80</f>
        <v>0</v>
      </c>
      <c r="L80" s="638">
        <f>Lehrpersonen!M80</f>
        <v>0</v>
      </c>
      <c r="M80" s="638">
        <f>Lehrpersonen!O80</f>
        <v>0</v>
      </c>
      <c r="N80" s="638">
        <f>Lehrpersonen!I80</f>
        <v>0</v>
      </c>
      <c r="O80" s="640">
        <f>Lehrpersonen!G80</f>
        <v>0</v>
      </c>
      <c r="Q80" s="587"/>
    </row>
    <row r="81" spans="1:21" ht="23.25" customHeight="1" x14ac:dyDescent="0.25">
      <c r="A81" s="631">
        <f>Lehrpersonen!A81</f>
        <v>0</v>
      </c>
      <c r="B81" s="632">
        <f>Lehrpersonen!B81</f>
        <v>0</v>
      </c>
      <c r="C81" s="633">
        <f>Lehrpersonen!C81</f>
        <v>0</v>
      </c>
      <c r="D81" s="634">
        <f>Lehrpersonen!D81</f>
        <v>0</v>
      </c>
      <c r="E81" s="635"/>
      <c r="F81" s="636">
        <f>Lehrpersonen!Q81</f>
        <v>0</v>
      </c>
      <c r="G81" s="637"/>
      <c r="H81" s="638">
        <f>Lehrpersonen!H81</f>
        <v>0</v>
      </c>
      <c r="I81" s="638">
        <f>Lehrpersonen!J81</f>
        <v>0</v>
      </c>
      <c r="J81" s="638">
        <f>Lehrpersonen!K81</f>
        <v>0</v>
      </c>
      <c r="K81" s="639">
        <f>Lehrpersonen!L81</f>
        <v>0</v>
      </c>
      <c r="L81" s="638">
        <f>Lehrpersonen!M81</f>
        <v>0</v>
      </c>
      <c r="M81" s="638">
        <f>Lehrpersonen!O81</f>
        <v>0</v>
      </c>
      <c r="N81" s="638">
        <f>Lehrpersonen!I81</f>
        <v>0</v>
      </c>
      <c r="O81" s="640">
        <f>Lehrpersonen!G81</f>
        <v>0</v>
      </c>
      <c r="Q81" s="587"/>
    </row>
    <row r="82" spans="1:21" ht="23.25" customHeight="1" x14ac:dyDescent="0.25">
      <c r="A82" s="631">
        <f>Lehrpersonen!A82</f>
        <v>0</v>
      </c>
      <c r="B82" s="632">
        <f>Lehrpersonen!B82</f>
        <v>0</v>
      </c>
      <c r="C82" s="633">
        <f>Lehrpersonen!C82</f>
        <v>0</v>
      </c>
      <c r="D82" s="634">
        <f>Lehrpersonen!D82</f>
        <v>0</v>
      </c>
      <c r="E82" s="635"/>
      <c r="F82" s="636">
        <f>Lehrpersonen!Q82</f>
        <v>0</v>
      </c>
      <c r="G82" s="637"/>
      <c r="H82" s="638">
        <f>Lehrpersonen!H82</f>
        <v>0</v>
      </c>
      <c r="I82" s="638">
        <f>Lehrpersonen!J82</f>
        <v>0</v>
      </c>
      <c r="J82" s="638">
        <f>Lehrpersonen!K82</f>
        <v>0</v>
      </c>
      <c r="K82" s="639">
        <f>Lehrpersonen!L82</f>
        <v>0</v>
      </c>
      <c r="L82" s="638">
        <f>Lehrpersonen!M82</f>
        <v>0</v>
      </c>
      <c r="M82" s="638">
        <f>Lehrpersonen!O82</f>
        <v>0</v>
      </c>
      <c r="N82" s="638">
        <f>Lehrpersonen!I82</f>
        <v>0</v>
      </c>
      <c r="O82" s="640">
        <f>Lehrpersonen!G82</f>
        <v>0</v>
      </c>
      <c r="Q82" s="587"/>
    </row>
    <row r="83" spans="1:21" ht="23.25" customHeight="1" x14ac:dyDescent="0.25">
      <c r="A83" s="631">
        <f>Lehrpersonen!A83</f>
        <v>0</v>
      </c>
      <c r="B83" s="632">
        <f>Lehrpersonen!B83</f>
        <v>0</v>
      </c>
      <c r="C83" s="633">
        <f>Lehrpersonen!C83</f>
        <v>0</v>
      </c>
      <c r="D83" s="634">
        <f>Lehrpersonen!D83</f>
        <v>0</v>
      </c>
      <c r="E83" s="635"/>
      <c r="F83" s="636">
        <f>Lehrpersonen!Q83</f>
        <v>0</v>
      </c>
      <c r="G83" s="637"/>
      <c r="H83" s="638">
        <f>Lehrpersonen!H83</f>
        <v>0</v>
      </c>
      <c r="I83" s="638">
        <f>Lehrpersonen!J83</f>
        <v>0</v>
      </c>
      <c r="J83" s="638">
        <f>Lehrpersonen!K83</f>
        <v>0</v>
      </c>
      <c r="K83" s="639">
        <f>Lehrpersonen!L83</f>
        <v>0</v>
      </c>
      <c r="L83" s="638">
        <f>Lehrpersonen!M83</f>
        <v>0</v>
      </c>
      <c r="M83" s="638">
        <f>Lehrpersonen!O83</f>
        <v>0</v>
      </c>
      <c r="N83" s="638">
        <f>Lehrpersonen!I83</f>
        <v>0</v>
      </c>
      <c r="O83" s="640">
        <f>Lehrpersonen!G83</f>
        <v>0</v>
      </c>
      <c r="Q83" s="587"/>
    </row>
    <row r="84" spans="1:21" ht="23.25" customHeight="1" thickBot="1" x14ac:dyDescent="0.3">
      <c r="A84" s="641">
        <f>Lehrpersonen!A84</f>
        <v>0</v>
      </c>
      <c r="B84" s="642">
        <f>Lehrpersonen!B84</f>
        <v>0</v>
      </c>
      <c r="C84" s="643">
        <f>Lehrpersonen!C84</f>
        <v>0</v>
      </c>
      <c r="D84" s="644">
        <f>Lehrpersonen!D84</f>
        <v>0</v>
      </c>
      <c r="E84" s="635"/>
      <c r="F84" s="645">
        <f>Lehrpersonen!Q84</f>
        <v>0</v>
      </c>
      <c r="G84" s="646"/>
      <c r="H84" s="647">
        <f>Lehrpersonen!H84</f>
        <v>0</v>
      </c>
      <c r="I84" s="647">
        <f>Lehrpersonen!J84</f>
        <v>0</v>
      </c>
      <c r="J84" s="647">
        <f>Lehrpersonen!K84</f>
        <v>0</v>
      </c>
      <c r="K84" s="648">
        <f>Lehrpersonen!L84</f>
        <v>0</v>
      </c>
      <c r="L84" s="647">
        <f>Lehrpersonen!M84</f>
        <v>0</v>
      </c>
      <c r="M84" s="647">
        <f>Lehrpersonen!O84</f>
        <v>0</v>
      </c>
      <c r="N84" s="647">
        <f>Lehrpersonen!I84</f>
        <v>0</v>
      </c>
      <c r="O84" s="649">
        <f>Lehrpersonen!G84</f>
        <v>0</v>
      </c>
      <c r="Q84" s="587"/>
    </row>
    <row r="85" spans="1:21" s="574" customFormat="1" ht="16.5" thickTop="1" thickBot="1" x14ac:dyDescent="0.3">
      <c r="A85" s="768" t="s">
        <v>384</v>
      </c>
      <c r="B85" s="769" t="s">
        <v>384</v>
      </c>
      <c r="C85" s="770"/>
      <c r="D85" s="771" t="s">
        <v>352</v>
      </c>
      <c r="E85" s="578"/>
      <c r="F85" s="650">
        <f>Lehrpersonen!Q85</f>
        <v>0</v>
      </c>
      <c r="G85" s="651"/>
      <c r="H85" s="652">
        <f>Lehrpersonen!H85</f>
        <v>0</v>
      </c>
      <c r="I85" s="653">
        <f>Lehrpersonen!K85</f>
        <v>0</v>
      </c>
      <c r="J85" s="652">
        <f>Lehrpersonen!J85</f>
        <v>0</v>
      </c>
      <c r="K85" s="654">
        <f>Lehrpersonen!L85</f>
        <v>0</v>
      </c>
      <c r="L85" s="652">
        <f>Lehrpersonen!M85</f>
        <v>0</v>
      </c>
      <c r="M85" s="652">
        <f>Lehrpersonen!O85</f>
        <v>0</v>
      </c>
      <c r="N85" s="652">
        <f>Lehrpersonen!I85</f>
        <v>0</v>
      </c>
      <c r="O85" s="655">
        <f>Lehrpersonen!G85</f>
        <v>0</v>
      </c>
    </row>
    <row r="86" spans="1:21" ht="3.75" customHeight="1" thickTop="1" x14ac:dyDescent="0.25">
      <c r="D86" s="587"/>
      <c r="E86" s="595"/>
      <c r="F86" s="588"/>
      <c r="G86" s="587"/>
      <c r="K86" s="587"/>
      <c r="M86" s="516"/>
      <c r="O86" s="516"/>
      <c r="P86" s="516"/>
      <c r="Q86" s="587"/>
      <c r="U86" s="587"/>
    </row>
    <row r="87" spans="1:21" ht="15" x14ac:dyDescent="0.25">
      <c r="B87" s="575"/>
      <c r="C87" s="589"/>
      <c r="D87" s="575" t="s">
        <v>353</v>
      </c>
      <c r="E87" s="587"/>
      <c r="F87" s="588"/>
      <c r="H87" s="656">
        <f>Lehrpersonen!H87</f>
        <v>0</v>
      </c>
      <c r="I87" s="589"/>
      <c r="J87" s="589"/>
      <c r="K87" s="657">
        <f>Lehrpersonen!L87</f>
        <v>0</v>
      </c>
      <c r="L87" s="658">
        <f>Konti_PTS!L53</f>
        <v>0</v>
      </c>
      <c r="N87" s="595"/>
      <c r="O87" s="659">
        <f>Lehrpersonen!G87</f>
        <v>0</v>
      </c>
      <c r="P87" s="518"/>
      <c r="Q87" s="587"/>
      <c r="S87" s="518"/>
      <c r="U87" s="587"/>
    </row>
    <row r="88" spans="1:21" ht="3.75" customHeight="1" x14ac:dyDescent="0.25">
      <c r="D88" s="587"/>
      <c r="E88" s="587"/>
      <c r="F88" s="588"/>
      <c r="P88" s="516"/>
      <c r="Q88" s="587"/>
      <c r="S88" s="516"/>
      <c r="U88" s="587"/>
    </row>
    <row r="89" spans="1:21" ht="15" x14ac:dyDescent="0.25">
      <c r="B89" s="575"/>
      <c r="C89" s="589"/>
      <c r="D89" s="575" t="s">
        <v>354</v>
      </c>
      <c r="E89" s="587"/>
      <c r="F89" s="588"/>
      <c r="H89" s="656">
        <f>Lehrpersonen!H89</f>
        <v>0</v>
      </c>
      <c r="I89" s="589"/>
      <c r="J89" s="589"/>
      <c r="K89" s="657">
        <f>Lehrpersonen!L89</f>
        <v>0</v>
      </c>
      <c r="L89" s="658">
        <f>Lehrpersonen!M89</f>
        <v>0</v>
      </c>
      <c r="N89" s="595"/>
      <c r="O89" s="659">
        <f>Lehrpersonen!G89</f>
        <v>0</v>
      </c>
      <c r="P89" s="518"/>
      <c r="Q89" s="587"/>
      <c r="S89" s="518"/>
      <c r="U89" s="587"/>
    </row>
    <row r="90" spans="1:21" ht="15" x14ac:dyDescent="0.25">
      <c r="M90" s="596"/>
      <c r="Q90" s="587"/>
    </row>
    <row r="91" spans="1:21" ht="3.75" customHeight="1" x14ac:dyDescent="0.25">
      <c r="A91" s="775"/>
      <c r="B91" s="775"/>
      <c r="C91" s="776"/>
      <c r="D91" s="775"/>
      <c r="E91" s="775"/>
      <c r="F91" s="777"/>
      <c r="G91" s="776"/>
      <c r="H91" s="775"/>
      <c r="I91" s="775"/>
      <c r="J91" s="775"/>
      <c r="K91" s="778"/>
      <c r="L91" s="778"/>
      <c r="M91" s="779"/>
      <c r="N91" s="775"/>
      <c r="O91" s="775"/>
      <c r="P91" s="516"/>
      <c r="Q91" s="587"/>
      <c r="S91" s="516"/>
      <c r="U91" s="587"/>
    </row>
    <row r="92" spans="1:21" ht="15" x14ac:dyDescent="0.25">
      <c r="B92" s="575" t="str">
        <f>Konti_PTS!C59</f>
        <v>Schulleit. mit Unterr.Verpflichtung</v>
      </c>
      <c r="C92" s="588">
        <f>IF(OR(Konti_PTS!L55="b",Konti_PTS!C59="SchulleiterIn ist freigestellt!"),"",20+Konti_PTS!I58)</f>
        <v>20</v>
      </c>
      <c r="D92" s="780"/>
      <c r="J92" s="781" t="str">
        <f>"Anzahl berechneter Klassen: "&amp;Konti_PTS!C18</f>
        <v>Anzahl berechneter Klassen: 0</v>
      </c>
      <c r="M92" s="596"/>
      <c r="N92" s="575" t="s">
        <v>393</v>
      </c>
      <c r="O92" s="782">
        <f>SUM(Konti_PTS!E33,Konti_PTS!F36,Konti_PTS!E39:E40)</f>
        <v>0</v>
      </c>
      <c r="Q92" s="587"/>
    </row>
    <row r="93" spans="1:21" ht="15" x14ac:dyDescent="0.25">
      <c r="B93" s="781" t="str">
        <f>LOOKUP(Konti_PTS!L55,Konti_PTS!N54:N57,Konti_PTS!M54:M57)</f>
        <v xml:space="preserve"> ist im Altrecht angestellt (meist L2a2)</v>
      </c>
      <c r="D93" s="587"/>
      <c r="J93" s="781" t="str">
        <f>IF(Konti_PTS!D19-Konti_PTS!C18&lt;&gt;0,"Anzahl eingerichteter Klassen: "&amp;Konti_PTS!D19,"")</f>
        <v/>
      </c>
      <c r="M93" s="596"/>
      <c r="N93" s="575" t="s">
        <v>394</v>
      </c>
      <c r="O93" s="782">
        <f>Konti_PTS!B66</f>
        <v>0</v>
      </c>
      <c r="Q93" s="587"/>
    </row>
    <row r="94" spans="1:21" ht="15" x14ac:dyDescent="0.25">
      <c r="C94" s="587"/>
      <c r="D94" s="587"/>
      <c r="J94" s="575" t="str">
        <f>IF(Konti_PTS!D19-Konti_PTS!C18&lt;&gt;0,"Anzahl schulautonomer Klassen: "&amp;Konti_PTS!D19-Konti_PTS!C18,"")</f>
        <v/>
      </c>
      <c r="M94" s="596"/>
      <c r="Q94" s="587"/>
    </row>
    <row r="95" spans="1:21" ht="3.75" customHeight="1" x14ac:dyDescent="0.25">
      <c r="A95" s="783"/>
      <c r="B95" s="783"/>
      <c r="C95" s="784"/>
      <c r="D95" s="783"/>
      <c r="E95" s="783"/>
      <c r="F95" s="785"/>
      <c r="G95" s="784"/>
      <c r="H95" s="783"/>
      <c r="I95" s="783"/>
      <c r="J95" s="783"/>
      <c r="K95" s="786"/>
      <c r="L95" s="786"/>
      <c r="M95" s="787"/>
      <c r="N95" s="783"/>
      <c r="O95" s="783"/>
      <c r="P95" s="516"/>
      <c r="Q95" s="587"/>
      <c r="S95" s="516"/>
      <c r="U95" s="587"/>
    </row>
    <row r="96" spans="1:21" ht="15" x14ac:dyDescent="0.25">
      <c r="M96" s="596"/>
      <c r="Q96" s="587"/>
    </row>
    <row r="97" spans="1:16" s="660" customFormat="1" ht="15" x14ac:dyDescent="0.25">
      <c r="A97" s="587"/>
      <c r="B97" s="587"/>
      <c r="C97" s="595"/>
      <c r="D97" s="595"/>
      <c r="E97" s="588"/>
      <c r="F97" s="587"/>
      <c r="G97" s="595"/>
      <c r="H97" s="587"/>
      <c r="I97" s="587"/>
      <c r="J97" s="587"/>
      <c r="K97" s="516"/>
      <c r="L97" s="516"/>
      <c r="M97" s="596"/>
      <c r="N97" s="587"/>
      <c r="O97" s="587"/>
      <c r="P97" s="587"/>
    </row>
    <row r="98" spans="1:16" s="660" customFormat="1" ht="15" x14ac:dyDescent="0.25">
      <c r="A98" s="587"/>
      <c r="B98" s="587"/>
      <c r="C98" s="595"/>
      <c r="D98" s="595"/>
      <c r="E98" s="588"/>
      <c r="F98" s="587"/>
      <c r="G98" s="595"/>
      <c r="H98" s="587"/>
      <c r="I98" s="587"/>
      <c r="J98" s="587"/>
      <c r="K98" s="516"/>
      <c r="L98" s="516"/>
      <c r="M98" s="596"/>
      <c r="N98" s="587"/>
      <c r="O98" s="587"/>
      <c r="P98" s="587"/>
    </row>
    <row r="99" spans="1:16" s="660" customFormat="1" ht="15" x14ac:dyDescent="0.25">
      <c r="A99" s="587"/>
      <c r="B99" s="587"/>
      <c r="C99" s="595"/>
      <c r="D99" s="595"/>
      <c r="E99" s="588"/>
      <c r="F99" s="587"/>
      <c r="G99" s="595"/>
      <c r="H99" s="587"/>
      <c r="I99" s="587"/>
      <c r="J99" s="587"/>
      <c r="K99" s="516"/>
      <c r="L99" s="516"/>
      <c r="M99" s="596"/>
      <c r="N99" s="587"/>
      <c r="O99" s="587"/>
      <c r="P99" s="587"/>
    </row>
    <row r="100" spans="1:16" s="660" customFormat="1" ht="15" x14ac:dyDescent="0.25">
      <c r="A100" s="587"/>
      <c r="B100" s="587"/>
      <c r="C100" s="595"/>
      <c r="D100" s="595"/>
      <c r="E100" s="588"/>
      <c r="F100" s="587"/>
      <c r="G100" s="595"/>
      <c r="H100" s="587"/>
      <c r="I100" s="587"/>
      <c r="J100" s="587"/>
      <c r="K100" s="516"/>
      <c r="L100" s="516"/>
      <c r="M100" s="596"/>
      <c r="N100" s="587"/>
      <c r="O100" s="587"/>
      <c r="P100" s="587"/>
    </row>
    <row r="101" spans="1:16" s="660" customFormat="1" ht="15" x14ac:dyDescent="0.25">
      <c r="A101" s="587"/>
      <c r="B101" s="587"/>
      <c r="C101" s="595"/>
      <c r="D101" s="595"/>
      <c r="E101" s="588"/>
      <c r="F101" s="587"/>
      <c r="G101" s="595"/>
      <c r="H101" s="587"/>
      <c r="I101" s="587"/>
      <c r="J101" s="587"/>
      <c r="K101" s="516"/>
      <c r="L101" s="516"/>
      <c r="M101" s="596"/>
      <c r="N101" s="587"/>
      <c r="O101" s="587"/>
      <c r="P101" s="587"/>
    </row>
    <row r="102" spans="1:16" s="660" customFormat="1" ht="15" x14ac:dyDescent="0.25">
      <c r="A102" s="587"/>
      <c r="B102" s="587"/>
      <c r="C102" s="595"/>
      <c r="D102" s="595"/>
      <c r="E102" s="588"/>
      <c r="F102" s="587"/>
      <c r="G102" s="595"/>
      <c r="H102" s="587"/>
      <c r="I102" s="587"/>
      <c r="J102" s="587"/>
      <c r="K102" s="516"/>
      <c r="L102" s="516"/>
      <c r="M102" s="596"/>
      <c r="N102" s="587"/>
      <c r="O102" s="587"/>
      <c r="P102" s="587"/>
    </row>
    <row r="103" spans="1:16" s="660" customFormat="1" ht="15" x14ac:dyDescent="0.25">
      <c r="A103" s="587"/>
      <c r="B103" s="587"/>
      <c r="C103" s="595"/>
      <c r="D103" s="595"/>
      <c r="E103" s="588"/>
      <c r="F103" s="587"/>
      <c r="G103" s="595"/>
      <c r="H103" s="587"/>
      <c r="I103" s="587"/>
      <c r="J103" s="587"/>
      <c r="K103" s="516"/>
      <c r="L103" s="516"/>
      <c r="M103" s="596"/>
      <c r="N103" s="587"/>
      <c r="O103" s="587"/>
      <c r="P103" s="587"/>
    </row>
    <row r="104" spans="1:16" s="660" customFormat="1" ht="15" x14ac:dyDescent="0.25">
      <c r="A104" s="587"/>
      <c r="B104" s="587"/>
      <c r="C104" s="595"/>
      <c r="D104" s="595"/>
      <c r="E104" s="588"/>
      <c r="F104" s="587"/>
      <c r="G104" s="595"/>
      <c r="H104" s="587"/>
      <c r="I104" s="587"/>
      <c r="J104" s="587"/>
      <c r="K104" s="516"/>
      <c r="L104" s="516"/>
      <c r="M104" s="596"/>
      <c r="N104" s="587"/>
      <c r="O104" s="587"/>
      <c r="P104" s="587"/>
    </row>
    <row r="105" spans="1:16" s="660" customFormat="1" ht="15" x14ac:dyDescent="0.25">
      <c r="A105" s="587"/>
      <c r="B105" s="587"/>
      <c r="C105" s="595"/>
      <c r="D105" s="595"/>
      <c r="E105" s="588"/>
      <c r="F105" s="587"/>
      <c r="G105" s="595"/>
      <c r="H105" s="587"/>
      <c r="I105" s="587"/>
      <c r="J105" s="587"/>
      <c r="K105" s="516"/>
      <c r="L105" s="516"/>
      <c r="M105" s="596"/>
      <c r="N105" s="587"/>
      <c r="O105" s="587"/>
      <c r="P105" s="587"/>
    </row>
    <row r="106" spans="1:16" s="660" customFormat="1" ht="15" x14ac:dyDescent="0.25">
      <c r="A106" s="587"/>
      <c r="B106" s="587"/>
      <c r="C106" s="595"/>
      <c r="D106" s="595"/>
      <c r="E106" s="588"/>
      <c r="F106" s="587"/>
      <c r="G106" s="595"/>
      <c r="H106" s="587"/>
      <c r="I106" s="587"/>
      <c r="J106" s="587"/>
      <c r="K106" s="516"/>
      <c r="L106" s="516"/>
      <c r="M106" s="596"/>
      <c r="N106" s="587"/>
      <c r="O106" s="587"/>
      <c r="P106" s="587"/>
    </row>
    <row r="107" spans="1:16" s="660" customFormat="1" ht="15" x14ac:dyDescent="0.25">
      <c r="A107" s="587"/>
      <c r="B107" s="587"/>
      <c r="C107" s="595"/>
      <c r="D107" s="595"/>
      <c r="E107" s="588"/>
      <c r="F107" s="587"/>
      <c r="G107" s="595"/>
      <c r="H107" s="587"/>
      <c r="I107" s="587"/>
      <c r="J107" s="587"/>
      <c r="K107" s="516"/>
      <c r="L107" s="516"/>
      <c r="M107" s="596"/>
      <c r="N107" s="587"/>
      <c r="O107" s="587"/>
      <c r="P107" s="587"/>
    </row>
    <row r="108" spans="1:16" s="660" customFormat="1" ht="15" x14ac:dyDescent="0.25">
      <c r="A108" s="587"/>
      <c r="B108" s="587"/>
      <c r="C108" s="595"/>
      <c r="D108" s="595"/>
      <c r="E108" s="588"/>
      <c r="F108" s="587"/>
      <c r="G108" s="595"/>
      <c r="H108" s="587"/>
      <c r="I108" s="587"/>
      <c r="J108" s="587"/>
      <c r="K108" s="516"/>
      <c r="L108" s="516"/>
      <c r="M108" s="596"/>
      <c r="N108" s="587"/>
      <c r="O108" s="587"/>
      <c r="P108" s="587"/>
    </row>
    <row r="109" spans="1:16" s="660" customFormat="1" ht="15" x14ac:dyDescent="0.25">
      <c r="A109" s="587"/>
      <c r="B109" s="587"/>
      <c r="C109" s="595"/>
      <c r="D109" s="595"/>
      <c r="E109" s="588"/>
      <c r="F109" s="587"/>
      <c r="G109" s="595"/>
      <c r="H109" s="587"/>
      <c r="I109" s="587"/>
      <c r="J109" s="587"/>
      <c r="K109" s="516"/>
      <c r="L109" s="516"/>
      <c r="M109" s="596"/>
      <c r="N109" s="587"/>
      <c r="O109" s="587"/>
      <c r="P109" s="587"/>
    </row>
    <row r="110" spans="1:16" s="660" customFormat="1" ht="15" x14ac:dyDescent="0.25">
      <c r="A110" s="587"/>
      <c r="B110" s="587"/>
      <c r="C110" s="595"/>
      <c r="D110" s="595"/>
      <c r="E110" s="588"/>
      <c r="F110" s="587"/>
      <c r="G110" s="595"/>
      <c r="H110" s="587"/>
      <c r="I110" s="587"/>
      <c r="J110" s="587"/>
      <c r="K110" s="516"/>
      <c r="L110" s="516"/>
      <c r="M110" s="596"/>
      <c r="N110" s="587"/>
      <c r="O110" s="587"/>
      <c r="P110" s="587"/>
    </row>
    <row r="111" spans="1:16" s="660" customFormat="1" ht="15" x14ac:dyDescent="0.25">
      <c r="A111" s="587"/>
      <c r="B111" s="587"/>
      <c r="C111" s="595"/>
      <c r="D111" s="595"/>
      <c r="E111" s="588"/>
      <c r="F111" s="587"/>
      <c r="G111" s="595"/>
      <c r="H111" s="587"/>
      <c r="I111" s="587"/>
      <c r="J111" s="587"/>
      <c r="K111" s="516"/>
      <c r="L111" s="516"/>
      <c r="M111" s="596"/>
      <c r="N111" s="587"/>
      <c r="O111" s="587"/>
      <c r="P111" s="587"/>
    </row>
    <row r="112" spans="1:16" s="660" customFormat="1" ht="15" x14ac:dyDescent="0.25">
      <c r="A112" s="587"/>
      <c r="B112" s="587"/>
      <c r="C112" s="595"/>
      <c r="D112" s="595"/>
      <c r="E112" s="588"/>
      <c r="F112" s="587"/>
      <c r="G112" s="595"/>
      <c r="H112" s="587"/>
      <c r="I112" s="587"/>
      <c r="J112" s="587"/>
      <c r="K112" s="516"/>
      <c r="L112" s="516"/>
      <c r="M112" s="596"/>
      <c r="N112" s="587"/>
      <c r="O112" s="587"/>
      <c r="P112" s="587"/>
    </row>
    <row r="113" spans="1:16" s="660" customFormat="1" ht="15" x14ac:dyDescent="0.25">
      <c r="A113" s="587"/>
      <c r="B113" s="587"/>
      <c r="C113" s="595"/>
      <c r="D113" s="595"/>
      <c r="E113" s="588"/>
      <c r="F113" s="587"/>
      <c r="G113" s="595"/>
      <c r="H113" s="587"/>
      <c r="I113" s="587"/>
      <c r="J113" s="587"/>
      <c r="K113" s="516"/>
      <c r="L113" s="516"/>
      <c r="M113" s="596"/>
      <c r="N113" s="587"/>
      <c r="O113" s="587"/>
      <c r="P113" s="587"/>
    </row>
    <row r="114" spans="1:16" s="660" customFormat="1" ht="15" x14ac:dyDescent="0.25">
      <c r="A114" s="587"/>
      <c r="B114" s="587"/>
      <c r="C114" s="595"/>
      <c r="D114" s="595"/>
      <c r="E114" s="588"/>
      <c r="F114" s="587"/>
      <c r="G114" s="595"/>
      <c r="H114" s="587"/>
      <c r="I114" s="587"/>
      <c r="J114" s="587"/>
      <c r="K114" s="516"/>
      <c r="L114" s="516"/>
      <c r="M114" s="596"/>
      <c r="N114" s="587"/>
      <c r="O114" s="587"/>
      <c r="P114" s="587"/>
    </row>
    <row r="115" spans="1:16" s="660" customFormat="1" ht="15" x14ac:dyDescent="0.25">
      <c r="A115" s="587"/>
      <c r="B115" s="587"/>
      <c r="C115" s="595"/>
      <c r="D115" s="595"/>
      <c r="E115" s="588"/>
      <c r="F115" s="587"/>
      <c r="G115" s="595"/>
      <c r="H115" s="587"/>
      <c r="I115" s="587"/>
      <c r="J115" s="587"/>
      <c r="K115" s="516"/>
      <c r="L115" s="516"/>
      <c r="M115" s="596"/>
      <c r="N115" s="587"/>
      <c r="O115" s="587"/>
      <c r="P115" s="587"/>
    </row>
    <row r="116" spans="1:16" s="660" customFormat="1" ht="15" x14ac:dyDescent="0.25">
      <c r="A116" s="587"/>
      <c r="B116" s="587"/>
      <c r="C116" s="595"/>
      <c r="D116" s="595"/>
      <c r="E116" s="588"/>
      <c r="F116" s="587"/>
      <c r="G116" s="595"/>
      <c r="H116" s="587"/>
      <c r="I116" s="587"/>
      <c r="J116" s="587"/>
      <c r="K116" s="516"/>
      <c r="L116" s="516"/>
      <c r="M116" s="596"/>
      <c r="N116" s="587"/>
      <c r="O116" s="587"/>
      <c r="P116" s="587"/>
    </row>
    <row r="117" spans="1:16" s="660" customFormat="1" ht="15" x14ac:dyDescent="0.25">
      <c r="A117" s="587"/>
      <c r="B117" s="587"/>
      <c r="C117" s="595"/>
      <c r="D117" s="595"/>
      <c r="E117" s="588"/>
      <c r="F117" s="587"/>
      <c r="G117" s="595"/>
      <c r="H117" s="587"/>
      <c r="I117" s="587"/>
      <c r="J117" s="587"/>
      <c r="K117" s="516"/>
      <c r="L117" s="516"/>
      <c r="M117" s="596"/>
      <c r="N117" s="587"/>
      <c r="O117" s="587"/>
      <c r="P117" s="587"/>
    </row>
    <row r="118" spans="1:16" s="660" customFormat="1" ht="15" x14ac:dyDescent="0.25">
      <c r="A118" s="587"/>
      <c r="B118" s="587"/>
      <c r="C118" s="595"/>
      <c r="D118" s="595"/>
      <c r="E118" s="588"/>
      <c r="F118" s="587"/>
      <c r="G118" s="595"/>
      <c r="H118" s="587"/>
      <c r="I118" s="587"/>
      <c r="J118" s="587"/>
      <c r="K118" s="516"/>
      <c r="L118" s="516"/>
      <c r="M118" s="596"/>
      <c r="N118" s="587"/>
      <c r="O118" s="587"/>
      <c r="P118" s="587"/>
    </row>
    <row r="119" spans="1:16" s="660" customFormat="1" ht="15" x14ac:dyDescent="0.25">
      <c r="A119" s="587"/>
      <c r="B119" s="587"/>
      <c r="C119" s="595"/>
      <c r="D119" s="595"/>
      <c r="E119" s="588"/>
      <c r="F119" s="587"/>
      <c r="G119" s="595"/>
      <c r="H119" s="587"/>
      <c r="I119" s="587"/>
      <c r="J119" s="587"/>
      <c r="K119" s="516"/>
      <c r="L119" s="516"/>
      <c r="M119" s="596"/>
      <c r="N119" s="587"/>
      <c r="O119" s="587"/>
      <c r="P119" s="587"/>
    </row>
    <row r="120" spans="1:16" s="660" customFormat="1" ht="15" x14ac:dyDescent="0.25">
      <c r="A120" s="587"/>
      <c r="B120" s="587"/>
      <c r="C120" s="595"/>
      <c r="D120" s="595"/>
      <c r="E120" s="588"/>
      <c r="F120" s="587"/>
      <c r="G120" s="595"/>
      <c r="H120" s="587"/>
      <c r="I120" s="587"/>
      <c r="J120" s="587"/>
      <c r="K120" s="516"/>
      <c r="L120" s="516"/>
      <c r="M120" s="596"/>
      <c r="N120" s="587"/>
      <c r="O120" s="587"/>
      <c r="P120" s="587"/>
    </row>
    <row r="121" spans="1:16" s="660" customFormat="1" ht="15" x14ac:dyDescent="0.25">
      <c r="A121" s="587"/>
      <c r="B121" s="587"/>
      <c r="C121" s="595"/>
      <c r="D121" s="595"/>
      <c r="E121" s="588"/>
      <c r="F121" s="587"/>
      <c r="G121" s="595"/>
      <c r="H121" s="587"/>
      <c r="I121" s="587"/>
      <c r="J121" s="587"/>
      <c r="K121" s="516"/>
      <c r="L121" s="516"/>
      <c r="M121" s="596"/>
      <c r="N121" s="587"/>
      <c r="O121" s="587"/>
      <c r="P121" s="587"/>
    </row>
    <row r="122" spans="1:16" s="660" customFormat="1" ht="15" x14ac:dyDescent="0.25">
      <c r="A122" s="587"/>
      <c r="B122" s="587"/>
      <c r="C122" s="595"/>
      <c r="D122" s="595"/>
      <c r="E122" s="588"/>
      <c r="F122" s="587"/>
      <c r="G122" s="595"/>
      <c r="H122" s="587"/>
      <c r="I122" s="587"/>
      <c r="J122" s="587"/>
      <c r="K122" s="516"/>
      <c r="L122" s="516"/>
      <c r="M122" s="596"/>
      <c r="N122" s="587"/>
      <c r="O122" s="587"/>
      <c r="P122" s="587"/>
    </row>
    <row r="123" spans="1:16" s="660" customFormat="1" ht="15" x14ac:dyDescent="0.25">
      <c r="A123" s="587"/>
      <c r="B123" s="587"/>
      <c r="C123" s="595"/>
      <c r="D123" s="595"/>
      <c r="E123" s="588"/>
      <c r="F123" s="587"/>
      <c r="G123" s="595"/>
      <c r="H123" s="587"/>
      <c r="I123" s="587"/>
      <c r="J123" s="587"/>
      <c r="K123" s="516"/>
      <c r="L123" s="516"/>
      <c r="M123" s="596"/>
      <c r="N123" s="587"/>
      <c r="O123" s="587"/>
      <c r="P123" s="587"/>
    </row>
    <row r="124" spans="1:16" s="660" customFormat="1" ht="15" x14ac:dyDescent="0.25">
      <c r="A124" s="587"/>
      <c r="B124" s="587"/>
      <c r="C124" s="595"/>
      <c r="D124" s="595"/>
      <c r="E124" s="588"/>
      <c r="F124" s="587"/>
      <c r="G124" s="595"/>
      <c r="H124" s="587"/>
      <c r="I124" s="587"/>
      <c r="J124" s="587"/>
      <c r="K124" s="516"/>
      <c r="L124" s="516"/>
      <c r="M124" s="596"/>
      <c r="N124" s="587"/>
      <c r="O124" s="587"/>
      <c r="P124" s="587"/>
    </row>
    <row r="125" spans="1:16" s="660" customFormat="1" ht="15" x14ac:dyDescent="0.25">
      <c r="A125" s="587"/>
      <c r="B125" s="587"/>
      <c r="C125" s="595"/>
      <c r="D125" s="595"/>
      <c r="E125" s="588"/>
      <c r="F125" s="587"/>
      <c r="G125" s="595"/>
      <c r="H125" s="587"/>
      <c r="I125" s="587"/>
      <c r="J125" s="587"/>
      <c r="K125" s="516"/>
      <c r="L125" s="516"/>
      <c r="M125" s="596"/>
      <c r="N125" s="587"/>
      <c r="O125" s="587"/>
      <c r="P125" s="587"/>
    </row>
    <row r="126" spans="1:16" s="660" customFormat="1" ht="15" x14ac:dyDescent="0.25">
      <c r="A126" s="587"/>
      <c r="B126" s="587"/>
      <c r="C126" s="595"/>
      <c r="D126" s="595"/>
      <c r="E126" s="588"/>
      <c r="F126" s="587"/>
      <c r="G126" s="595"/>
      <c r="H126" s="587"/>
      <c r="I126" s="587"/>
      <c r="J126" s="587"/>
      <c r="K126" s="516"/>
      <c r="L126" s="516"/>
      <c r="M126" s="596"/>
      <c r="N126" s="587"/>
      <c r="O126" s="587"/>
      <c r="P126" s="587"/>
    </row>
    <row r="127" spans="1:16" s="660" customFormat="1" ht="15" x14ac:dyDescent="0.25">
      <c r="A127" s="587"/>
      <c r="B127" s="587"/>
      <c r="C127" s="595"/>
      <c r="D127" s="595"/>
      <c r="E127" s="588"/>
      <c r="F127" s="587"/>
      <c r="G127" s="595"/>
      <c r="H127" s="587"/>
      <c r="I127" s="587"/>
      <c r="J127" s="587"/>
      <c r="K127" s="516"/>
      <c r="L127" s="516"/>
      <c r="M127" s="596"/>
      <c r="N127" s="587"/>
      <c r="O127" s="587"/>
      <c r="P127" s="587"/>
    </row>
    <row r="128" spans="1:16" s="660" customFormat="1" ht="15" x14ac:dyDescent="0.25">
      <c r="A128" s="587"/>
      <c r="B128" s="587"/>
      <c r="C128" s="595"/>
      <c r="D128" s="595"/>
      <c r="E128" s="588"/>
      <c r="F128" s="587"/>
      <c r="G128" s="595"/>
      <c r="H128" s="587"/>
      <c r="I128" s="587"/>
      <c r="J128" s="587"/>
      <c r="K128" s="516"/>
      <c r="L128" s="516"/>
      <c r="M128" s="596"/>
      <c r="N128" s="587"/>
      <c r="O128" s="587"/>
      <c r="P128" s="587"/>
    </row>
    <row r="129" spans="1:16" s="660" customFormat="1" ht="15" x14ac:dyDescent="0.25">
      <c r="A129" s="587"/>
      <c r="B129" s="587"/>
      <c r="C129" s="595"/>
      <c r="D129" s="595"/>
      <c r="E129" s="588"/>
      <c r="F129" s="587"/>
      <c r="G129" s="595"/>
      <c r="H129" s="587"/>
      <c r="I129" s="587"/>
      <c r="J129" s="587"/>
      <c r="K129" s="516"/>
      <c r="L129" s="516"/>
      <c r="M129" s="596"/>
      <c r="N129" s="587"/>
      <c r="O129" s="587"/>
      <c r="P129" s="587"/>
    </row>
    <row r="130" spans="1:16" s="660" customFormat="1" ht="15" x14ac:dyDescent="0.25">
      <c r="A130" s="587"/>
      <c r="B130" s="587"/>
      <c r="C130" s="595"/>
      <c r="D130" s="595"/>
      <c r="E130" s="588"/>
      <c r="F130" s="587"/>
      <c r="G130" s="595"/>
      <c r="H130" s="587"/>
      <c r="I130" s="587"/>
      <c r="J130" s="587"/>
      <c r="K130" s="516"/>
      <c r="L130" s="516"/>
      <c r="M130" s="596"/>
      <c r="N130" s="587"/>
      <c r="O130" s="587"/>
      <c r="P130" s="587"/>
    </row>
    <row r="131" spans="1:16" s="660" customFormat="1" ht="15" x14ac:dyDescent="0.25">
      <c r="A131" s="587"/>
      <c r="B131" s="587"/>
      <c r="C131" s="595"/>
      <c r="D131" s="595"/>
      <c r="E131" s="588"/>
      <c r="F131" s="587"/>
      <c r="G131" s="595"/>
      <c r="H131" s="587"/>
      <c r="I131" s="587"/>
      <c r="J131" s="587"/>
      <c r="K131" s="516"/>
      <c r="L131" s="516"/>
      <c r="M131" s="596"/>
      <c r="N131" s="587"/>
      <c r="O131" s="587"/>
      <c r="P131" s="587"/>
    </row>
    <row r="132" spans="1:16" s="660" customFormat="1" ht="15" x14ac:dyDescent="0.25">
      <c r="A132" s="587"/>
      <c r="B132" s="587"/>
      <c r="C132" s="595"/>
      <c r="D132" s="595"/>
      <c r="E132" s="588"/>
      <c r="F132" s="587"/>
      <c r="G132" s="595"/>
      <c r="H132" s="587"/>
      <c r="I132" s="587"/>
      <c r="J132" s="587"/>
      <c r="K132" s="516"/>
      <c r="L132" s="516"/>
      <c r="M132" s="596"/>
      <c r="N132" s="587"/>
      <c r="O132" s="587"/>
      <c r="P132" s="587"/>
    </row>
    <row r="133" spans="1:16" s="660" customFormat="1" ht="15" x14ac:dyDescent="0.25">
      <c r="A133" s="587"/>
      <c r="B133" s="587"/>
      <c r="C133" s="595"/>
      <c r="D133" s="595"/>
      <c r="E133" s="588"/>
      <c r="F133" s="587"/>
      <c r="G133" s="595"/>
      <c r="H133" s="587"/>
      <c r="I133" s="587"/>
      <c r="J133" s="587"/>
      <c r="K133" s="516"/>
      <c r="L133" s="516"/>
      <c r="M133" s="596"/>
      <c r="N133" s="587"/>
      <c r="O133" s="587"/>
      <c r="P133" s="587"/>
    </row>
    <row r="134" spans="1:16" s="660" customFormat="1" ht="15" x14ac:dyDescent="0.25">
      <c r="A134" s="587"/>
      <c r="B134" s="587"/>
      <c r="C134" s="595"/>
      <c r="D134" s="595"/>
      <c r="E134" s="588"/>
      <c r="F134" s="587"/>
      <c r="G134" s="595"/>
      <c r="H134" s="587"/>
      <c r="I134" s="587"/>
      <c r="J134" s="587"/>
      <c r="K134" s="516"/>
      <c r="L134" s="516"/>
      <c r="M134" s="596"/>
      <c r="N134" s="587"/>
      <c r="O134" s="587"/>
      <c r="P134" s="587"/>
    </row>
    <row r="135" spans="1:16" s="660" customFormat="1" ht="15" x14ac:dyDescent="0.25">
      <c r="A135" s="587"/>
      <c r="B135" s="587"/>
      <c r="C135" s="595"/>
      <c r="D135" s="595"/>
      <c r="E135" s="588"/>
      <c r="F135" s="587"/>
      <c r="G135" s="595"/>
      <c r="H135" s="587"/>
      <c r="I135" s="587"/>
      <c r="J135" s="587"/>
      <c r="K135" s="516"/>
      <c r="L135" s="516"/>
      <c r="M135" s="596"/>
      <c r="N135" s="587"/>
      <c r="O135" s="587"/>
      <c r="P135" s="587"/>
    </row>
    <row r="136" spans="1:16" s="660" customFormat="1" ht="15" x14ac:dyDescent="0.25">
      <c r="A136" s="587"/>
      <c r="B136" s="587"/>
      <c r="C136" s="595"/>
      <c r="D136" s="595"/>
      <c r="E136" s="588"/>
      <c r="F136" s="587"/>
      <c r="G136" s="595"/>
      <c r="H136" s="587"/>
      <c r="I136" s="587"/>
      <c r="J136" s="587"/>
      <c r="K136" s="516"/>
      <c r="L136" s="516"/>
      <c r="M136" s="596"/>
      <c r="N136" s="587"/>
      <c r="O136" s="587"/>
      <c r="P136" s="587"/>
    </row>
    <row r="137" spans="1:16" s="660" customFormat="1" ht="15" x14ac:dyDescent="0.25">
      <c r="A137" s="587"/>
      <c r="B137" s="587"/>
      <c r="C137" s="595"/>
      <c r="D137" s="595"/>
      <c r="E137" s="588"/>
      <c r="F137" s="587"/>
      <c r="G137" s="595"/>
      <c r="H137" s="587"/>
      <c r="I137" s="587"/>
      <c r="J137" s="587"/>
      <c r="K137" s="516"/>
      <c r="L137" s="516"/>
      <c r="M137" s="596"/>
      <c r="N137" s="587"/>
      <c r="O137" s="587"/>
      <c r="P137" s="587"/>
    </row>
    <row r="138" spans="1:16" s="660" customFormat="1" ht="15" x14ac:dyDescent="0.25">
      <c r="A138" s="587"/>
      <c r="B138" s="587"/>
      <c r="C138" s="595"/>
      <c r="D138" s="595"/>
      <c r="E138" s="588"/>
      <c r="F138" s="587"/>
      <c r="G138" s="595"/>
      <c r="H138" s="587"/>
      <c r="I138" s="587"/>
      <c r="J138" s="587"/>
      <c r="K138" s="516"/>
      <c r="L138" s="516"/>
      <c r="M138" s="596"/>
      <c r="N138" s="587"/>
      <c r="O138" s="587"/>
      <c r="P138" s="587"/>
    </row>
    <row r="139" spans="1:16" s="660" customFormat="1" ht="15" x14ac:dyDescent="0.25">
      <c r="A139" s="587"/>
      <c r="B139" s="587"/>
      <c r="C139" s="595"/>
      <c r="D139" s="595"/>
      <c r="E139" s="588"/>
      <c r="F139" s="587"/>
      <c r="G139" s="595"/>
      <c r="H139" s="587"/>
      <c r="I139" s="587"/>
      <c r="J139" s="587"/>
      <c r="K139" s="516"/>
      <c r="L139" s="516"/>
      <c r="M139" s="596"/>
      <c r="N139" s="587"/>
      <c r="O139" s="587"/>
      <c r="P139" s="587"/>
    </row>
    <row r="140" spans="1:16" s="660" customFormat="1" ht="15" x14ac:dyDescent="0.25">
      <c r="A140" s="587"/>
      <c r="B140" s="587"/>
      <c r="C140" s="595"/>
      <c r="D140" s="595"/>
      <c r="E140" s="588"/>
      <c r="F140" s="587"/>
      <c r="G140" s="595"/>
      <c r="H140" s="587"/>
      <c r="I140" s="587"/>
      <c r="J140" s="587"/>
      <c r="K140" s="516"/>
      <c r="L140" s="516"/>
      <c r="M140" s="596"/>
      <c r="N140" s="587"/>
      <c r="O140" s="587"/>
      <c r="P140" s="587"/>
    </row>
    <row r="141" spans="1:16" s="660" customFormat="1" ht="15" x14ac:dyDescent="0.25">
      <c r="A141" s="587"/>
      <c r="B141" s="587"/>
      <c r="C141" s="595"/>
      <c r="D141" s="595"/>
      <c r="E141" s="588"/>
      <c r="F141" s="587"/>
      <c r="G141" s="595"/>
      <c r="H141" s="587"/>
      <c r="I141" s="587"/>
      <c r="J141" s="587"/>
      <c r="K141" s="516"/>
      <c r="L141" s="516"/>
      <c r="M141" s="596"/>
      <c r="N141" s="587"/>
      <c r="O141" s="587"/>
      <c r="P141" s="587"/>
    </row>
    <row r="142" spans="1:16" s="660" customFormat="1" ht="15" x14ac:dyDescent="0.25">
      <c r="A142" s="587"/>
      <c r="B142" s="587"/>
      <c r="C142" s="595"/>
      <c r="D142" s="595"/>
      <c r="E142" s="588"/>
      <c r="F142" s="587"/>
      <c r="G142" s="595"/>
      <c r="H142" s="587"/>
      <c r="I142" s="587"/>
      <c r="J142" s="587"/>
      <c r="K142" s="516"/>
      <c r="L142" s="516"/>
      <c r="M142" s="596"/>
      <c r="N142" s="587"/>
      <c r="O142" s="587"/>
      <c r="P142" s="587"/>
    </row>
    <row r="143" spans="1:16" s="660" customFormat="1" ht="15" x14ac:dyDescent="0.25">
      <c r="A143" s="587"/>
      <c r="B143" s="587"/>
      <c r="C143" s="595"/>
      <c r="D143" s="595"/>
      <c r="E143" s="588"/>
      <c r="F143" s="587"/>
      <c r="G143" s="595"/>
      <c r="H143" s="587"/>
      <c r="I143" s="587"/>
      <c r="J143" s="587"/>
      <c r="K143" s="516"/>
      <c r="L143" s="516"/>
      <c r="M143" s="596"/>
      <c r="N143" s="587"/>
      <c r="O143" s="587"/>
      <c r="P143" s="587"/>
    </row>
    <row r="144" spans="1:16" s="660" customFormat="1" ht="15" x14ac:dyDescent="0.25">
      <c r="A144" s="587"/>
      <c r="B144" s="587"/>
      <c r="C144" s="595"/>
      <c r="D144" s="595"/>
      <c r="E144" s="588"/>
      <c r="F144" s="587"/>
      <c r="G144" s="595"/>
      <c r="H144" s="587"/>
      <c r="I144" s="587"/>
      <c r="J144" s="587"/>
      <c r="K144" s="516"/>
      <c r="L144" s="516"/>
      <c r="M144" s="596"/>
      <c r="N144" s="587"/>
      <c r="O144" s="587"/>
      <c r="P144" s="587"/>
    </row>
    <row r="145" spans="1:16" s="660" customFormat="1" ht="15" x14ac:dyDescent="0.25">
      <c r="A145" s="587"/>
      <c r="B145" s="587"/>
      <c r="C145" s="595"/>
      <c r="D145" s="595"/>
      <c r="E145" s="588"/>
      <c r="F145" s="587"/>
      <c r="G145" s="595"/>
      <c r="H145" s="587"/>
      <c r="I145" s="587"/>
      <c r="J145" s="587"/>
      <c r="K145" s="516"/>
      <c r="L145" s="516"/>
      <c r="M145" s="596"/>
      <c r="N145" s="587"/>
      <c r="O145" s="587"/>
      <c r="P145" s="587"/>
    </row>
    <row r="146" spans="1:16" s="660" customFormat="1" ht="15" x14ac:dyDescent="0.25">
      <c r="A146" s="587"/>
      <c r="B146" s="587"/>
      <c r="C146" s="595"/>
      <c r="D146" s="595"/>
      <c r="E146" s="588"/>
      <c r="F146" s="587"/>
      <c r="G146" s="595"/>
      <c r="H146" s="587"/>
      <c r="I146" s="587"/>
      <c r="J146" s="587"/>
      <c r="K146" s="516"/>
      <c r="L146" s="516"/>
      <c r="M146" s="596"/>
      <c r="N146" s="587"/>
      <c r="O146" s="587"/>
      <c r="P146" s="587"/>
    </row>
    <row r="147" spans="1:16" s="660" customFormat="1" ht="15" x14ac:dyDescent="0.25">
      <c r="A147" s="587"/>
      <c r="B147" s="587"/>
      <c r="C147" s="595"/>
      <c r="D147" s="595"/>
      <c r="E147" s="588"/>
      <c r="F147" s="587"/>
      <c r="G147" s="595"/>
      <c r="H147" s="587"/>
      <c r="I147" s="587"/>
      <c r="J147" s="587"/>
      <c r="K147" s="516"/>
      <c r="L147" s="516"/>
      <c r="M147" s="596"/>
      <c r="N147" s="587"/>
      <c r="O147" s="587"/>
      <c r="P147" s="587"/>
    </row>
    <row r="148" spans="1:16" s="660" customFormat="1" ht="15" x14ac:dyDescent="0.25">
      <c r="A148" s="587"/>
      <c r="B148" s="587"/>
      <c r="C148" s="595"/>
      <c r="D148" s="595"/>
      <c r="E148" s="588"/>
      <c r="F148" s="587"/>
      <c r="G148" s="595"/>
      <c r="H148" s="587"/>
      <c r="I148" s="587"/>
      <c r="J148" s="587"/>
      <c r="K148" s="516"/>
      <c r="L148" s="516"/>
      <c r="M148" s="596"/>
      <c r="N148" s="587"/>
      <c r="O148" s="587"/>
      <c r="P148" s="587"/>
    </row>
    <row r="149" spans="1:16" s="660" customFormat="1" ht="15" x14ac:dyDescent="0.25">
      <c r="A149" s="587"/>
      <c r="B149" s="587"/>
      <c r="C149" s="595"/>
      <c r="D149" s="595"/>
      <c r="E149" s="588"/>
      <c r="F149" s="587"/>
      <c r="G149" s="595"/>
      <c r="H149" s="587"/>
      <c r="I149" s="587"/>
      <c r="J149" s="587"/>
      <c r="K149" s="516"/>
      <c r="L149" s="516"/>
      <c r="M149" s="596"/>
      <c r="N149" s="587"/>
      <c r="O149" s="587"/>
      <c r="P149" s="587"/>
    </row>
    <row r="150" spans="1:16" s="660" customFormat="1" ht="15" x14ac:dyDescent="0.25">
      <c r="A150" s="587"/>
      <c r="B150" s="587"/>
      <c r="C150" s="595"/>
      <c r="D150" s="595"/>
      <c r="E150" s="588"/>
      <c r="F150" s="587"/>
      <c r="G150" s="595"/>
      <c r="H150" s="587"/>
      <c r="I150" s="587"/>
      <c r="J150" s="587"/>
      <c r="K150" s="516"/>
      <c r="L150" s="516"/>
      <c r="M150" s="596"/>
      <c r="N150" s="587"/>
      <c r="O150" s="587"/>
      <c r="P150" s="587"/>
    </row>
    <row r="151" spans="1:16" s="660" customFormat="1" ht="15" x14ac:dyDescent="0.25">
      <c r="A151" s="587"/>
      <c r="B151" s="587"/>
      <c r="C151" s="595"/>
      <c r="D151" s="595"/>
      <c r="E151" s="588"/>
      <c r="F151" s="587"/>
      <c r="G151" s="595"/>
      <c r="H151" s="587"/>
      <c r="I151" s="587"/>
      <c r="J151" s="587"/>
      <c r="K151" s="516"/>
      <c r="L151" s="516"/>
      <c r="M151" s="596"/>
      <c r="N151" s="587"/>
      <c r="O151" s="587"/>
      <c r="P151" s="587"/>
    </row>
    <row r="152" spans="1:16" s="660" customFormat="1" ht="15" x14ac:dyDescent="0.25">
      <c r="A152" s="587"/>
      <c r="B152" s="587"/>
      <c r="C152" s="595"/>
      <c r="D152" s="595"/>
      <c r="E152" s="588"/>
      <c r="F152" s="587"/>
      <c r="G152" s="595"/>
      <c r="H152" s="587"/>
      <c r="I152" s="587"/>
      <c r="J152" s="587"/>
      <c r="K152" s="516"/>
      <c r="L152" s="516"/>
      <c r="M152" s="596"/>
      <c r="N152" s="587"/>
      <c r="O152" s="587"/>
      <c r="P152" s="587"/>
    </row>
    <row r="153" spans="1:16" s="660" customFormat="1" ht="0" hidden="1" customHeight="1" x14ac:dyDescent="0.25">
      <c r="A153" s="587"/>
      <c r="B153" s="587"/>
      <c r="C153" s="595"/>
      <c r="D153" s="595"/>
      <c r="E153" s="588"/>
      <c r="F153" s="587"/>
      <c r="G153" s="595"/>
      <c r="H153" s="587"/>
      <c r="I153" s="587"/>
      <c r="J153" s="587"/>
      <c r="K153" s="516"/>
      <c r="L153" s="516"/>
      <c r="M153" s="596"/>
      <c r="N153" s="587"/>
      <c r="O153" s="587"/>
      <c r="P153" s="587"/>
    </row>
    <row r="154" spans="1:16" s="660" customFormat="1" ht="0" hidden="1" customHeight="1" x14ac:dyDescent="0.25">
      <c r="A154" s="587"/>
      <c r="B154" s="587"/>
      <c r="C154" s="595"/>
      <c r="D154" s="595"/>
      <c r="E154" s="588"/>
      <c r="F154" s="587"/>
      <c r="G154" s="595"/>
      <c r="H154" s="587"/>
      <c r="I154" s="587"/>
      <c r="J154" s="587"/>
      <c r="K154" s="516"/>
      <c r="L154" s="516"/>
      <c r="M154" s="596"/>
      <c r="N154" s="587"/>
      <c r="O154" s="587"/>
      <c r="P154" s="587"/>
    </row>
    <row r="155" spans="1:16" s="660" customFormat="1" ht="0" hidden="1" customHeight="1" x14ac:dyDescent="0.25">
      <c r="A155" s="587"/>
      <c r="B155" s="587"/>
      <c r="C155" s="595"/>
      <c r="D155" s="595"/>
      <c r="E155" s="588"/>
      <c r="F155" s="587"/>
      <c r="G155" s="595"/>
      <c r="H155" s="587"/>
      <c r="I155" s="587"/>
      <c r="J155" s="587"/>
      <c r="K155" s="516"/>
      <c r="L155" s="516"/>
      <c r="M155" s="596"/>
      <c r="N155" s="587"/>
      <c r="O155" s="587"/>
      <c r="P155" s="587"/>
    </row>
    <row r="156" spans="1:16" s="660" customFormat="1" ht="0" hidden="1" customHeight="1" x14ac:dyDescent="0.25">
      <c r="A156" s="587"/>
      <c r="B156" s="587"/>
      <c r="C156" s="595"/>
      <c r="D156" s="595"/>
      <c r="E156" s="588"/>
      <c r="F156" s="587"/>
      <c r="G156" s="595"/>
      <c r="H156" s="587"/>
      <c r="I156" s="587"/>
      <c r="J156" s="587"/>
      <c r="K156" s="516"/>
      <c r="L156" s="516"/>
      <c r="M156" s="596"/>
      <c r="N156" s="587"/>
      <c r="O156" s="587"/>
      <c r="P156" s="587"/>
    </row>
    <row r="157" spans="1:16" s="660" customFormat="1" ht="0" hidden="1" customHeight="1" x14ac:dyDescent="0.25">
      <c r="A157" s="587"/>
      <c r="B157" s="587"/>
      <c r="C157" s="595"/>
      <c r="D157" s="595"/>
      <c r="E157" s="588"/>
      <c r="F157" s="587"/>
      <c r="G157" s="595"/>
      <c r="H157" s="587"/>
      <c r="I157" s="587"/>
      <c r="J157" s="587"/>
      <c r="K157" s="516"/>
      <c r="L157" s="516"/>
      <c r="M157" s="596"/>
      <c r="N157" s="587"/>
      <c r="O157" s="587"/>
      <c r="P157" s="587"/>
    </row>
    <row r="158" spans="1:16" s="660" customFormat="1" ht="0" hidden="1" customHeight="1" x14ac:dyDescent="0.25">
      <c r="A158" s="587"/>
      <c r="B158" s="587"/>
      <c r="C158" s="595"/>
      <c r="D158" s="595"/>
      <c r="E158" s="588"/>
      <c r="F158" s="587"/>
      <c r="G158" s="595"/>
      <c r="H158" s="587"/>
      <c r="I158" s="587"/>
      <c r="J158" s="587"/>
      <c r="K158" s="516"/>
      <c r="L158" s="516"/>
      <c r="M158" s="596"/>
      <c r="N158" s="587"/>
      <c r="O158" s="587"/>
      <c r="P158" s="587"/>
    </row>
    <row r="159" spans="1:16" s="660" customFormat="1" ht="0" hidden="1" customHeight="1" x14ac:dyDescent="0.25">
      <c r="A159" s="587"/>
      <c r="B159" s="587"/>
      <c r="C159" s="595"/>
      <c r="D159" s="595"/>
      <c r="E159" s="588"/>
      <c r="F159" s="587"/>
      <c r="G159" s="595"/>
      <c r="H159" s="587"/>
      <c r="I159" s="587"/>
      <c r="J159" s="587"/>
      <c r="K159" s="516"/>
      <c r="L159" s="516"/>
      <c r="M159" s="596"/>
      <c r="N159" s="587"/>
      <c r="O159" s="587"/>
      <c r="P159" s="587"/>
    </row>
    <row r="160" spans="1:16" s="660" customFormat="1" ht="0" hidden="1" customHeight="1" x14ac:dyDescent="0.25">
      <c r="A160" s="587"/>
      <c r="B160" s="587"/>
      <c r="C160" s="595"/>
      <c r="D160" s="595"/>
      <c r="E160" s="588"/>
      <c r="F160" s="587"/>
      <c r="G160" s="595"/>
      <c r="H160" s="587"/>
      <c r="I160" s="587"/>
      <c r="J160" s="587"/>
      <c r="K160" s="516"/>
      <c r="L160" s="516"/>
      <c r="M160" s="596"/>
      <c r="N160" s="587"/>
      <c r="O160" s="587"/>
      <c r="P160" s="587"/>
    </row>
    <row r="161" spans="1:16" s="660" customFormat="1" ht="0" hidden="1" customHeight="1" x14ac:dyDescent="0.25">
      <c r="A161" s="587"/>
      <c r="B161" s="587"/>
      <c r="C161" s="595"/>
      <c r="D161" s="595"/>
      <c r="E161" s="588"/>
      <c r="F161" s="587"/>
      <c r="G161" s="595"/>
      <c r="H161" s="587"/>
      <c r="I161" s="587"/>
      <c r="J161" s="587"/>
      <c r="K161" s="516"/>
      <c r="L161" s="516"/>
      <c r="M161" s="596"/>
      <c r="N161" s="587"/>
      <c r="O161" s="587"/>
      <c r="P161" s="587"/>
    </row>
    <row r="162" spans="1:16" s="660" customFormat="1" ht="0" hidden="1" customHeight="1" x14ac:dyDescent="0.25">
      <c r="A162" s="587"/>
      <c r="B162" s="587"/>
      <c r="C162" s="595"/>
      <c r="D162" s="595"/>
      <c r="E162" s="588"/>
      <c r="F162" s="587"/>
      <c r="G162" s="595"/>
      <c r="H162" s="587"/>
      <c r="I162" s="587"/>
      <c r="J162" s="587"/>
      <c r="K162" s="516"/>
      <c r="L162" s="516"/>
      <c r="M162" s="596"/>
      <c r="N162" s="587"/>
      <c r="O162" s="587"/>
      <c r="P162" s="587"/>
    </row>
    <row r="163" spans="1:16" s="660" customFormat="1" ht="0" hidden="1" customHeight="1" x14ac:dyDescent="0.25">
      <c r="A163" s="587"/>
      <c r="B163" s="587"/>
      <c r="C163" s="595"/>
      <c r="D163" s="595"/>
      <c r="E163" s="588"/>
      <c r="F163" s="587"/>
      <c r="G163" s="595"/>
      <c r="H163" s="587"/>
      <c r="I163" s="587"/>
      <c r="J163" s="587"/>
      <c r="K163" s="516"/>
      <c r="L163" s="516"/>
      <c r="M163" s="596"/>
      <c r="N163" s="587"/>
      <c r="O163" s="587"/>
      <c r="P163" s="587"/>
    </row>
    <row r="164" spans="1:16" s="660" customFormat="1" ht="0" hidden="1" customHeight="1" x14ac:dyDescent="0.25">
      <c r="A164" s="587"/>
      <c r="B164" s="587"/>
      <c r="C164" s="595"/>
      <c r="D164" s="595"/>
      <c r="E164" s="588"/>
      <c r="F164" s="587"/>
      <c r="G164" s="595"/>
      <c r="H164" s="587"/>
      <c r="I164" s="587"/>
      <c r="J164" s="587"/>
      <c r="K164" s="516"/>
      <c r="L164" s="516"/>
      <c r="M164" s="596"/>
      <c r="N164" s="587"/>
      <c r="O164" s="587"/>
      <c r="P164" s="587"/>
    </row>
    <row r="165" spans="1:16" s="660" customFormat="1" ht="0" hidden="1" customHeight="1" x14ac:dyDescent="0.25">
      <c r="A165" s="587"/>
      <c r="B165" s="587"/>
      <c r="C165" s="595"/>
      <c r="D165" s="595"/>
      <c r="E165" s="588"/>
      <c r="F165" s="587"/>
      <c r="G165" s="595"/>
      <c r="H165" s="587"/>
      <c r="I165" s="587"/>
      <c r="J165" s="587"/>
      <c r="K165" s="516"/>
      <c r="L165" s="516"/>
      <c r="M165" s="596"/>
      <c r="N165" s="587"/>
      <c r="O165" s="587"/>
      <c r="P165" s="587"/>
    </row>
    <row r="166" spans="1:16" s="660" customFormat="1" ht="0" hidden="1" customHeight="1" x14ac:dyDescent="0.25">
      <c r="A166" s="587"/>
      <c r="B166" s="587"/>
      <c r="C166" s="595"/>
      <c r="D166" s="595"/>
      <c r="E166" s="588"/>
      <c r="F166" s="587"/>
      <c r="G166" s="595"/>
      <c r="H166" s="587"/>
      <c r="I166" s="587"/>
      <c r="J166" s="587"/>
      <c r="K166" s="516"/>
      <c r="L166" s="516"/>
      <c r="M166" s="596"/>
      <c r="N166" s="587"/>
      <c r="O166" s="587"/>
      <c r="P166" s="587"/>
    </row>
    <row r="167" spans="1:16" s="660" customFormat="1" ht="0" hidden="1" customHeight="1" x14ac:dyDescent="0.25">
      <c r="A167" s="587"/>
      <c r="B167" s="587"/>
      <c r="C167" s="595"/>
      <c r="D167" s="595"/>
      <c r="E167" s="588"/>
      <c r="F167" s="587"/>
      <c r="G167" s="595"/>
      <c r="H167" s="587"/>
      <c r="I167" s="587"/>
      <c r="J167" s="587"/>
      <c r="K167" s="516"/>
      <c r="L167" s="516"/>
      <c r="M167" s="596"/>
      <c r="N167" s="587"/>
      <c r="O167" s="587"/>
      <c r="P167" s="587"/>
    </row>
    <row r="168" spans="1:16" s="660" customFormat="1" ht="0" hidden="1" customHeight="1" x14ac:dyDescent="0.25">
      <c r="A168" s="587"/>
      <c r="B168" s="587"/>
      <c r="C168" s="595"/>
      <c r="D168" s="595"/>
      <c r="E168" s="588"/>
      <c r="F168" s="587"/>
      <c r="G168" s="595"/>
      <c r="H168" s="587"/>
      <c r="I168" s="587"/>
      <c r="J168" s="587"/>
      <c r="K168" s="516"/>
      <c r="L168" s="516"/>
      <c r="M168" s="596"/>
      <c r="N168" s="587"/>
      <c r="O168" s="587"/>
      <c r="P168" s="587"/>
    </row>
    <row r="169" spans="1:16" s="660" customFormat="1" ht="0" hidden="1" customHeight="1" x14ac:dyDescent="0.25">
      <c r="A169" s="587"/>
      <c r="B169" s="587"/>
      <c r="C169" s="595"/>
      <c r="D169" s="595"/>
      <c r="E169" s="588"/>
      <c r="F169" s="587"/>
      <c r="G169" s="595"/>
      <c r="H169" s="587"/>
      <c r="I169" s="587"/>
      <c r="J169" s="587"/>
      <c r="K169" s="516"/>
      <c r="L169" s="516"/>
      <c r="M169" s="596"/>
      <c r="N169" s="587"/>
      <c r="O169" s="587"/>
      <c r="P169" s="587"/>
    </row>
    <row r="170" spans="1:16" s="660" customFormat="1" ht="0" hidden="1" customHeight="1" x14ac:dyDescent="0.25">
      <c r="A170" s="587"/>
      <c r="B170" s="587"/>
      <c r="C170" s="595"/>
      <c r="D170" s="595"/>
      <c r="E170" s="588"/>
      <c r="F170" s="587"/>
      <c r="G170" s="595"/>
      <c r="H170" s="587"/>
      <c r="I170" s="587"/>
      <c r="J170" s="587"/>
      <c r="K170" s="516"/>
      <c r="L170" s="516"/>
      <c r="M170" s="596"/>
      <c r="N170" s="587"/>
      <c r="O170" s="587"/>
      <c r="P170" s="587"/>
    </row>
    <row r="171" spans="1:16" s="660" customFormat="1" ht="0" hidden="1" customHeight="1" x14ac:dyDescent="0.25">
      <c r="A171" s="587"/>
      <c r="B171" s="587"/>
      <c r="C171" s="595"/>
      <c r="D171" s="595"/>
      <c r="E171" s="588"/>
      <c r="F171" s="587"/>
      <c r="G171" s="595"/>
      <c r="H171" s="587"/>
      <c r="I171" s="587"/>
      <c r="J171" s="587"/>
      <c r="K171" s="516"/>
      <c r="L171" s="516"/>
      <c r="M171" s="596"/>
      <c r="N171" s="587"/>
      <c r="O171" s="587"/>
      <c r="P171" s="587"/>
    </row>
    <row r="172" spans="1:16" s="660" customFormat="1" ht="0" hidden="1" customHeight="1" x14ac:dyDescent="0.25">
      <c r="A172" s="587"/>
      <c r="B172" s="587"/>
      <c r="C172" s="595"/>
      <c r="D172" s="595"/>
      <c r="E172" s="588"/>
      <c r="F172" s="587"/>
      <c r="G172" s="595"/>
      <c r="H172" s="587"/>
      <c r="I172" s="587"/>
      <c r="J172" s="587"/>
      <c r="K172" s="516"/>
      <c r="L172" s="516"/>
      <c r="M172" s="596"/>
      <c r="N172" s="587"/>
      <c r="O172" s="587"/>
      <c r="P172" s="587"/>
    </row>
    <row r="173" spans="1:16" s="660" customFormat="1" ht="0" hidden="1" customHeight="1" x14ac:dyDescent="0.25">
      <c r="A173" s="587"/>
      <c r="B173" s="587"/>
      <c r="C173" s="595"/>
      <c r="D173" s="595"/>
      <c r="E173" s="588"/>
      <c r="F173" s="587"/>
      <c r="G173" s="595"/>
      <c r="H173" s="587"/>
      <c r="I173" s="587"/>
      <c r="J173" s="587"/>
      <c r="K173" s="516"/>
      <c r="L173" s="516"/>
      <c r="M173" s="596"/>
      <c r="N173" s="587"/>
      <c r="O173" s="587"/>
      <c r="P173" s="587"/>
    </row>
    <row r="174" spans="1:16" s="660" customFormat="1" ht="0" hidden="1" customHeight="1" x14ac:dyDescent="0.25">
      <c r="A174" s="587"/>
      <c r="B174" s="587"/>
      <c r="C174" s="595"/>
      <c r="D174" s="595"/>
      <c r="E174" s="588"/>
      <c r="F174" s="587"/>
      <c r="G174" s="595"/>
      <c r="H174" s="587"/>
      <c r="I174" s="587"/>
      <c r="J174" s="587"/>
      <c r="K174" s="516"/>
      <c r="L174" s="516"/>
      <c r="M174" s="596"/>
      <c r="N174" s="587"/>
      <c r="O174" s="587"/>
      <c r="P174" s="587"/>
    </row>
    <row r="175" spans="1:16" s="660" customFormat="1" ht="0" hidden="1" customHeight="1" x14ac:dyDescent="0.25">
      <c r="A175" s="587"/>
      <c r="B175" s="587"/>
      <c r="C175" s="595"/>
      <c r="D175" s="595"/>
      <c r="E175" s="588"/>
      <c r="F175" s="587"/>
      <c r="G175" s="595"/>
      <c r="H175" s="587"/>
      <c r="I175" s="587"/>
      <c r="J175" s="587"/>
      <c r="K175" s="516"/>
      <c r="L175" s="516"/>
      <c r="M175" s="596"/>
      <c r="N175" s="587"/>
      <c r="O175" s="587"/>
      <c r="P175" s="587"/>
    </row>
    <row r="176" spans="1:16" s="660" customFormat="1" ht="0" hidden="1" customHeight="1" x14ac:dyDescent="0.25">
      <c r="A176" s="587"/>
      <c r="B176" s="587"/>
      <c r="C176" s="595"/>
      <c r="D176" s="595"/>
      <c r="E176" s="588"/>
      <c r="F176" s="587"/>
      <c r="G176" s="595"/>
      <c r="H176" s="587"/>
      <c r="I176" s="587"/>
      <c r="J176" s="587"/>
      <c r="K176" s="516"/>
      <c r="L176" s="516"/>
      <c r="M176" s="596"/>
      <c r="N176" s="587"/>
      <c r="O176" s="587"/>
      <c r="P176" s="587"/>
    </row>
    <row r="177" spans="1:16" s="660" customFormat="1" ht="0" hidden="1" customHeight="1" x14ac:dyDescent="0.25">
      <c r="A177" s="587"/>
      <c r="B177" s="587"/>
      <c r="C177" s="595"/>
      <c r="D177" s="595"/>
      <c r="E177" s="588"/>
      <c r="F177" s="587"/>
      <c r="G177" s="595"/>
      <c r="H177" s="587"/>
      <c r="I177" s="587"/>
      <c r="J177" s="587"/>
      <c r="K177" s="516"/>
      <c r="L177" s="516"/>
      <c r="M177" s="596"/>
      <c r="N177" s="587"/>
      <c r="O177" s="587"/>
      <c r="P177" s="587"/>
    </row>
    <row r="178" spans="1:16" s="660" customFormat="1" ht="0" hidden="1" customHeight="1" x14ac:dyDescent="0.25">
      <c r="A178" s="587"/>
      <c r="B178" s="587"/>
      <c r="C178" s="595"/>
      <c r="D178" s="595"/>
      <c r="E178" s="588"/>
      <c r="F178" s="587"/>
      <c r="G178" s="595"/>
      <c r="H178" s="587"/>
      <c r="I178" s="587"/>
      <c r="J178" s="587"/>
      <c r="K178" s="516"/>
      <c r="L178" s="516"/>
      <c r="M178" s="596"/>
      <c r="N178" s="587"/>
      <c r="O178" s="587"/>
      <c r="P178" s="587"/>
    </row>
    <row r="179" spans="1:16" s="660" customFormat="1" ht="0" hidden="1" customHeight="1" x14ac:dyDescent="0.25">
      <c r="A179" s="587"/>
      <c r="B179" s="587"/>
      <c r="C179" s="595"/>
      <c r="D179" s="595"/>
      <c r="E179" s="588"/>
      <c r="F179" s="587"/>
      <c r="G179" s="595"/>
      <c r="H179" s="587"/>
      <c r="I179" s="587"/>
      <c r="J179" s="587"/>
      <c r="K179" s="516"/>
      <c r="L179" s="516"/>
      <c r="M179" s="596"/>
      <c r="N179" s="587"/>
      <c r="O179" s="587"/>
      <c r="P179" s="587"/>
    </row>
    <row r="180" spans="1:16" s="660" customFormat="1" ht="0" hidden="1" customHeight="1" x14ac:dyDescent="0.25">
      <c r="A180" s="587"/>
      <c r="B180" s="587"/>
      <c r="C180" s="595"/>
      <c r="D180" s="595"/>
      <c r="E180" s="588"/>
      <c r="F180" s="587"/>
      <c r="G180" s="595"/>
      <c r="H180" s="587"/>
      <c r="I180" s="587"/>
      <c r="J180" s="587"/>
      <c r="K180" s="516"/>
      <c r="L180" s="516"/>
      <c r="M180" s="596"/>
      <c r="N180" s="587"/>
      <c r="O180" s="587"/>
      <c r="P180" s="587"/>
    </row>
    <row r="181" spans="1:16" s="660" customFormat="1" ht="0" hidden="1" customHeight="1" x14ac:dyDescent="0.25">
      <c r="A181" s="587"/>
      <c r="B181" s="587"/>
      <c r="C181" s="595"/>
      <c r="D181" s="595"/>
      <c r="E181" s="588"/>
      <c r="F181" s="587"/>
      <c r="G181" s="595"/>
      <c r="H181" s="587"/>
      <c r="I181" s="587"/>
      <c r="J181" s="587"/>
      <c r="K181" s="516"/>
      <c r="L181" s="516"/>
      <c r="M181" s="596"/>
      <c r="N181" s="587"/>
      <c r="O181" s="587"/>
      <c r="P181" s="587"/>
    </row>
    <row r="182" spans="1:16" s="660" customFormat="1" ht="0" hidden="1" customHeight="1" x14ac:dyDescent="0.25">
      <c r="A182" s="587"/>
      <c r="B182" s="587"/>
      <c r="C182" s="595"/>
      <c r="D182" s="595"/>
      <c r="E182" s="588"/>
      <c r="F182" s="587"/>
      <c r="G182" s="595"/>
      <c r="H182" s="587"/>
      <c r="I182" s="587"/>
      <c r="J182" s="587"/>
      <c r="K182" s="516"/>
      <c r="L182" s="516"/>
      <c r="M182" s="596"/>
      <c r="N182" s="587"/>
      <c r="O182" s="587"/>
      <c r="P182" s="587"/>
    </row>
    <row r="183" spans="1:16" s="660" customFormat="1" ht="0" hidden="1" customHeight="1" x14ac:dyDescent="0.25">
      <c r="A183" s="587"/>
      <c r="B183" s="587"/>
      <c r="C183" s="595"/>
      <c r="D183" s="595"/>
      <c r="E183" s="588"/>
      <c r="F183" s="587"/>
      <c r="G183" s="595"/>
      <c r="H183" s="587"/>
      <c r="I183" s="587"/>
      <c r="J183" s="587"/>
      <c r="K183" s="516"/>
      <c r="L183" s="516"/>
      <c r="M183" s="596"/>
      <c r="N183" s="587"/>
      <c r="O183" s="587"/>
      <c r="P183" s="587"/>
    </row>
    <row r="184" spans="1:16" s="660" customFormat="1" ht="0" hidden="1" customHeight="1" x14ac:dyDescent="0.25">
      <c r="A184" s="587"/>
      <c r="B184" s="587"/>
      <c r="C184" s="595"/>
      <c r="D184" s="595"/>
      <c r="E184" s="588"/>
      <c r="F184" s="587"/>
      <c r="G184" s="595"/>
      <c r="H184" s="587"/>
      <c r="I184" s="587"/>
      <c r="J184" s="587"/>
      <c r="K184" s="516"/>
      <c r="L184" s="516"/>
      <c r="M184" s="596"/>
      <c r="N184" s="587"/>
      <c r="O184" s="587"/>
      <c r="P184" s="587"/>
    </row>
    <row r="185" spans="1:16" s="660" customFormat="1" ht="0" hidden="1" customHeight="1" x14ac:dyDescent="0.25">
      <c r="A185" s="587"/>
      <c r="B185" s="587"/>
      <c r="C185" s="595"/>
      <c r="D185" s="595"/>
      <c r="E185" s="588"/>
      <c r="F185" s="587"/>
      <c r="G185" s="595"/>
      <c r="H185" s="587"/>
      <c r="I185" s="587"/>
      <c r="J185" s="587"/>
      <c r="K185" s="516"/>
      <c r="L185" s="516"/>
      <c r="M185" s="596"/>
      <c r="N185" s="587"/>
      <c r="O185" s="587"/>
      <c r="P185" s="587"/>
    </row>
    <row r="186" spans="1:16" s="660" customFormat="1" ht="0" hidden="1" customHeight="1" x14ac:dyDescent="0.25">
      <c r="A186" s="587"/>
      <c r="B186" s="587"/>
      <c r="C186" s="595"/>
      <c r="D186" s="595"/>
      <c r="E186" s="588"/>
      <c r="F186" s="587"/>
      <c r="G186" s="595"/>
      <c r="H186" s="587"/>
      <c r="I186" s="587"/>
      <c r="J186" s="587"/>
      <c r="K186" s="516"/>
      <c r="L186" s="516"/>
      <c r="M186" s="596"/>
      <c r="N186" s="587"/>
      <c r="O186" s="587"/>
      <c r="P186" s="587"/>
    </row>
    <row r="187" spans="1:16" s="660" customFormat="1" ht="0" hidden="1" customHeight="1" x14ac:dyDescent="0.25">
      <c r="A187" s="587"/>
      <c r="B187" s="587"/>
      <c r="C187" s="595"/>
      <c r="D187" s="595"/>
      <c r="E187" s="588"/>
      <c r="F187" s="587"/>
      <c r="G187" s="595"/>
      <c r="H187" s="587"/>
      <c r="I187" s="587"/>
      <c r="J187" s="587"/>
      <c r="K187" s="516"/>
      <c r="L187" s="516"/>
      <c r="M187" s="596"/>
      <c r="N187" s="587"/>
      <c r="O187" s="587"/>
      <c r="P187" s="587"/>
    </row>
    <row r="188" spans="1:16" s="660" customFormat="1" ht="0" hidden="1" customHeight="1" x14ac:dyDescent="0.25">
      <c r="A188" s="587"/>
      <c r="B188" s="587"/>
      <c r="C188" s="595"/>
      <c r="D188" s="595"/>
      <c r="E188" s="588"/>
      <c r="F188" s="587"/>
      <c r="G188" s="595"/>
      <c r="H188" s="587"/>
      <c r="I188" s="587"/>
      <c r="J188" s="587"/>
      <c r="K188" s="516"/>
      <c r="L188" s="516"/>
      <c r="M188" s="596"/>
      <c r="N188" s="587"/>
      <c r="O188" s="587"/>
      <c r="P188" s="587"/>
    </row>
    <row r="189" spans="1:16" s="660" customFormat="1" ht="0" hidden="1" customHeight="1" x14ac:dyDescent="0.25">
      <c r="A189" s="587"/>
      <c r="B189" s="587"/>
      <c r="C189" s="595"/>
      <c r="D189" s="595"/>
      <c r="E189" s="588"/>
      <c r="F189" s="587"/>
      <c r="G189" s="595"/>
      <c r="H189" s="587"/>
      <c r="I189" s="587"/>
      <c r="J189" s="587"/>
      <c r="K189" s="516"/>
      <c r="L189" s="516"/>
      <c r="M189" s="596"/>
      <c r="N189" s="587"/>
      <c r="O189" s="587"/>
      <c r="P189" s="587"/>
    </row>
    <row r="190" spans="1:16" s="660" customFormat="1" ht="0" hidden="1" customHeight="1" x14ac:dyDescent="0.25">
      <c r="A190" s="587"/>
      <c r="B190" s="587"/>
      <c r="C190" s="595"/>
      <c r="D190" s="595"/>
      <c r="E190" s="588"/>
      <c r="F190" s="587"/>
      <c r="G190" s="595"/>
      <c r="H190" s="587"/>
      <c r="I190" s="587"/>
      <c r="J190" s="587"/>
      <c r="K190" s="516"/>
      <c r="L190" s="516"/>
      <c r="M190" s="596"/>
      <c r="N190" s="587"/>
      <c r="O190" s="587"/>
      <c r="P190" s="587"/>
    </row>
    <row r="191" spans="1:16" s="660" customFormat="1" ht="0" hidden="1" customHeight="1" x14ac:dyDescent="0.25">
      <c r="A191" s="587"/>
      <c r="B191" s="587"/>
      <c r="C191" s="595"/>
      <c r="D191" s="595"/>
      <c r="E191" s="588"/>
      <c r="F191" s="587"/>
      <c r="G191" s="595"/>
      <c r="H191" s="587"/>
      <c r="I191" s="587"/>
      <c r="J191" s="587"/>
      <c r="K191" s="516"/>
      <c r="L191" s="516"/>
      <c r="M191" s="596"/>
      <c r="N191" s="587"/>
      <c r="O191" s="587"/>
      <c r="P191" s="587"/>
    </row>
    <row r="192" spans="1:16" s="660" customFormat="1" ht="0" hidden="1" customHeight="1" x14ac:dyDescent="0.25">
      <c r="A192" s="587"/>
      <c r="B192" s="587"/>
      <c r="C192" s="595"/>
      <c r="D192" s="595"/>
      <c r="E192" s="588"/>
      <c r="F192" s="587"/>
      <c r="G192" s="595"/>
      <c r="H192" s="587"/>
      <c r="I192" s="587"/>
      <c r="J192" s="587"/>
      <c r="K192" s="516"/>
      <c r="L192" s="516"/>
      <c r="M192" s="596"/>
      <c r="N192" s="587"/>
      <c r="O192" s="587"/>
      <c r="P192" s="587"/>
    </row>
    <row r="193" spans="1:16" s="660" customFormat="1" ht="0" hidden="1" customHeight="1" x14ac:dyDescent="0.25">
      <c r="A193" s="587"/>
      <c r="B193" s="587"/>
      <c r="C193" s="595"/>
      <c r="D193" s="595"/>
      <c r="E193" s="588"/>
      <c r="F193" s="587"/>
      <c r="G193" s="595"/>
      <c r="H193" s="587"/>
      <c r="I193" s="587"/>
      <c r="J193" s="587"/>
      <c r="K193" s="516"/>
      <c r="L193" s="516"/>
      <c r="M193" s="596"/>
      <c r="N193" s="587"/>
      <c r="O193" s="587"/>
      <c r="P193" s="587"/>
    </row>
    <row r="194" spans="1:16" s="660" customFormat="1" ht="0" hidden="1" customHeight="1" x14ac:dyDescent="0.25">
      <c r="A194" s="587"/>
      <c r="B194" s="587"/>
      <c r="C194" s="595"/>
      <c r="D194" s="595"/>
      <c r="E194" s="588"/>
      <c r="F194" s="587"/>
      <c r="G194" s="595"/>
      <c r="H194" s="587"/>
      <c r="I194" s="587"/>
      <c r="J194" s="587"/>
      <c r="K194" s="516"/>
      <c r="L194" s="516"/>
      <c r="M194" s="596"/>
      <c r="N194" s="587"/>
      <c r="O194" s="587"/>
      <c r="P194" s="587"/>
    </row>
    <row r="195" spans="1:16" s="660" customFormat="1" ht="0" hidden="1" customHeight="1" x14ac:dyDescent="0.25">
      <c r="A195" s="587"/>
      <c r="B195" s="587"/>
      <c r="C195" s="595"/>
      <c r="D195" s="595"/>
      <c r="E195" s="588"/>
      <c r="F195" s="587"/>
      <c r="G195" s="595"/>
      <c r="H195" s="587"/>
      <c r="I195" s="587"/>
      <c r="J195" s="587"/>
      <c r="K195" s="516"/>
      <c r="L195" s="516"/>
      <c r="M195" s="596"/>
      <c r="N195" s="587"/>
      <c r="O195" s="587"/>
      <c r="P195" s="587"/>
    </row>
    <row r="196" spans="1:16" s="660" customFormat="1" ht="0" hidden="1" customHeight="1" x14ac:dyDescent="0.25">
      <c r="A196" s="587"/>
      <c r="B196" s="587"/>
      <c r="C196" s="595"/>
      <c r="D196" s="595"/>
      <c r="E196" s="588"/>
      <c r="F196" s="587"/>
      <c r="G196" s="595"/>
      <c r="H196" s="587"/>
      <c r="I196" s="587"/>
      <c r="J196" s="587"/>
      <c r="K196" s="516"/>
      <c r="L196" s="516"/>
      <c r="M196" s="596"/>
      <c r="N196" s="587"/>
      <c r="O196" s="587"/>
      <c r="P196" s="587"/>
    </row>
    <row r="197" spans="1:16" s="660" customFormat="1" ht="0" hidden="1" customHeight="1" x14ac:dyDescent="0.25">
      <c r="A197" s="587"/>
      <c r="B197" s="587"/>
      <c r="C197" s="595"/>
      <c r="D197" s="595"/>
      <c r="E197" s="588"/>
      <c r="F197" s="587"/>
      <c r="G197" s="595"/>
      <c r="H197" s="587"/>
      <c r="I197" s="587"/>
      <c r="J197" s="587"/>
      <c r="K197" s="516"/>
      <c r="L197" s="516"/>
      <c r="M197" s="596"/>
      <c r="N197" s="587"/>
      <c r="O197" s="587"/>
      <c r="P197" s="587"/>
    </row>
    <row r="198" spans="1:16" s="660" customFormat="1" ht="0" hidden="1" customHeight="1" x14ac:dyDescent="0.25">
      <c r="A198" s="587"/>
      <c r="B198" s="587"/>
      <c r="C198" s="595"/>
      <c r="D198" s="595"/>
      <c r="E198" s="588"/>
      <c r="F198" s="587"/>
      <c r="G198" s="595"/>
      <c r="H198" s="587"/>
      <c r="I198" s="587"/>
      <c r="J198" s="587"/>
      <c r="K198" s="516"/>
      <c r="L198" s="516"/>
      <c r="M198" s="596"/>
      <c r="N198" s="587"/>
      <c r="O198" s="587"/>
      <c r="P198" s="587"/>
    </row>
    <row r="199" spans="1:16" s="660" customFormat="1" ht="0" hidden="1" customHeight="1" x14ac:dyDescent="0.25">
      <c r="A199" s="587"/>
      <c r="B199" s="587"/>
      <c r="C199" s="595"/>
      <c r="D199" s="595"/>
      <c r="E199" s="588"/>
      <c r="F199" s="587"/>
      <c r="G199" s="595"/>
      <c r="H199" s="587"/>
      <c r="I199" s="587"/>
      <c r="J199" s="587"/>
      <c r="K199" s="516"/>
      <c r="L199" s="516"/>
      <c r="M199" s="596"/>
      <c r="N199" s="587"/>
      <c r="O199" s="587"/>
      <c r="P199" s="587"/>
    </row>
    <row r="200" spans="1:16" s="660" customFormat="1" ht="0" hidden="1" customHeight="1" x14ac:dyDescent="0.25">
      <c r="A200" s="587"/>
      <c r="B200" s="587"/>
      <c r="C200" s="595"/>
      <c r="D200" s="595"/>
      <c r="E200" s="588"/>
      <c r="F200" s="587"/>
      <c r="G200" s="595"/>
      <c r="H200" s="587"/>
      <c r="I200" s="587"/>
      <c r="J200" s="587"/>
      <c r="K200" s="516"/>
      <c r="L200" s="516"/>
      <c r="M200" s="596"/>
      <c r="N200" s="587"/>
      <c r="O200" s="587"/>
      <c r="P200" s="587"/>
    </row>
    <row r="201" spans="1:16" s="660" customFormat="1" ht="0" hidden="1" customHeight="1" x14ac:dyDescent="0.25">
      <c r="A201" s="587"/>
      <c r="B201" s="587"/>
      <c r="C201" s="595"/>
      <c r="D201" s="595"/>
      <c r="E201" s="588"/>
      <c r="F201" s="587"/>
      <c r="G201" s="595"/>
      <c r="H201" s="587"/>
      <c r="I201" s="587"/>
      <c r="J201" s="587"/>
      <c r="K201" s="516"/>
      <c r="L201" s="516"/>
      <c r="M201" s="596"/>
      <c r="N201" s="587"/>
      <c r="O201" s="587"/>
      <c r="P201" s="587"/>
    </row>
    <row r="202" spans="1:16" s="660" customFormat="1" ht="0" hidden="1" customHeight="1" x14ac:dyDescent="0.25">
      <c r="A202" s="587"/>
      <c r="B202" s="587"/>
      <c r="C202" s="595"/>
      <c r="D202" s="595"/>
      <c r="E202" s="588"/>
      <c r="F202" s="587"/>
      <c r="G202" s="595"/>
      <c r="H202" s="587"/>
      <c r="I202" s="587"/>
      <c r="J202" s="587"/>
      <c r="K202" s="516"/>
      <c r="L202" s="516"/>
      <c r="M202" s="596"/>
      <c r="N202" s="587"/>
      <c r="O202" s="587"/>
      <c r="P202" s="587"/>
    </row>
    <row r="203" spans="1:16" s="660" customFormat="1" ht="0" hidden="1" customHeight="1" x14ac:dyDescent="0.25">
      <c r="A203" s="587"/>
      <c r="B203" s="587"/>
      <c r="C203" s="595"/>
      <c r="D203" s="595"/>
      <c r="E203" s="588"/>
      <c r="F203" s="587"/>
      <c r="G203" s="595"/>
      <c r="H203" s="587"/>
      <c r="I203" s="587"/>
      <c r="J203" s="587"/>
      <c r="K203" s="516"/>
      <c r="L203" s="516"/>
      <c r="M203" s="596"/>
      <c r="N203" s="587"/>
      <c r="O203" s="587"/>
      <c r="P203" s="587"/>
    </row>
    <row r="204" spans="1:16" s="660" customFormat="1" ht="0" hidden="1" customHeight="1" x14ac:dyDescent="0.25">
      <c r="A204" s="587"/>
      <c r="B204" s="587"/>
      <c r="C204" s="595"/>
      <c r="D204" s="595"/>
      <c r="E204" s="588"/>
      <c r="F204" s="587"/>
      <c r="G204" s="595"/>
      <c r="H204" s="587"/>
      <c r="I204" s="587"/>
      <c r="J204" s="587"/>
      <c r="K204" s="516"/>
      <c r="L204" s="516"/>
      <c r="M204" s="596"/>
      <c r="N204" s="587"/>
      <c r="O204" s="587"/>
      <c r="P204" s="587"/>
    </row>
    <row r="205" spans="1:16" s="660" customFormat="1" ht="0" hidden="1" customHeight="1" x14ac:dyDescent="0.25">
      <c r="A205" s="587"/>
      <c r="B205" s="587"/>
      <c r="C205" s="595"/>
      <c r="D205" s="595"/>
      <c r="E205" s="588"/>
      <c r="F205" s="587"/>
      <c r="G205" s="595"/>
      <c r="H205" s="587"/>
      <c r="I205" s="587"/>
      <c r="J205" s="587"/>
      <c r="K205" s="516"/>
      <c r="L205" s="516"/>
      <c r="M205" s="596"/>
      <c r="N205" s="587"/>
      <c r="O205" s="587"/>
      <c r="P205" s="587"/>
    </row>
    <row r="206" spans="1:16" s="660" customFormat="1" ht="0" hidden="1" customHeight="1" x14ac:dyDescent="0.25">
      <c r="A206" s="587"/>
      <c r="B206" s="587"/>
      <c r="C206" s="595"/>
      <c r="D206" s="595"/>
      <c r="E206" s="588"/>
      <c r="F206" s="587"/>
      <c r="G206" s="595"/>
      <c r="H206" s="587"/>
      <c r="I206" s="587"/>
      <c r="J206" s="587"/>
      <c r="K206" s="516"/>
      <c r="L206" s="516"/>
      <c r="M206" s="596"/>
      <c r="N206" s="587"/>
      <c r="O206" s="587"/>
      <c r="P206" s="587"/>
    </row>
    <row r="207" spans="1:16" s="660" customFormat="1" ht="0" hidden="1" customHeight="1" x14ac:dyDescent="0.25">
      <c r="A207" s="587"/>
      <c r="B207" s="587"/>
      <c r="C207" s="595"/>
      <c r="D207" s="595"/>
      <c r="E207" s="588"/>
      <c r="F207" s="587"/>
      <c r="G207" s="595"/>
      <c r="H207" s="587"/>
      <c r="I207" s="587"/>
      <c r="J207" s="587"/>
      <c r="K207" s="516"/>
      <c r="L207" s="516"/>
      <c r="M207" s="596"/>
      <c r="N207" s="587"/>
      <c r="O207" s="587"/>
      <c r="P207" s="587"/>
    </row>
    <row r="208" spans="1:16" s="660" customFormat="1" ht="0" hidden="1" customHeight="1" x14ac:dyDescent="0.25">
      <c r="A208" s="587"/>
      <c r="B208" s="587"/>
      <c r="C208" s="595"/>
      <c r="D208" s="595"/>
      <c r="E208" s="588"/>
      <c r="F208" s="587"/>
      <c r="G208" s="595"/>
      <c r="H208" s="587"/>
      <c r="I208" s="587"/>
      <c r="J208" s="587"/>
      <c r="K208" s="516"/>
      <c r="L208" s="516"/>
      <c r="M208" s="596"/>
      <c r="N208" s="587"/>
      <c r="O208" s="587"/>
      <c r="P208" s="587"/>
    </row>
    <row r="209" spans="1:16" s="660" customFormat="1" ht="0" hidden="1" customHeight="1" x14ac:dyDescent="0.25">
      <c r="A209" s="587"/>
      <c r="B209" s="587"/>
      <c r="C209" s="595"/>
      <c r="D209" s="595"/>
      <c r="E209" s="588"/>
      <c r="F209" s="587"/>
      <c r="G209" s="595"/>
      <c r="H209" s="587"/>
      <c r="I209" s="587"/>
      <c r="J209" s="587"/>
      <c r="K209" s="516"/>
      <c r="L209" s="516"/>
      <c r="M209" s="596"/>
      <c r="N209" s="587"/>
      <c r="O209" s="587"/>
      <c r="P209" s="587"/>
    </row>
    <row r="210" spans="1:16" s="660" customFormat="1" ht="0" hidden="1" customHeight="1" x14ac:dyDescent="0.25">
      <c r="A210" s="587"/>
      <c r="B210" s="587"/>
      <c r="C210" s="595"/>
      <c r="D210" s="595"/>
      <c r="E210" s="588"/>
      <c r="F210" s="587"/>
      <c r="G210" s="595"/>
      <c r="H210" s="587"/>
      <c r="I210" s="587"/>
      <c r="J210" s="587"/>
      <c r="K210" s="516"/>
      <c r="L210" s="516"/>
      <c r="M210" s="596"/>
      <c r="N210" s="587"/>
      <c r="O210" s="587"/>
      <c r="P210" s="587"/>
    </row>
    <row r="211" spans="1:16" s="660" customFormat="1" ht="0" hidden="1" customHeight="1" x14ac:dyDescent="0.25">
      <c r="A211" s="587"/>
      <c r="B211" s="587"/>
      <c r="C211" s="595"/>
      <c r="D211" s="595"/>
      <c r="E211" s="588"/>
      <c r="F211" s="587"/>
      <c r="G211" s="595"/>
      <c r="H211" s="587"/>
      <c r="I211" s="587"/>
      <c r="J211" s="587"/>
      <c r="K211" s="516"/>
      <c r="L211" s="516"/>
      <c r="M211" s="596"/>
      <c r="N211" s="587"/>
      <c r="O211" s="587"/>
      <c r="P211" s="587"/>
    </row>
    <row r="212" spans="1:16" s="660" customFormat="1" ht="0" hidden="1" customHeight="1" x14ac:dyDescent="0.25">
      <c r="A212" s="587"/>
      <c r="B212" s="587"/>
      <c r="C212" s="595"/>
      <c r="D212" s="595"/>
      <c r="E212" s="588"/>
      <c r="F212" s="587"/>
      <c r="G212" s="595"/>
      <c r="H212" s="587"/>
      <c r="I212" s="587"/>
      <c r="J212" s="587"/>
      <c r="K212" s="516"/>
      <c r="L212" s="516"/>
      <c r="M212" s="596"/>
      <c r="N212" s="587"/>
      <c r="O212" s="587"/>
      <c r="P212" s="587"/>
    </row>
    <row r="213" spans="1:16" s="660" customFormat="1" ht="0" hidden="1" customHeight="1" x14ac:dyDescent="0.25">
      <c r="A213" s="587"/>
      <c r="B213" s="587"/>
      <c r="C213" s="595"/>
      <c r="D213" s="595"/>
      <c r="E213" s="588"/>
      <c r="F213" s="587"/>
      <c r="G213" s="595"/>
      <c r="H213" s="587"/>
      <c r="I213" s="587"/>
      <c r="J213" s="587"/>
      <c r="K213" s="516"/>
      <c r="L213" s="516"/>
      <c r="M213" s="596"/>
      <c r="N213" s="587"/>
      <c r="O213" s="587"/>
      <c r="P213" s="587"/>
    </row>
    <row r="214" spans="1:16" s="660" customFormat="1" ht="0" hidden="1" customHeight="1" x14ac:dyDescent="0.25">
      <c r="A214" s="587"/>
      <c r="B214" s="587"/>
      <c r="C214" s="595"/>
      <c r="D214" s="595"/>
      <c r="E214" s="588"/>
      <c r="F214" s="587"/>
      <c r="G214" s="595"/>
      <c r="H214" s="587"/>
      <c r="I214" s="587"/>
      <c r="J214" s="587"/>
      <c r="K214" s="516"/>
      <c r="L214" s="516"/>
      <c r="M214" s="596"/>
      <c r="N214" s="587"/>
      <c r="O214" s="587"/>
      <c r="P214" s="587"/>
    </row>
    <row r="215" spans="1:16" s="660" customFormat="1" ht="0" hidden="1" customHeight="1" x14ac:dyDescent="0.25">
      <c r="A215" s="587"/>
      <c r="B215" s="587"/>
      <c r="C215" s="595"/>
      <c r="D215" s="595"/>
      <c r="E215" s="588"/>
      <c r="F215" s="587"/>
      <c r="G215" s="595"/>
      <c r="H215" s="587"/>
      <c r="I215" s="587"/>
      <c r="J215" s="587"/>
      <c r="K215" s="516"/>
      <c r="L215" s="516"/>
      <c r="M215" s="596"/>
      <c r="N215" s="587"/>
      <c r="O215" s="587"/>
      <c r="P215" s="587"/>
    </row>
    <row r="216" spans="1:16" s="660" customFormat="1" ht="0" hidden="1" customHeight="1" x14ac:dyDescent="0.25">
      <c r="A216" s="587"/>
      <c r="B216" s="587"/>
      <c r="C216" s="595"/>
      <c r="D216" s="595"/>
      <c r="E216" s="588"/>
      <c r="F216" s="587"/>
      <c r="G216" s="595"/>
      <c r="H216" s="587"/>
      <c r="I216" s="587"/>
      <c r="J216" s="587"/>
      <c r="K216" s="516"/>
      <c r="L216" s="516"/>
      <c r="M216" s="596"/>
      <c r="N216" s="587"/>
      <c r="O216" s="587"/>
      <c r="P216" s="587"/>
    </row>
    <row r="217" spans="1:16" s="660" customFormat="1" ht="0" hidden="1" customHeight="1" x14ac:dyDescent="0.25">
      <c r="A217" s="587"/>
      <c r="B217" s="587"/>
      <c r="C217" s="595"/>
      <c r="D217" s="595"/>
      <c r="E217" s="588"/>
      <c r="F217" s="587"/>
      <c r="G217" s="595"/>
      <c r="H217" s="587"/>
      <c r="I217" s="587"/>
      <c r="J217" s="587"/>
      <c r="K217" s="516"/>
      <c r="L217" s="516"/>
      <c r="M217" s="596"/>
      <c r="N217" s="587"/>
      <c r="O217" s="587"/>
      <c r="P217" s="587"/>
    </row>
    <row r="218" spans="1:16" s="660" customFormat="1" ht="0" hidden="1" customHeight="1" x14ac:dyDescent="0.25">
      <c r="A218" s="587"/>
      <c r="B218" s="587"/>
      <c r="C218" s="595"/>
      <c r="D218" s="595"/>
      <c r="E218" s="588"/>
      <c r="F218" s="587"/>
      <c r="G218" s="595"/>
      <c r="H218" s="587"/>
      <c r="I218" s="587"/>
      <c r="J218" s="587"/>
      <c r="K218" s="516"/>
      <c r="L218" s="516"/>
      <c r="M218" s="596"/>
      <c r="N218" s="587"/>
      <c r="O218" s="587"/>
      <c r="P218" s="587"/>
    </row>
    <row r="219" spans="1:16" s="660" customFormat="1" ht="0" hidden="1" customHeight="1" x14ac:dyDescent="0.25">
      <c r="A219" s="587"/>
      <c r="B219" s="587"/>
      <c r="C219" s="595"/>
      <c r="D219" s="595"/>
      <c r="E219" s="588"/>
      <c r="F219" s="587"/>
      <c r="G219" s="595"/>
      <c r="H219" s="587"/>
      <c r="I219" s="587"/>
      <c r="J219" s="587"/>
      <c r="K219" s="516"/>
      <c r="L219" s="516"/>
      <c r="M219" s="596"/>
      <c r="N219" s="587"/>
      <c r="O219" s="587"/>
      <c r="P219" s="587"/>
    </row>
    <row r="220" spans="1:16" s="660" customFormat="1" ht="0" hidden="1" customHeight="1" x14ac:dyDescent="0.25">
      <c r="A220" s="587"/>
      <c r="B220" s="587"/>
      <c r="C220" s="595"/>
      <c r="D220" s="595"/>
      <c r="E220" s="588"/>
      <c r="F220" s="587"/>
      <c r="G220" s="595"/>
      <c r="H220" s="587"/>
      <c r="I220" s="587"/>
      <c r="J220" s="587"/>
      <c r="K220" s="516"/>
      <c r="L220" s="516"/>
      <c r="M220" s="596"/>
      <c r="N220" s="587"/>
      <c r="O220" s="587"/>
      <c r="P220" s="587"/>
    </row>
    <row r="221" spans="1:16" s="660" customFormat="1" ht="0" hidden="1" customHeight="1" x14ac:dyDescent="0.25">
      <c r="A221" s="587"/>
      <c r="B221" s="587"/>
      <c r="C221" s="595"/>
      <c r="D221" s="595"/>
      <c r="E221" s="588"/>
      <c r="F221" s="587"/>
      <c r="G221" s="595"/>
      <c r="H221" s="587"/>
      <c r="I221" s="587"/>
      <c r="J221" s="587"/>
      <c r="K221" s="516"/>
      <c r="L221" s="516"/>
      <c r="M221" s="596"/>
      <c r="N221" s="587"/>
      <c r="O221" s="587"/>
      <c r="P221" s="587"/>
    </row>
    <row r="222" spans="1:16" s="660" customFormat="1" ht="0" hidden="1" customHeight="1" x14ac:dyDescent="0.25">
      <c r="A222" s="587"/>
      <c r="B222" s="587"/>
      <c r="C222" s="595"/>
      <c r="D222" s="595"/>
      <c r="E222" s="588"/>
      <c r="F222" s="587"/>
      <c r="G222" s="595"/>
      <c r="H222" s="587"/>
      <c r="I222" s="587"/>
      <c r="J222" s="587"/>
      <c r="K222" s="516"/>
      <c r="L222" s="516"/>
      <c r="M222" s="596"/>
      <c r="N222" s="587"/>
      <c r="O222" s="587"/>
      <c r="P222" s="587"/>
    </row>
    <row r="223" spans="1:16" s="660" customFormat="1" ht="0" hidden="1" customHeight="1" x14ac:dyDescent="0.25">
      <c r="A223" s="587"/>
      <c r="B223" s="587"/>
      <c r="C223" s="595"/>
      <c r="D223" s="595"/>
      <c r="E223" s="588"/>
      <c r="F223" s="587"/>
      <c r="G223" s="595"/>
      <c r="H223" s="587"/>
      <c r="I223" s="587"/>
      <c r="J223" s="587"/>
      <c r="K223" s="516"/>
      <c r="L223" s="516"/>
      <c r="M223" s="596"/>
      <c r="N223" s="587"/>
      <c r="O223" s="587"/>
      <c r="P223" s="587"/>
    </row>
    <row r="224" spans="1:16" s="660" customFormat="1" ht="0" hidden="1" customHeight="1" x14ac:dyDescent="0.25">
      <c r="A224" s="587"/>
      <c r="B224" s="587"/>
      <c r="C224" s="595"/>
      <c r="D224" s="595"/>
      <c r="E224" s="588"/>
      <c r="F224" s="587"/>
      <c r="G224" s="595"/>
      <c r="H224" s="587"/>
      <c r="I224" s="587"/>
      <c r="J224" s="587"/>
      <c r="K224" s="516"/>
      <c r="L224" s="516"/>
      <c r="M224" s="596"/>
      <c r="N224" s="587"/>
      <c r="O224" s="587"/>
      <c r="P224" s="587"/>
    </row>
    <row r="225" spans="1:16" s="660" customFormat="1" ht="0" hidden="1" customHeight="1" x14ac:dyDescent="0.25">
      <c r="A225" s="587"/>
      <c r="B225" s="587"/>
      <c r="C225" s="595"/>
      <c r="D225" s="595"/>
      <c r="E225" s="588"/>
      <c r="F225" s="587"/>
      <c r="G225" s="595"/>
      <c r="H225" s="587"/>
      <c r="I225" s="587"/>
      <c r="J225" s="587"/>
      <c r="K225" s="516"/>
      <c r="L225" s="516"/>
      <c r="M225" s="596"/>
      <c r="N225" s="587"/>
      <c r="O225" s="587"/>
      <c r="P225" s="587"/>
    </row>
    <row r="226" spans="1:16" s="660" customFormat="1" ht="0" hidden="1" customHeight="1" x14ac:dyDescent="0.25">
      <c r="A226" s="587"/>
      <c r="B226" s="587"/>
      <c r="C226" s="595"/>
      <c r="D226" s="595"/>
      <c r="E226" s="588"/>
      <c r="F226" s="587"/>
      <c r="G226" s="595"/>
      <c r="H226" s="587"/>
      <c r="I226" s="587"/>
      <c r="J226" s="587"/>
      <c r="K226" s="516"/>
      <c r="L226" s="516"/>
      <c r="M226" s="596"/>
      <c r="N226" s="587"/>
      <c r="O226" s="587"/>
      <c r="P226" s="587"/>
    </row>
    <row r="227" spans="1:16" s="660" customFormat="1" ht="0" hidden="1" customHeight="1" x14ac:dyDescent="0.25">
      <c r="A227" s="587"/>
      <c r="B227" s="587"/>
      <c r="C227" s="595"/>
      <c r="D227" s="595"/>
      <c r="E227" s="588"/>
      <c r="F227" s="587"/>
      <c r="G227" s="595"/>
      <c r="H227" s="587"/>
      <c r="I227" s="587"/>
      <c r="J227" s="587"/>
      <c r="K227" s="516"/>
      <c r="L227" s="516"/>
      <c r="M227" s="596"/>
      <c r="N227" s="587"/>
      <c r="O227" s="587"/>
      <c r="P227" s="587"/>
    </row>
    <row r="228" spans="1:16" s="660" customFormat="1" ht="0" hidden="1" customHeight="1" x14ac:dyDescent="0.25">
      <c r="A228" s="587"/>
      <c r="B228" s="587"/>
      <c r="C228" s="595"/>
      <c r="D228" s="595"/>
      <c r="E228" s="588"/>
      <c r="F228" s="587"/>
      <c r="G228" s="595"/>
      <c r="H228" s="587"/>
      <c r="I228" s="587"/>
      <c r="J228" s="587"/>
      <c r="K228" s="516"/>
      <c r="L228" s="516"/>
      <c r="M228" s="596"/>
      <c r="N228" s="587"/>
      <c r="O228" s="587"/>
      <c r="P228" s="587"/>
    </row>
    <row r="229" spans="1:16" s="660" customFormat="1" ht="0" hidden="1" customHeight="1" x14ac:dyDescent="0.25">
      <c r="A229" s="587"/>
      <c r="B229" s="587"/>
      <c r="C229" s="595"/>
      <c r="D229" s="595"/>
      <c r="E229" s="588"/>
      <c r="F229" s="587"/>
      <c r="G229" s="595"/>
      <c r="H229" s="587"/>
      <c r="I229" s="587"/>
      <c r="J229" s="587"/>
      <c r="K229" s="516"/>
      <c r="L229" s="516"/>
      <c r="M229" s="596"/>
      <c r="N229" s="587"/>
      <c r="O229" s="587"/>
      <c r="P229" s="587"/>
    </row>
    <row r="230" spans="1:16" s="660" customFormat="1" ht="0" hidden="1" customHeight="1" x14ac:dyDescent="0.25">
      <c r="A230" s="587"/>
      <c r="B230" s="587"/>
      <c r="C230" s="595"/>
      <c r="D230" s="595"/>
      <c r="E230" s="588"/>
      <c r="F230" s="587"/>
      <c r="G230" s="595"/>
      <c r="H230" s="587"/>
      <c r="I230" s="587"/>
      <c r="J230" s="587"/>
      <c r="K230" s="516"/>
      <c r="L230" s="516"/>
      <c r="M230" s="596"/>
      <c r="N230" s="587"/>
      <c r="O230" s="587"/>
      <c r="P230" s="587"/>
    </row>
    <row r="231" spans="1:16" s="660" customFormat="1" ht="0" hidden="1" customHeight="1" x14ac:dyDescent="0.25">
      <c r="A231" s="587"/>
      <c r="B231" s="587"/>
      <c r="C231" s="595"/>
      <c r="D231" s="595"/>
      <c r="E231" s="588"/>
      <c r="F231" s="587"/>
      <c r="G231" s="595"/>
      <c r="H231" s="587"/>
      <c r="I231" s="587"/>
      <c r="J231" s="587"/>
      <c r="K231" s="516"/>
      <c r="L231" s="516"/>
      <c r="M231" s="596"/>
      <c r="N231" s="587"/>
      <c r="O231" s="587"/>
      <c r="P231" s="587"/>
    </row>
    <row r="232" spans="1:16" s="660" customFormat="1" ht="0" hidden="1" customHeight="1" x14ac:dyDescent="0.25">
      <c r="A232" s="587"/>
      <c r="B232" s="587"/>
      <c r="C232" s="595"/>
      <c r="D232" s="595"/>
      <c r="E232" s="588"/>
      <c r="F232" s="587"/>
      <c r="G232" s="595"/>
      <c r="H232" s="587"/>
      <c r="I232" s="587"/>
      <c r="J232" s="587"/>
      <c r="K232" s="516"/>
      <c r="L232" s="516"/>
      <c r="M232" s="596"/>
      <c r="N232" s="587"/>
      <c r="O232" s="587"/>
      <c r="P232" s="587"/>
    </row>
    <row r="233" spans="1:16" s="660" customFormat="1" ht="0" hidden="1" customHeight="1" x14ac:dyDescent="0.25">
      <c r="A233" s="587"/>
      <c r="B233" s="587"/>
      <c r="C233" s="595"/>
      <c r="D233" s="595"/>
      <c r="E233" s="588"/>
      <c r="F233" s="587"/>
      <c r="G233" s="595"/>
      <c r="H233" s="587"/>
      <c r="I233" s="587"/>
      <c r="J233" s="587"/>
      <c r="K233" s="516"/>
      <c r="L233" s="516"/>
      <c r="M233" s="596"/>
      <c r="N233" s="587"/>
      <c r="O233" s="587"/>
      <c r="P233" s="587"/>
    </row>
    <row r="234" spans="1:16" s="660" customFormat="1" ht="0" hidden="1" customHeight="1" x14ac:dyDescent="0.25">
      <c r="A234" s="587"/>
      <c r="B234" s="587"/>
      <c r="C234" s="595"/>
      <c r="D234" s="595"/>
      <c r="E234" s="588"/>
      <c r="F234" s="587"/>
      <c r="G234" s="595"/>
      <c r="H234" s="587"/>
      <c r="I234" s="587"/>
      <c r="J234" s="587"/>
      <c r="K234" s="516"/>
      <c r="L234" s="516"/>
      <c r="M234" s="596"/>
      <c r="N234" s="587"/>
      <c r="O234" s="587"/>
      <c r="P234" s="587"/>
    </row>
    <row r="235" spans="1:16" s="660" customFormat="1" ht="0" hidden="1" customHeight="1" x14ac:dyDescent="0.25">
      <c r="A235" s="587"/>
      <c r="B235" s="587"/>
      <c r="C235" s="595"/>
      <c r="D235" s="595"/>
      <c r="E235" s="588"/>
      <c r="F235" s="587"/>
      <c r="G235" s="595"/>
      <c r="H235" s="587"/>
      <c r="I235" s="587"/>
      <c r="J235" s="587"/>
      <c r="K235" s="516"/>
      <c r="L235" s="516"/>
      <c r="M235" s="596"/>
      <c r="N235" s="587"/>
      <c r="O235" s="587"/>
      <c r="P235" s="587"/>
    </row>
    <row r="236" spans="1:16" s="660" customFormat="1" ht="0" hidden="1" customHeight="1" x14ac:dyDescent="0.25">
      <c r="A236" s="587"/>
      <c r="B236" s="587"/>
      <c r="C236" s="595"/>
      <c r="D236" s="595"/>
      <c r="E236" s="588"/>
      <c r="F236" s="587"/>
      <c r="G236" s="595"/>
      <c r="H236" s="587"/>
      <c r="I236" s="587"/>
      <c r="J236" s="587"/>
      <c r="K236" s="516"/>
      <c r="L236" s="516"/>
      <c r="M236" s="596"/>
      <c r="N236" s="587"/>
      <c r="O236" s="587"/>
      <c r="P236" s="587"/>
    </row>
    <row r="237" spans="1:16" s="660" customFormat="1" ht="0" hidden="1" customHeight="1" x14ac:dyDescent="0.25">
      <c r="A237" s="587"/>
      <c r="B237" s="587"/>
      <c r="C237" s="595"/>
      <c r="D237" s="595"/>
      <c r="E237" s="588"/>
      <c r="F237" s="587"/>
      <c r="G237" s="595"/>
      <c r="H237" s="587"/>
      <c r="I237" s="587"/>
      <c r="J237" s="587"/>
      <c r="K237" s="516"/>
      <c r="L237" s="516"/>
      <c r="M237" s="596"/>
      <c r="N237" s="587"/>
      <c r="O237" s="587"/>
      <c r="P237" s="587"/>
    </row>
    <row r="238" spans="1:16" s="660" customFormat="1" ht="0" hidden="1" customHeight="1" x14ac:dyDescent="0.25">
      <c r="A238" s="587"/>
      <c r="B238" s="587"/>
      <c r="C238" s="595"/>
      <c r="D238" s="595"/>
      <c r="E238" s="588"/>
      <c r="F238" s="587"/>
      <c r="G238" s="595"/>
      <c r="H238" s="587"/>
      <c r="I238" s="587"/>
      <c r="J238" s="587"/>
      <c r="K238" s="516"/>
      <c r="L238" s="516"/>
      <c r="M238" s="596"/>
      <c r="N238" s="587"/>
      <c r="O238" s="587"/>
      <c r="P238" s="587"/>
    </row>
    <row r="239" spans="1:16" s="660" customFormat="1" ht="0" hidden="1" customHeight="1" x14ac:dyDescent="0.25">
      <c r="A239" s="587"/>
      <c r="B239" s="587"/>
      <c r="C239" s="595"/>
      <c r="D239" s="595"/>
      <c r="E239" s="588"/>
      <c r="F239" s="587"/>
      <c r="G239" s="595"/>
      <c r="H239" s="587"/>
      <c r="I239" s="587"/>
      <c r="J239" s="587"/>
      <c r="K239" s="516"/>
      <c r="L239" s="516"/>
      <c r="M239" s="596"/>
      <c r="N239" s="587"/>
      <c r="O239" s="587"/>
      <c r="P239" s="587"/>
    </row>
    <row r="240" spans="1:16" s="660" customFormat="1" ht="0" hidden="1" customHeight="1" x14ac:dyDescent="0.25">
      <c r="A240" s="587"/>
      <c r="B240" s="587"/>
      <c r="C240" s="595"/>
      <c r="D240" s="595"/>
      <c r="E240" s="588"/>
      <c r="F240" s="587"/>
      <c r="G240" s="595"/>
      <c r="H240" s="587"/>
      <c r="I240" s="587"/>
      <c r="J240" s="587"/>
      <c r="K240" s="516"/>
      <c r="L240" s="516"/>
      <c r="M240" s="596"/>
      <c r="N240" s="587"/>
      <c r="O240" s="587"/>
      <c r="P240" s="587"/>
    </row>
    <row r="241" spans="1:16" s="660" customFormat="1" ht="0" hidden="1" customHeight="1" x14ac:dyDescent="0.25">
      <c r="A241" s="587"/>
      <c r="B241" s="587"/>
      <c r="C241" s="595"/>
      <c r="D241" s="595"/>
      <c r="E241" s="588"/>
      <c r="F241" s="587"/>
      <c r="G241" s="595"/>
      <c r="H241" s="587"/>
      <c r="I241" s="587"/>
      <c r="J241" s="587"/>
      <c r="K241" s="516"/>
      <c r="L241" s="516"/>
      <c r="M241" s="596"/>
      <c r="N241" s="587"/>
      <c r="O241" s="587"/>
      <c r="P241" s="587"/>
    </row>
    <row r="242" spans="1:16" s="660" customFormat="1" ht="0" hidden="1" customHeight="1" x14ac:dyDescent="0.25">
      <c r="A242" s="587"/>
      <c r="B242" s="587"/>
      <c r="C242" s="595"/>
      <c r="D242" s="595"/>
      <c r="E242" s="588"/>
      <c r="F242" s="587"/>
      <c r="G242" s="595"/>
      <c r="H242" s="587"/>
      <c r="I242" s="587"/>
      <c r="J242" s="587"/>
      <c r="K242" s="516"/>
      <c r="L242" s="516"/>
      <c r="M242" s="596"/>
      <c r="N242" s="587"/>
      <c r="O242" s="587"/>
      <c r="P242" s="587"/>
    </row>
    <row r="243" spans="1:16" s="660" customFormat="1" ht="0" hidden="1" customHeight="1" x14ac:dyDescent="0.25">
      <c r="A243" s="587"/>
      <c r="B243" s="587"/>
      <c r="C243" s="595"/>
      <c r="D243" s="595"/>
      <c r="E243" s="588"/>
      <c r="F243" s="587"/>
      <c r="G243" s="595"/>
      <c r="H243" s="587"/>
      <c r="I243" s="587"/>
      <c r="J243" s="587"/>
      <c r="K243" s="516"/>
      <c r="L243" s="516"/>
      <c r="M243" s="596"/>
      <c r="N243" s="587"/>
      <c r="O243" s="587"/>
      <c r="P243" s="587"/>
    </row>
    <row r="244" spans="1:16" s="660" customFormat="1" ht="0" hidden="1" customHeight="1" x14ac:dyDescent="0.25">
      <c r="A244" s="587"/>
      <c r="B244" s="587"/>
      <c r="C244" s="595"/>
      <c r="D244" s="595"/>
      <c r="E244" s="588"/>
      <c r="F244" s="587"/>
      <c r="G244" s="595"/>
      <c r="H244" s="587"/>
      <c r="I244" s="587"/>
      <c r="J244" s="587"/>
      <c r="K244" s="516"/>
      <c r="L244" s="516"/>
      <c r="M244" s="596"/>
      <c r="N244" s="587"/>
      <c r="O244" s="587"/>
      <c r="P244" s="587"/>
    </row>
    <row r="245" spans="1:16" s="660" customFormat="1" ht="0" hidden="1" customHeight="1" x14ac:dyDescent="0.25">
      <c r="A245" s="587"/>
      <c r="B245" s="587"/>
      <c r="C245" s="595"/>
      <c r="D245" s="595"/>
      <c r="E245" s="588"/>
      <c r="F245" s="587"/>
      <c r="G245" s="595"/>
      <c r="H245" s="587"/>
      <c r="I245" s="587"/>
      <c r="J245" s="587"/>
      <c r="K245" s="516"/>
      <c r="L245" s="516"/>
      <c r="M245" s="596"/>
      <c r="N245" s="587"/>
      <c r="O245" s="587"/>
      <c r="P245" s="587"/>
    </row>
    <row r="246" spans="1:16" s="660" customFormat="1" ht="0" hidden="1" customHeight="1" x14ac:dyDescent="0.25">
      <c r="A246" s="587"/>
      <c r="B246" s="587"/>
      <c r="C246" s="595"/>
      <c r="D246" s="595"/>
      <c r="E246" s="588"/>
      <c r="F246" s="587"/>
      <c r="G246" s="595"/>
      <c r="H246" s="587"/>
      <c r="I246" s="587"/>
      <c r="J246" s="587"/>
      <c r="K246" s="516"/>
      <c r="L246" s="516"/>
      <c r="M246" s="596"/>
      <c r="N246" s="587"/>
      <c r="O246" s="587"/>
      <c r="P246" s="587"/>
    </row>
    <row r="247" spans="1:16" s="660" customFormat="1" ht="0" hidden="1" customHeight="1" x14ac:dyDescent="0.25">
      <c r="A247" s="587"/>
      <c r="B247" s="587"/>
      <c r="C247" s="595"/>
      <c r="D247" s="595"/>
      <c r="E247" s="588"/>
      <c r="F247" s="587"/>
      <c r="G247" s="595"/>
      <c r="H247" s="587"/>
      <c r="I247" s="587"/>
      <c r="J247" s="587"/>
      <c r="K247" s="516"/>
      <c r="L247" s="516"/>
      <c r="M247" s="596"/>
      <c r="N247" s="587"/>
      <c r="O247" s="587"/>
      <c r="P247" s="587"/>
    </row>
    <row r="248" spans="1:16" s="660" customFormat="1" ht="0" hidden="1" customHeight="1" x14ac:dyDescent="0.25">
      <c r="A248" s="587"/>
      <c r="B248" s="587"/>
      <c r="C248" s="595"/>
      <c r="D248" s="595"/>
      <c r="E248" s="588"/>
      <c r="F248" s="587"/>
      <c r="G248" s="595"/>
      <c r="H248" s="587"/>
      <c r="I248" s="587"/>
      <c r="J248" s="587"/>
      <c r="K248" s="516"/>
      <c r="L248" s="516"/>
      <c r="M248" s="596"/>
      <c r="N248" s="587"/>
      <c r="O248" s="587"/>
      <c r="P248" s="587"/>
    </row>
    <row r="249" spans="1:16" s="660" customFormat="1" ht="0" hidden="1" customHeight="1" x14ac:dyDescent="0.25">
      <c r="A249" s="587"/>
      <c r="B249" s="587"/>
      <c r="C249" s="595"/>
      <c r="D249" s="595"/>
      <c r="E249" s="588"/>
      <c r="F249" s="587"/>
      <c r="G249" s="595"/>
      <c r="H249" s="587"/>
      <c r="I249" s="587"/>
      <c r="J249" s="587"/>
      <c r="K249" s="516"/>
      <c r="L249" s="516"/>
      <c r="M249" s="596"/>
      <c r="N249" s="587"/>
      <c r="O249" s="587"/>
      <c r="P249" s="587"/>
    </row>
  </sheetData>
  <sheetProtection algorithmName="SHA-512" hashValue="FE40hTUAJK7CIlX3RfHbx83/He4z1ydmjXQ5gn+m1a0Kpg5POzUDCi4MESyvS0aoVlQJCdV+MHAlQFdKp9/zsA==" saltValue="fxgzUqXK/2sESpzoNxFBmg==" spinCount="100000" sheet="1" formatRows="0"/>
  <mergeCells count="1">
    <mergeCell ref="A3:B3"/>
  </mergeCells>
  <conditionalFormatting sqref="H89 K89:L89 O89">
    <cfRule type="cellIs" dxfId="0" priority="1" operator="lessThan">
      <formula>0</formula>
    </cfRule>
  </conditionalFormatting>
  <dataValidations count="6">
    <dataValidation allowBlank="1" showInputMessage="1" showErrorMessage="1" prompt="bei Zutreffen &quot;X&quot; oder &quot;ja&quot; eingeben" sqref="WVE983045:WVE983087 IS5:IS47 SO5:SO47 ACK5:ACK47 AMG5:AMG47 AWC5:AWC47 BFY5:BFY47 BPU5:BPU47 BZQ5:BZQ47 CJM5:CJM47 CTI5:CTI47 DDE5:DDE47 DNA5:DNA47 DWW5:DWW47 EGS5:EGS47 EQO5:EQO47 FAK5:FAK47 FKG5:FKG47 FUC5:FUC47 GDY5:GDY47 GNU5:GNU47 GXQ5:GXQ47 HHM5:HHM47 HRI5:HRI47 IBE5:IBE47 ILA5:ILA47 IUW5:IUW47 JES5:JES47 JOO5:JOO47 JYK5:JYK47 KIG5:KIG47 KSC5:KSC47 LBY5:LBY47 LLU5:LLU47 LVQ5:LVQ47 MFM5:MFM47 MPI5:MPI47 MZE5:MZE47 NJA5:NJA47 NSW5:NSW47 OCS5:OCS47 OMO5:OMO47 OWK5:OWK47 PGG5:PGG47 PQC5:PQC47 PZY5:PZY47 QJU5:QJU47 QTQ5:QTQ47 RDM5:RDM47 RNI5:RNI47 RXE5:RXE47 SHA5:SHA47 SQW5:SQW47 TAS5:TAS47 TKO5:TKO47 TUK5:TUK47 UEG5:UEG47 UOC5:UOC47 UXY5:UXY47 VHU5:VHU47 VRQ5:VRQ47 WBM5:WBM47 WLI5:WLI47 WVE5:WVE47 O65541:O65583 IS65541:IS65583 SO65541:SO65583 ACK65541:ACK65583 AMG65541:AMG65583 AWC65541:AWC65583 BFY65541:BFY65583 BPU65541:BPU65583 BZQ65541:BZQ65583 CJM65541:CJM65583 CTI65541:CTI65583 DDE65541:DDE65583 DNA65541:DNA65583 DWW65541:DWW65583 EGS65541:EGS65583 EQO65541:EQO65583 FAK65541:FAK65583 FKG65541:FKG65583 FUC65541:FUC65583 GDY65541:GDY65583 GNU65541:GNU65583 GXQ65541:GXQ65583 HHM65541:HHM65583 HRI65541:HRI65583 IBE65541:IBE65583 ILA65541:ILA65583 IUW65541:IUW65583 JES65541:JES65583 JOO65541:JOO65583 JYK65541:JYK65583 KIG65541:KIG65583 KSC65541:KSC65583 LBY65541:LBY65583 LLU65541:LLU65583 LVQ65541:LVQ65583 MFM65541:MFM65583 MPI65541:MPI65583 MZE65541:MZE65583 NJA65541:NJA65583 NSW65541:NSW65583 OCS65541:OCS65583 OMO65541:OMO65583 OWK65541:OWK65583 PGG65541:PGG65583 PQC65541:PQC65583 PZY65541:PZY65583 QJU65541:QJU65583 QTQ65541:QTQ65583 RDM65541:RDM65583 RNI65541:RNI65583 RXE65541:RXE65583 SHA65541:SHA65583 SQW65541:SQW65583 TAS65541:TAS65583 TKO65541:TKO65583 TUK65541:TUK65583 UEG65541:UEG65583 UOC65541:UOC65583 UXY65541:UXY65583 VHU65541:VHU65583 VRQ65541:VRQ65583 WBM65541:WBM65583 WLI65541:WLI65583 WVE65541:WVE65583 O131077:O131119 IS131077:IS131119 SO131077:SO131119 ACK131077:ACK131119 AMG131077:AMG131119 AWC131077:AWC131119 BFY131077:BFY131119 BPU131077:BPU131119 BZQ131077:BZQ131119 CJM131077:CJM131119 CTI131077:CTI131119 DDE131077:DDE131119 DNA131077:DNA131119 DWW131077:DWW131119 EGS131077:EGS131119 EQO131077:EQO131119 FAK131077:FAK131119 FKG131077:FKG131119 FUC131077:FUC131119 GDY131077:GDY131119 GNU131077:GNU131119 GXQ131077:GXQ131119 HHM131077:HHM131119 HRI131077:HRI131119 IBE131077:IBE131119 ILA131077:ILA131119 IUW131077:IUW131119 JES131077:JES131119 JOO131077:JOO131119 JYK131077:JYK131119 KIG131077:KIG131119 KSC131077:KSC131119 LBY131077:LBY131119 LLU131077:LLU131119 LVQ131077:LVQ131119 MFM131077:MFM131119 MPI131077:MPI131119 MZE131077:MZE131119 NJA131077:NJA131119 NSW131077:NSW131119 OCS131077:OCS131119 OMO131077:OMO131119 OWK131077:OWK131119 PGG131077:PGG131119 PQC131077:PQC131119 PZY131077:PZY131119 QJU131077:QJU131119 QTQ131077:QTQ131119 RDM131077:RDM131119 RNI131077:RNI131119 RXE131077:RXE131119 SHA131077:SHA131119 SQW131077:SQW131119 TAS131077:TAS131119 TKO131077:TKO131119 TUK131077:TUK131119 UEG131077:UEG131119 UOC131077:UOC131119 UXY131077:UXY131119 VHU131077:VHU131119 VRQ131077:VRQ131119 WBM131077:WBM131119 WLI131077:WLI131119 WVE131077:WVE131119 O196613:O196655 IS196613:IS196655 SO196613:SO196655 ACK196613:ACK196655 AMG196613:AMG196655 AWC196613:AWC196655 BFY196613:BFY196655 BPU196613:BPU196655 BZQ196613:BZQ196655 CJM196613:CJM196655 CTI196613:CTI196655 DDE196613:DDE196655 DNA196613:DNA196655 DWW196613:DWW196655 EGS196613:EGS196655 EQO196613:EQO196655 FAK196613:FAK196655 FKG196613:FKG196655 FUC196613:FUC196655 GDY196613:GDY196655 GNU196613:GNU196655 GXQ196613:GXQ196655 HHM196613:HHM196655 HRI196613:HRI196655 IBE196613:IBE196655 ILA196613:ILA196655 IUW196613:IUW196655 JES196613:JES196655 JOO196613:JOO196655 JYK196613:JYK196655 KIG196613:KIG196655 KSC196613:KSC196655 LBY196613:LBY196655 LLU196613:LLU196655 LVQ196613:LVQ196655 MFM196613:MFM196655 MPI196613:MPI196655 MZE196613:MZE196655 NJA196613:NJA196655 NSW196613:NSW196655 OCS196613:OCS196655 OMO196613:OMO196655 OWK196613:OWK196655 PGG196613:PGG196655 PQC196613:PQC196655 PZY196613:PZY196655 QJU196613:QJU196655 QTQ196613:QTQ196655 RDM196613:RDM196655 RNI196613:RNI196655 RXE196613:RXE196655 SHA196613:SHA196655 SQW196613:SQW196655 TAS196613:TAS196655 TKO196613:TKO196655 TUK196613:TUK196655 UEG196613:UEG196655 UOC196613:UOC196655 UXY196613:UXY196655 VHU196613:VHU196655 VRQ196613:VRQ196655 WBM196613:WBM196655 WLI196613:WLI196655 WVE196613:WVE196655 O262149:O262191 IS262149:IS262191 SO262149:SO262191 ACK262149:ACK262191 AMG262149:AMG262191 AWC262149:AWC262191 BFY262149:BFY262191 BPU262149:BPU262191 BZQ262149:BZQ262191 CJM262149:CJM262191 CTI262149:CTI262191 DDE262149:DDE262191 DNA262149:DNA262191 DWW262149:DWW262191 EGS262149:EGS262191 EQO262149:EQO262191 FAK262149:FAK262191 FKG262149:FKG262191 FUC262149:FUC262191 GDY262149:GDY262191 GNU262149:GNU262191 GXQ262149:GXQ262191 HHM262149:HHM262191 HRI262149:HRI262191 IBE262149:IBE262191 ILA262149:ILA262191 IUW262149:IUW262191 JES262149:JES262191 JOO262149:JOO262191 JYK262149:JYK262191 KIG262149:KIG262191 KSC262149:KSC262191 LBY262149:LBY262191 LLU262149:LLU262191 LVQ262149:LVQ262191 MFM262149:MFM262191 MPI262149:MPI262191 MZE262149:MZE262191 NJA262149:NJA262191 NSW262149:NSW262191 OCS262149:OCS262191 OMO262149:OMO262191 OWK262149:OWK262191 PGG262149:PGG262191 PQC262149:PQC262191 PZY262149:PZY262191 QJU262149:QJU262191 QTQ262149:QTQ262191 RDM262149:RDM262191 RNI262149:RNI262191 RXE262149:RXE262191 SHA262149:SHA262191 SQW262149:SQW262191 TAS262149:TAS262191 TKO262149:TKO262191 TUK262149:TUK262191 UEG262149:UEG262191 UOC262149:UOC262191 UXY262149:UXY262191 VHU262149:VHU262191 VRQ262149:VRQ262191 WBM262149:WBM262191 WLI262149:WLI262191 WVE262149:WVE262191 O327685:O327727 IS327685:IS327727 SO327685:SO327727 ACK327685:ACK327727 AMG327685:AMG327727 AWC327685:AWC327727 BFY327685:BFY327727 BPU327685:BPU327727 BZQ327685:BZQ327727 CJM327685:CJM327727 CTI327685:CTI327727 DDE327685:DDE327727 DNA327685:DNA327727 DWW327685:DWW327727 EGS327685:EGS327727 EQO327685:EQO327727 FAK327685:FAK327727 FKG327685:FKG327727 FUC327685:FUC327727 GDY327685:GDY327727 GNU327685:GNU327727 GXQ327685:GXQ327727 HHM327685:HHM327727 HRI327685:HRI327727 IBE327685:IBE327727 ILA327685:ILA327727 IUW327685:IUW327727 JES327685:JES327727 JOO327685:JOO327727 JYK327685:JYK327727 KIG327685:KIG327727 KSC327685:KSC327727 LBY327685:LBY327727 LLU327685:LLU327727 LVQ327685:LVQ327727 MFM327685:MFM327727 MPI327685:MPI327727 MZE327685:MZE327727 NJA327685:NJA327727 NSW327685:NSW327727 OCS327685:OCS327727 OMO327685:OMO327727 OWK327685:OWK327727 PGG327685:PGG327727 PQC327685:PQC327727 PZY327685:PZY327727 QJU327685:QJU327727 QTQ327685:QTQ327727 RDM327685:RDM327727 RNI327685:RNI327727 RXE327685:RXE327727 SHA327685:SHA327727 SQW327685:SQW327727 TAS327685:TAS327727 TKO327685:TKO327727 TUK327685:TUK327727 UEG327685:UEG327727 UOC327685:UOC327727 UXY327685:UXY327727 VHU327685:VHU327727 VRQ327685:VRQ327727 WBM327685:WBM327727 WLI327685:WLI327727 WVE327685:WVE327727 O393221:O393263 IS393221:IS393263 SO393221:SO393263 ACK393221:ACK393263 AMG393221:AMG393263 AWC393221:AWC393263 BFY393221:BFY393263 BPU393221:BPU393263 BZQ393221:BZQ393263 CJM393221:CJM393263 CTI393221:CTI393263 DDE393221:DDE393263 DNA393221:DNA393263 DWW393221:DWW393263 EGS393221:EGS393263 EQO393221:EQO393263 FAK393221:FAK393263 FKG393221:FKG393263 FUC393221:FUC393263 GDY393221:GDY393263 GNU393221:GNU393263 GXQ393221:GXQ393263 HHM393221:HHM393263 HRI393221:HRI393263 IBE393221:IBE393263 ILA393221:ILA393263 IUW393221:IUW393263 JES393221:JES393263 JOO393221:JOO393263 JYK393221:JYK393263 KIG393221:KIG393263 KSC393221:KSC393263 LBY393221:LBY393263 LLU393221:LLU393263 LVQ393221:LVQ393263 MFM393221:MFM393263 MPI393221:MPI393263 MZE393221:MZE393263 NJA393221:NJA393263 NSW393221:NSW393263 OCS393221:OCS393263 OMO393221:OMO393263 OWK393221:OWK393263 PGG393221:PGG393263 PQC393221:PQC393263 PZY393221:PZY393263 QJU393221:QJU393263 QTQ393221:QTQ393263 RDM393221:RDM393263 RNI393221:RNI393263 RXE393221:RXE393263 SHA393221:SHA393263 SQW393221:SQW393263 TAS393221:TAS393263 TKO393221:TKO393263 TUK393221:TUK393263 UEG393221:UEG393263 UOC393221:UOC393263 UXY393221:UXY393263 VHU393221:VHU393263 VRQ393221:VRQ393263 WBM393221:WBM393263 WLI393221:WLI393263 WVE393221:WVE393263 O458757:O458799 IS458757:IS458799 SO458757:SO458799 ACK458757:ACK458799 AMG458757:AMG458799 AWC458757:AWC458799 BFY458757:BFY458799 BPU458757:BPU458799 BZQ458757:BZQ458799 CJM458757:CJM458799 CTI458757:CTI458799 DDE458757:DDE458799 DNA458757:DNA458799 DWW458757:DWW458799 EGS458757:EGS458799 EQO458757:EQO458799 FAK458757:FAK458799 FKG458757:FKG458799 FUC458757:FUC458799 GDY458757:GDY458799 GNU458757:GNU458799 GXQ458757:GXQ458799 HHM458757:HHM458799 HRI458757:HRI458799 IBE458757:IBE458799 ILA458757:ILA458799 IUW458757:IUW458799 JES458757:JES458799 JOO458757:JOO458799 JYK458757:JYK458799 KIG458757:KIG458799 KSC458757:KSC458799 LBY458757:LBY458799 LLU458757:LLU458799 LVQ458757:LVQ458799 MFM458757:MFM458799 MPI458757:MPI458799 MZE458757:MZE458799 NJA458757:NJA458799 NSW458757:NSW458799 OCS458757:OCS458799 OMO458757:OMO458799 OWK458757:OWK458799 PGG458757:PGG458799 PQC458757:PQC458799 PZY458757:PZY458799 QJU458757:QJU458799 QTQ458757:QTQ458799 RDM458757:RDM458799 RNI458757:RNI458799 RXE458757:RXE458799 SHA458757:SHA458799 SQW458757:SQW458799 TAS458757:TAS458799 TKO458757:TKO458799 TUK458757:TUK458799 UEG458757:UEG458799 UOC458757:UOC458799 UXY458757:UXY458799 VHU458757:VHU458799 VRQ458757:VRQ458799 WBM458757:WBM458799 WLI458757:WLI458799 WVE458757:WVE458799 O524293:O524335 IS524293:IS524335 SO524293:SO524335 ACK524293:ACK524335 AMG524293:AMG524335 AWC524293:AWC524335 BFY524293:BFY524335 BPU524293:BPU524335 BZQ524293:BZQ524335 CJM524293:CJM524335 CTI524293:CTI524335 DDE524293:DDE524335 DNA524293:DNA524335 DWW524293:DWW524335 EGS524293:EGS524335 EQO524293:EQO524335 FAK524293:FAK524335 FKG524293:FKG524335 FUC524293:FUC524335 GDY524293:GDY524335 GNU524293:GNU524335 GXQ524293:GXQ524335 HHM524293:HHM524335 HRI524293:HRI524335 IBE524293:IBE524335 ILA524293:ILA524335 IUW524293:IUW524335 JES524293:JES524335 JOO524293:JOO524335 JYK524293:JYK524335 KIG524293:KIG524335 KSC524293:KSC524335 LBY524293:LBY524335 LLU524293:LLU524335 LVQ524293:LVQ524335 MFM524293:MFM524335 MPI524293:MPI524335 MZE524293:MZE524335 NJA524293:NJA524335 NSW524293:NSW524335 OCS524293:OCS524335 OMO524293:OMO524335 OWK524293:OWK524335 PGG524293:PGG524335 PQC524293:PQC524335 PZY524293:PZY524335 QJU524293:QJU524335 QTQ524293:QTQ524335 RDM524293:RDM524335 RNI524293:RNI524335 RXE524293:RXE524335 SHA524293:SHA524335 SQW524293:SQW524335 TAS524293:TAS524335 TKO524293:TKO524335 TUK524293:TUK524335 UEG524293:UEG524335 UOC524293:UOC524335 UXY524293:UXY524335 VHU524293:VHU524335 VRQ524293:VRQ524335 WBM524293:WBM524335 WLI524293:WLI524335 WVE524293:WVE524335 O589829:O589871 IS589829:IS589871 SO589829:SO589871 ACK589829:ACK589871 AMG589829:AMG589871 AWC589829:AWC589871 BFY589829:BFY589871 BPU589829:BPU589871 BZQ589829:BZQ589871 CJM589829:CJM589871 CTI589829:CTI589871 DDE589829:DDE589871 DNA589829:DNA589871 DWW589829:DWW589871 EGS589829:EGS589871 EQO589829:EQO589871 FAK589829:FAK589871 FKG589829:FKG589871 FUC589829:FUC589871 GDY589829:GDY589871 GNU589829:GNU589871 GXQ589829:GXQ589871 HHM589829:HHM589871 HRI589829:HRI589871 IBE589829:IBE589871 ILA589829:ILA589871 IUW589829:IUW589871 JES589829:JES589871 JOO589829:JOO589871 JYK589829:JYK589871 KIG589829:KIG589871 KSC589829:KSC589871 LBY589829:LBY589871 LLU589829:LLU589871 LVQ589829:LVQ589871 MFM589829:MFM589871 MPI589829:MPI589871 MZE589829:MZE589871 NJA589829:NJA589871 NSW589829:NSW589871 OCS589829:OCS589871 OMO589829:OMO589871 OWK589829:OWK589871 PGG589829:PGG589871 PQC589829:PQC589871 PZY589829:PZY589871 QJU589829:QJU589871 QTQ589829:QTQ589871 RDM589829:RDM589871 RNI589829:RNI589871 RXE589829:RXE589871 SHA589829:SHA589871 SQW589829:SQW589871 TAS589829:TAS589871 TKO589829:TKO589871 TUK589829:TUK589871 UEG589829:UEG589871 UOC589829:UOC589871 UXY589829:UXY589871 VHU589829:VHU589871 VRQ589829:VRQ589871 WBM589829:WBM589871 WLI589829:WLI589871 WVE589829:WVE589871 O655365:O655407 IS655365:IS655407 SO655365:SO655407 ACK655365:ACK655407 AMG655365:AMG655407 AWC655365:AWC655407 BFY655365:BFY655407 BPU655365:BPU655407 BZQ655365:BZQ655407 CJM655365:CJM655407 CTI655365:CTI655407 DDE655365:DDE655407 DNA655365:DNA655407 DWW655365:DWW655407 EGS655365:EGS655407 EQO655365:EQO655407 FAK655365:FAK655407 FKG655365:FKG655407 FUC655365:FUC655407 GDY655365:GDY655407 GNU655365:GNU655407 GXQ655365:GXQ655407 HHM655365:HHM655407 HRI655365:HRI655407 IBE655365:IBE655407 ILA655365:ILA655407 IUW655365:IUW655407 JES655365:JES655407 JOO655365:JOO655407 JYK655365:JYK655407 KIG655365:KIG655407 KSC655365:KSC655407 LBY655365:LBY655407 LLU655365:LLU655407 LVQ655365:LVQ655407 MFM655365:MFM655407 MPI655365:MPI655407 MZE655365:MZE655407 NJA655365:NJA655407 NSW655365:NSW655407 OCS655365:OCS655407 OMO655365:OMO655407 OWK655365:OWK655407 PGG655365:PGG655407 PQC655365:PQC655407 PZY655365:PZY655407 QJU655365:QJU655407 QTQ655365:QTQ655407 RDM655365:RDM655407 RNI655365:RNI655407 RXE655365:RXE655407 SHA655365:SHA655407 SQW655365:SQW655407 TAS655365:TAS655407 TKO655365:TKO655407 TUK655365:TUK655407 UEG655365:UEG655407 UOC655365:UOC655407 UXY655365:UXY655407 VHU655365:VHU655407 VRQ655365:VRQ655407 WBM655365:WBM655407 WLI655365:WLI655407 WVE655365:WVE655407 O720901:O720943 IS720901:IS720943 SO720901:SO720943 ACK720901:ACK720943 AMG720901:AMG720943 AWC720901:AWC720943 BFY720901:BFY720943 BPU720901:BPU720943 BZQ720901:BZQ720943 CJM720901:CJM720943 CTI720901:CTI720943 DDE720901:DDE720943 DNA720901:DNA720943 DWW720901:DWW720943 EGS720901:EGS720943 EQO720901:EQO720943 FAK720901:FAK720943 FKG720901:FKG720943 FUC720901:FUC720943 GDY720901:GDY720943 GNU720901:GNU720943 GXQ720901:GXQ720943 HHM720901:HHM720943 HRI720901:HRI720943 IBE720901:IBE720943 ILA720901:ILA720943 IUW720901:IUW720943 JES720901:JES720943 JOO720901:JOO720943 JYK720901:JYK720943 KIG720901:KIG720943 KSC720901:KSC720943 LBY720901:LBY720943 LLU720901:LLU720943 LVQ720901:LVQ720943 MFM720901:MFM720943 MPI720901:MPI720943 MZE720901:MZE720943 NJA720901:NJA720943 NSW720901:NSW720943 OCS720901:OCS720943 OMO720901:OMO720943 OWK720901:OWK720943 PGG720901:PGG720943 PQC720901:PQC720943 PZY720901:PZY720943 QJU720901:QJU720943 QTQ720901:QTQ720943 RDM720901:RDM720943 RNI720901:RNI720943 RXE720901:RXE720943 SHA720901:SHA720943 SQW720901:SQW720943 TAS720901:TAS720943 TKO720901:TKO720943 TUK720901:TUK720943 UEG720901:UEG720943 UOC720901:UOC720943 UXY720901:UXY720943 VHU720901:VHU720943 VRQ720901:VRQ720943 WBM720901:WBM720943 WLI720901:WLI720943 WVE720901:WVE720943 O786437:O786479 IS786437:IS786479 SO786437:SO786479 ACK786437:ACK786479 AMG786437:AMG786479 AWC786437:AWC786479 BFY786437:BFY786479 BPU786437:BPU786479 BZQ786437:BZQ786479 CJM786437:CJM786479 CTI786437:CTI786479 DDE786437:DDE786479 DNA786437:DNA786479 DWW786437:DWW786479 EGS786437:EGS786479 EQO786437:EQO786479 FAK786437:FAK786479 FKG786437:FKG786479 FUC786437:FUC786479 GDY786437:GDY786479 GNU786437:GNU786479 GXQ786437:GXQ786479 HHM786437:HHM786479 HRI786437:HRI786479 IBE786437:IBE786479 ILA786437:ILA786479 IUW786437:IUW786479 JES786437:JES786479 JOO786437:JOO786479 JYK786437:JYK786479 KIG786437:KIG786479 KSC786437:KSC786479 LBY786437:LBY786479 LLU786437:LLU786479 LVQ786437:LVQ786479 MFM786437:MFM786479 MPI786437:MPI786479 MZE786437:MZE786479 NJA786437:NJA786479 NSW786437:NSW786479 OCS786437:OCS786479 OMO786437:OMO786479 OWK786437:OWK786479 PGG786437:PGG786479 PQC786437:PQC786479 PZY786437:PZY786479 QJU786437:QJU786479 QTQ786437:QTQ786479 RDM786437:RDM786479 RNI786437:RNI786479 RXE786437:RXE786479 SHA786437:SHA786479 SQW786437:SQW786479 TAS786437:TAS786479 TKO786437:TKO786479 TUK786437:TUK786479 UEG786437:UEG786479 UOC786437:UOC786479 UXY786437:UXY786479 VHU786437:VHU786479 VRQ786437:VRQ786479 WBM786437:WBM786479 WLI786437:WLI786479 WVE786437:WVE786479 O851973:O852015 IS851973:IS852015 SO851973:SO852015 ACK851973:ACK852015 AMG851973:AMG852015 AWC851973:AWC852015 BFY851973:BFY852015 BPU851973:BPU852015 BZQ851973:BZQ852015 CJM851973:CJM852015 CTI851973:CTI852015 DDE851973:DDE852015 DNA851973:DNA852015 DWW851973:DWW852015 EGS851973:EGS852015 EQO851973:EQO852015 FAK851973:FAK852015 FKG851973:FKG852015 FUC851973:FUC852015 GDY851973:GDY852015 GNU851973:GNU852015 GXQ851973:GXQ852015 HHM851973:HHM852015 HRI851973:HRI852015 IBE851973:IBE852015 ILA851973:ILA852015 IUW851973:IUW852015 JES851973:JES852015 JOO851973:JOO852015 JYK851973:JYK852015 KIG851973:KIG852015 KSC851973:KSC852015 LBY851973:LBY852015 LLU851973:LLU852015 LVQ851973:LVQ852015 MFM851973:MFM852015 MPI851973:MPI852015 MZE851973:MZE852015 NJA851973:NJA852015 NSW851973:NSW852015 OCS851973:OCS852015 OMO851973:OMO852015 OWK851973:OWK852015 PGG851973:PGG852015 PQC851973:PQC852015 PZY851973:PZY852015 QJU851973:QJU852015 QTQ851973:QTQ852015 RDM851973:RDM852015 RNI851973:RNI852015 RXE851973:RXE852015 SHA851973:SHA852015 SQW851973:SQW852015 TAS851973:TAS852015 TKO851973:TKO852015 TUK851973:TUK852015 UEG851973:UEG852015 UOC851973:UOC852015 UXY851973:UXY852015 VHU851973:VHU852015 VRQ851973:VRQ852015 WBM851973:WBM852015 WLI851973:WLI852015 WVE851973:WVE852015 O917509:O917551 IS917509:IS917551 SO917509:SO917551 ACK917509:ACK917551 AMG917509:AMG917551 AWC917509:AWC917551 BFY917509:BFY917551 BPU917509:BPU917551 BZQ917509:BZQ917551 CJM917509:CJM917551 CTI917509:CTI917551 DDE917509:DDE917551 DNA917509:DNA917551 DWW917509:DWW917551 EGS917509:EGS917551 EQO917509:EQO917551 FAK917509:FAK917551 FKG917509:FKG917551 FUC917509:FUC917551 GDY917509:GDY917551 GNU917509:GNU917551 GXQ917509:GXQ917551 HHM917509:HHM917551 HRI917509:HRI917551 IBE917509:IBE917551 ILA917509:ILA917551 IUW917509:IUW917551 JES917509:JES917551 JOO917509:JOO917551 JYK917509:JYK917551 KIG917509:KIG917551 KSC917509:KSC917551 LBY917509:LBY917551 LLU917509:LLU917551 LVQ917509:LVQ917551 MFM917509:MFM917551 MPI917509:MPI917551 MZE917509:MZE917551 NJA917509:NJA917551 NSW917509:NSW917551 OCS917509:OCS917551 OMO917509:OMO917551 OWK917509:OWK917551 PGG917509:PGG917551 PQC917509:PQC917551 PZY917509:PZY917551 QJU917509:QJU917551 QTQ917509:QTQ917551 RDM917509:RDM917551 RNI917509:RNI917551 RXE917509:RXE917551 SHA917509:SHA917551 SQW917509:SQW917551 TAS917509:TAS917551 TKO917509:TKO917551 TUK917509:TUK917551 UEG917509:UEG917551 UOC917509:UOC917551 UXY917509:UXY917551 VHU917509:VHU917551 VRQ917509:VRQ917551 WBM917509:WBM917551 WLI917509:WLI917551 WVE917509:WVE917551 O983045:O983087 IS983045:IS983087 SO983045:SO983087 ACK983045:ACK983087 AMG983045:AMG983087 AWC983045:AWC983087 BFY983045:BFY983087 BPU983045:BPU983087 BZQ983045:BZQ983087 CJM983045:CJM983087 CTI983045:CTI983087 DDE983045:DDE983087 DNA983045:DNA983087 DWW983045:DWW983087 EGS983045:EGS983087 EQO983045:EQO983087 FAK983045:FAK983087 FKG983045:FKG983087 FUC983045:FUC983087 GDY983045:GDY983087 GNU983045:GNU983087 GXQ983045:GXQ983087 HHM983045:HHM983087 HRI983045:HRI983087 IBE983045:IBE983087 ILA983045:ILA983087 IUW983045:IUW983087 JES983045:JES983087 JOO983045:JOO983087 JYK983045:JYK983087 KIG983045:KIG983087 KSC983045:KSC983087 LBY983045:LBY983087 LLU983045:LLU983087 LVQ983045:LVQ983087 MFM983045:MFM983087 MPI983045:MPI983087 MZE983045:MZE983087 NJA983045:NJA983087 NSW983045:NSW983087 OCS983045:OCS983087 OMO983045:OMO983087 OWK983045:OWK983087 PGG983045:PGG983087 PQC983045:PQC983087 PZY983045:PZY983087 QJU983045:QJU983087 QTQ983045:QTQ983087 RDM983045:RDM983087 RNI983045:RNI983087 RXE983045:RXE983087 SHA983045:SHA983087 SQW983045:SQW983087 TAS983045:TAS983087 TKO983045:TKO983087 TUK983045:TUK983087 UEG983045:UEG983087 UOC983045:UOC983087 UXY983045:UXY983087 VHU983045:VHU983087 VRQ983045:VRQ983087 WBM983045:WBM983087 WLI983045:WLI983087"/>
    <dataValidation allowBlank="1" showInputMessage="1" showErrorMessage="1" prompt="bitte auch die Lehrpersonen OHNE aktive Dienstleistung anführen!" sqref="WUY983046:WUY983048 IM6:IM8 SI6:SI8 ACE6:ACE8 AMA6:AMA8 AVW6:AVW8 BFS6:BFS8 BPO6:BPO8 BZK6:BZK8 CJG6:CJG8 CTC6:CTC8 DCY6:DCY8 DMU6:DMU8 DWQ6:DWQ8 EGM6:EGM8 EQI6:EQI8 FAE6:FAE8 FKA6:FKA8 FTW6:FTW8 GDS6:GDS8 GNO6:GNO8 GXK6:GXK8 HHG6:HHG8 HRC6:HRC8 IAY6:IAY8 IKU6:IKU8 IUQ6:IUQ8 JEM6:JEM8 JOI6:JOI8 JYE6:JYE8 KIA6:KIA8 KRW6:KRW8 LBS6:LBS8 LLO6:LLO8 LVK6:LVK8 MFG6:MFG8 MPC6:MPC8 MYY6:MYY8 NIU6:NIU8 NSQ6:NSQ8 OCM6:OCM8 OMI6:OMI8 OWE6:OWE8 PGA6:PGA8 PPW6:PPW8 PZS6:PZS8 QJO6:QJO8 QTK6:QTK8 RDG6:RDG8 RNC6:RNC8 RWY6:RWY8 SGU6:SGU8 SQQ6:SQQ8 TAM6:TAM8 TKI6:TKI8 TUE6:TUE8 UEA6:UEA8 UNW6:UNW8 UXS6:UXS8 VHO6:VHO8 VRK6:VRK8 WBG6:WBG8 WLC6:WLC8 WUY6:WUY8 A65542:A65544 IM65542:IM65544 SI65542:SI65544 ACE65542:ACE65544 AMA65542:AMA65544 AVW65542:AVW65544 BFS65542:BFS65544 BPO65542:BPO65544 BZK65542:BZK65544 CJG65542:CJG65544 CTC65542:CTC65544 DCY65542:DCY65544 DMU65542:DMU65544 DWQ65542:DWQ65544 EGM65542:EGM65544 EQI65542:EQI65544 FAE65542:FAE65544 FKA65542:FKA65544 FTW65542:FTW65544 GDS65542:GDS65544 GNO65542:GNO65544 GXK65542:GXK65544 HHG65542:HHG65544 HRC65542:HRC65544 IAY65542:IAY65544 IKU65542:IKU65544 IUQ65542:IUQ65544 JEM65542:JEM65544 JOI65542:JOI65544 JYE65542:JYE65544 KIA65542:KIA65544 KRW65542:KRW65544 LBS65542:LBS65544 LLO65542:LLO65544 LVK65542:LVK65544 MFG65542:MFG65544 MPC65542:MPC65544 MYY65542:MYY65544 NIU65542:NIU65544 NSQ65542:NSQ65544 OCM65542:OCM65544 OMI65542:OMI65544 OWE65542:OWE65544 PGA65542:PGA65544 PPW65542:PPW65544 PZS65542:PZS65544 QJO65542:QJO65544 QTK65542:QTK65544 RDG65542:RDG65544 RNC65542:RNC65544 RWY65542:RWY65544 SGU65542:SGU65544 SQQ65542:SQQ65544 TAM65542:TAM65544 TKI65542:TKI65544 TUE65542:TUE65544 UEA65542:UEA65544 UNW65542:UNW65544 UXS65542:UXS65544 VHO65542:VHO65544 VRK65542:VRK65544 WBG65542:WBG65544 WLC65542:WLC65544 WUY65542:WUY65544 A131078:A131080 IM131078:IM131080 SI131078:SI131080 ACE131078:ACE131080 AMA131078:AMA131080 AVW131078:AVW131080 BFS131078:BFS131080 BPO131078:BPO131080 BZK131078:BZK131080 CJG131078:CJG131080 CTC131078:CTC131080 DCY131078:DCY131080 DMU131078:DMU131080 DWQ131078:DWQ131080 EGM131078:EGM131080 EQI131078:EQI131080 FAE131078:FAE131080 FKA131078:FKA131080 FTW131078:FTW131080 GDS131078:GDS131080 GNO131078:GNO131080 GXK131078:GXK131080 HHG131078:HHG131080 HRC131078:HRC131080 IAY131078:IAY131080 IKU131078:IKU131080 IUQ131078:IUQ131080 JEM131078:JEM131080 JOI131078:JOI131080 JYE131078:JYE131080 KIA131078:KIA131080 KRW131078:KRW131080 LBS131078:LBS131080 LLO131078:LLO131080 LVK131078:LVK131080 MFG131078:MFG131080 MPC131078:MPC131080 MYY131078:MYY131080 NIU131078:NIU131080 NSQ131078:NSQ131080 OCM131078:OCM131080 OMI131078:OMI131080 OWE131078:OWE131080 PGA131078:PGA131080 PPW131078:PPW131080 PZS131078:PZS131080 QJO131078:QJO131080 QTK131078:QTK131080 RDG131078:RDG131080 RNC131078:RNC131080 RWY131078:RWY131080 SGU131078:SGU131080 SQQ131078:SQQ131080 TAM131078:TAM131080 TKI131078:TKI131080 TUE131078:TUE131080 UEA131078:UEA131080 UNW131078:UNW131080 UXS131078:UXS131080 VHO131078:VHO131080 VRK131078:VRK131080 WBG131078:WBG131080 WLC131078:WLC131080 WUY131078:WUY131080 A196614:A196616 IM196614:IM196616 SI196614:SI196616 ACE196614:ACE196616 AMA196614:AMA196616 AVW196614:AVW196616 BFS196614:BFS196616 BPO196614:BPO196616 BZK196614:BZK196616 CJG196614:CJG196616 CTC196614:CTC196616 DCY196614:DCY196616 DMU196614:DMU196616 DWQ196614:DWQ196616 EGM196614:EGM196616 EQI196614:EQI196616 FAE196614:FAE196616 FKA196614:FKA196616 FTW196614:FTW196616 GDS196614:GDS196616 GNO196614:GNO196616 GXK196614:GXK196616 HHG196614:HHG196616 HRC196614:HRC196616 IAY196614:IAY196616 IKU196614:IKU196616 IUQ196614:IUQ196616 JEM196614:JEM196616 JOI196614:JOI196616 JYE196614:JYE196616 KIA196614:KIA196616 KRW196614:KRW196616 LBS196614:LBS196616 LLO196614:LLO196616 LVK196614:LVK196616 MFG196614:MFG196616 MPC196614:MPC196616 MYY196614:MYY196616 NIU196614:NIU196616 NSQ196614:NSQ196616 OCM196614:OCM196616 OMI196614:OMI196616 OWE196614:OWE196616 PGA196614:PGA196616 PPW196614:PPW196616 PZS196614:PZS196616 QJO196614:QJO196616 QTK196614:QTK196616 RDG196614:RDG196616 RNC196614:RNC196616 RWY196614:RWY196616 SGU196614:SGU196616 SQQ196614:SQQ196616 TAM196614:TAM196616 TKI196614:TKI196616 TUE196614:TUE196616 UEA196614:UEA196616 UNW196614:UNW196616 UXS196614:UXS196616 VHO196614:VHO196616 VRK196614:VRK196616 WBG196614:WBG196616 WLC196614:WLC196616 WUY196614:WUY196616 A262150:A262152 IM262150:IM262152 SI262150:SI262152 ACE262150:ACE262152 AMA262150:AMA262152 AVW262150:AVW262152 BFS262150:BFS262152 BPO262150:BPO262152 BZK262150:BZK262152 CJG262150:CJG262152 CTC262150:CTC262152 DCY262150:DCY262152 DMU262150:DMU262152 DWQ262150:DWQ262152 EGM262150:EGM262152 EQI262150:EQI262152 FAE262150:FAE262152 FKA262150:FKA262152 FTW262150:FTW262152 GDS262150:GDS262152 GNO262150:GNO262152 GXK262150:GXK262152 HHG262150:HHG262152 HRC262150:HRC262152 IAY262150:IAY262152 IKU262150:IKU262152 IUQ262150:IUQ262152 JEM262150:JEM262152 JOI262150:JOI262152 JYE262150:JYE262152 KIA262150:KIA262152 KRW262150:KRW262152 LBS262150:LBS262152 LLO262150:LLO262152 LVK262150:LVK262152 MFG262150:MFG262152 MPC262150:MPC262152 MYY262150:MYY262152 NIU262150:NIU262152 NSQ262150:NSQ262152 OCM262150:OCM262152 OMI262150:OMI262152 OWE262150:OWE262152 PGA262150:PGA262152 PPW262150:PPW262152 PZS262150:PZS262152 QJO262150:QJO262152 QTK262150:QTK262152 RDG262150:RDG262152 RNC262150:RNC262152 RWY262150:RWY262152 SGU262150:SGU262152 SQQ262150:SQQ262152 TAM262150:TAM262152 TKI262150:TKI262152 TUE262150:TUE262152 UEA262150:UEA262152 UNW262150:UNW262152 UXS262150:UXS262152 VHO262150:VHO262152 VRK262150:VRK262152 WBG262150:WBG262152 WLC262150:WLC262152 WUY262150:WUY262152 A327686:A327688 IM327686:IM327688 SI327686:SI327688 ACE327686:ACE327688 AMA327686:AMA327688 AVW327686:AVW327688 BFS327686:BFS327688 BPO327686:BPO327688 BZK327686:BZK327688 CJG327686:CJG327688 CTC327686:CTC327688 DCY327686:DCY327688 DMU327686:DMU327688 DWQ327686:DWQ327688 EGM327686:EGM327688 EQI327686:EQI327688 FAE327686:FAE327688 FKA327686:FKA327688 FTW327686:FTW327688 GDS327686:GDS327688 GNO327686:GNO327688 GXK327686:GXK327688 HHG327686:HHG327688 HRC327686:HRC327688 IAY327686:IAY327688 IKU327686:IKU327688 IUQ327686:IUQ327688 JEM327686:JEM327688 JOI327686:JOI327688 JYE327686:JYE327688 KIA327686:KIA327688 KRW327686:KRW327688 LBS327686:LBS327688 LLO327686:LLO327688 LVK327686:LVK327688 MFG327686:MFG327688 MPC327686:MPC327688 MYY327686:MYY327688 NIU327686:NIU327688 NSQ327686:NSQ327688 OCM327686:OCM327688 OMI327686:OMI327688 OWE327686:OWE327688 PGA327686:PGA327688 PPW327686:PPW327688 PZS327686:PZS327688 QJO327686:QJO327688 QTK327686:QTK327688 RDG327686:RDG327688 RNC327686:RNC327688 RWY327686:RWY327688 SGU327686:SGU327688 SQQ327686:SQQ327688 TAM327686:TAM327688 TKI327686:TKI327688 TUE327686:TUE327688 UEA327686:UEA327688 UNW327686:UNW327688 UXS327686:UXS327688 VHO327686:VHO327688 VRK327686:VRK327688 WBG327686:WBG327688 WLC327686:WLC327688 WUY327686:WUY327688 A393222:A393224 IM393222:IM393224 SI393222:SI393224 ACE393222:ACE393224 AMA393222:AMA393224 AVW393222:AVW393224 BFS393222:BFS393224 BPO393222:BPO393224 BZK393222:BZK393224 CJG393222:CJG393224 CTC393222:CTC393224 DCY393222:DCY393224 DMU393222:DMU393224 DWQ393222:DWQ393224 EGM393222:EGM393224 EQI393222:EQI393224 FAE393222:FAE393224 FKA393222:FKA393224 FTW393222:FTW393224 GDS393222:GDS393224 GNO393222:GNO393224 GXK393222:GXK393224 HHG393222:HHG393224 HRC393222:HRC393224 IAY393222:IAY393224 IKU393222:IKU393224 IUQ393222:IUQ393224 JEM393222:JEM393224 JOI393222:JOI393224 JYE393222:JYE393224 KIA393222:KIA393224 KRW393222:KRW393224 LBS393222:LBS393224 LLO393222:LLO393224 LVK393222:LVK393224 MFG393222:MFG393224 MPC393222:MPC393224 MYY393222:MYY393224 NIU393222:NIU393224 NSQ393222:NSQ393224 OCM393222:OCM393224 OMI393222:OMI393224 OWE393222:OWE393224 PGA393222:PGA393224 PPW393222:PPW393224 PZS393222:PZS393224 QJO393222:QJO393224 QTK393222:QTK393224 RDG393222:RDG393224 RNC393222:RNC393224 RWY393222:RWY393224 SGU393222:SGU393224 SQQ393222:SQQ393224 TAM393222:TAM393224 TKI393222:TKI393224 TUE393222:TUE393224 UEA393222:UEA393224 UNW393222:UNW393224 UXS393222:UXS393224 VHO393222:VHO393224 VRK393222:VRK393224 WBG393222:WBG393224 WLC393222:WLC393224 WUY393222:WUY393224 A458758:A458760 IM458758:IM458760 SI458758:SI458760 ACE458758:ACE458760 AMA458758:AMA458760 AVW458758:AVW458760 BFS458758:BFS458760 BPO458758:BPO458760 BZK458758:BZK458760 CJG458758:CJG458760 CTC458758:CTC458760 DCY458758:DCY458760 DMU458758:DMU458760 DWQ458758:DWQ458760 EGM458758:EGM458760 EQI458758:EQI458760 FAE458758:FAE458760 FKA458758:FKA458760 FTW458758:FTW458760 GDS458758:GDS458760 GNO458758:GNO458760 GXK458758:GXK458760 HHG458758:HHG458760 HRC458758:HRC458760 IAY458758:IAY458760 IKU458758:IKU458760 IUQ458758:IUQ458760 JEM458758:JEM458760 JOI458758:JOI458760 JYE458758:JYE458760 KIA458758:KIA458760 KRW458758:KRW458760 LBS458758:LBS458760 LLO458758:LLO458760 LVK458758:LVK458760 MFG458758:MFG458760 MPC458758:MPC458760 MYY458758:MYY458760 NIU458758:NIU458760 NSQ458758:NSQ458760 OCM458758:OCM458760 OMI458758:OMI458760 OWE458758:OWE458760 PGA458758:PGA458760 PPW458758:PPW458760 PZS458758:PZS458760 QJO458758:QJO458760 QTK458758:QTK458760 RDG458758:RDG458760 RNC458758:RNC458760 RWY458758:RWY458760 SGU458758:SGU458760 SQQ458758:SQQ458760 TAM458758:TAM458760 TKI458758:TKI458760 TUE458758:TUE458760 UEA458758:UEA458760 UNW458758:UNW458760 UXS458758:UXS458760 VHO458758:VHO458760 VRK458758:VRK458760 WBG458758:WBG458760 WLC458758:WLC458760 WUY458758:WUY458760 A524294:A524296 IM524294:IM524296 SI524294:SI524296 ACE524294:ACE524296 AMA524294:AMA524296 AVW524294:AVW524296 BFS524294:BFS524296 BPO524294:BPO524296 BZK524294:BZK524296 CJG524294:CJG524296 CTC524294:CTC524296 DCY524294:DCY524296 DMU524294:DMU524296 DWQ524294:DWQ524296 EGM524294:EGM524296 EQI524294:EQI524296 FAE524294:FAE524296 FKA524294:FKA524296 FTW524294:FTW524296 GDS524294:GDS524296 GNO524294:GNO524296 GXK524294:GXK524296 HHG524294:HHG524296 HRC524294:HRC524296 IAY524294:IAY524296 IKU524294:IKU524296 IUQ524294:IUQ524296 JEM524294:JEM524296 JOI524294:JOI524296 JYE524294:JYE524296 KIA524294:KIA524296 KRW524294:KRW524296 LBS524294:LBS524296 LLO524294:LLO524296 LVK524294:LVK524296 MFG524294:MFG524296 MPC524294:MPC524296 MYY524294:MYY524296 NIU524294:NIU524296 NSQ524294:NSQ524296 OCM524294:OCM524296 OMI524294:OMI524296 OWE524294:OWE524296 PGA524294:PGA524296 PPW524294:PPW524296 PZS524294:PZS524296 QJO524294:QJO524296 QTK524294:QTK524296 RDG524294:RDG524296 RNC524294:RNC524296 RWY524294:RWY524296 SGU524294:SGU524296 SQQ524294:SQQ524296 TAM524294:TAM524296 TKI524294:TKI524296 TUE524294:TUE524296 UEA524294:UEA524296 UNW524294:UNW524296 UXS524294:UXS524296 VHO524294:VHO524296 VRK524294:VRK524296 WBG524294:WBG524296 WLC524294:WLC524296 WUY524294:WUY524296 A589830:A589832 IM589830:IM589832 SI589830:SI589832 ACE589830:ACE589832 AMA589830:AMA589832 AVW589830:AVW589832 BFS589830:BFS589832 BPO589830:BPO589832 BZK589830:BZK589832 CJG589830:CJG589832 CTC589830:CTC589832 DCY589830:DCY589832 DMU589830:DMU589832 DWQ589830:DWQ589832 EGM589830:EGM589832 EQI589830:EQI589832 FAE589830:FAE589832 FKA589830:FKA589832 FTW589830:FTW589832 GDS589830:GDS589832 GNO589830:GNO589832 GXK589830:GXK589832 HHG589830:HHG589832 HRC589830:HRC589832 IAY589830:IAY589832 IKU589830:IKU589832 IUQ589830:IUQ589832 JEM589830:JEM589832 JOI589830:JOI589832 JYE589830:JYE589832 KIA589830:KIA589832 KRW589830:KRW589832 LBS589830:LBS589832 LLO589830:LLO589832 LVK589830:LVK589832 MFG589830:MFG589832 MPC589830:MPC589832 MYY589830:MYY589832 NIU589830:NIU589832 NSQ589830:NSQ589832 OCM589830:OCM589832 OMI589830:OMI589832 OWE589830:OWE589832 PGA589830:PGA589832 PPW589830:PPW589832 PZS589830:PZS589832 QJO589830:QJO589832 QTK589830:QTK589832 RDG589830:RDG589832 RNC589830:RNC589832 RWY589830:RWY589832 SGU589830:SGU589832 SQQ589830:SQQ589832 TAM589830:TAM589832 TKI589830:TKI589832 TUE589830:TUE589832 UEA589830:UEA589832 UNW589830:UNW589832 UXS589830:UXS589832 VHO589830:VHO589832 VRK589830:VRK589832 WBG589830:WBG589832 WLC589830:WLC589832 WUY589830:WUY589832 A655366:A655368 IM655366:IM655368 SI655366:SI655368 ACE655366:ACE655368 AMA655366:AMA655368 AVW655366:AVW655368 BFS655366:BFS655368 BPO655366:BPO655368 BZK655366:BZK655368 CJG655366:CJG655368 CTC655366:CTC655368 DCY655366:DCY655368 DMU655366:DMU655368 DWQ655366:DWQ655368 EGM655366:EGM655368 EQI655366:EQI655368 FAE655366:FAE655368 FKA655366:FKA655368 FTW655366:FTW655368 GDS655366:GDS655368 GNO655366:GNO655368 GXK655366:GXK655368 HHG655366:HHG655368 HRC655366:HRC655368 IAY655366:IAY655368 IKU655366:IKU655368 IUQ655366:IUQ655368 JEM655366:JEM655368 JOI655366:JOI655368 JYE655366:JYE655368 KIA655366:KIA655368 KRW655366:KRW655368 LBS655366:LBS655368 LLO655366:LLO655368 LVK655366:LVK655368 MFG655366:MFG655368 MPC655366:MPC655368 MYY655366:MYY655368 NIU655366:NIU655368 NSQ655366:NSQ655368 OCM655366:OCM655368 OMI655366:OMI655368 OWE655366:OWE655368 PGA655366:PGA655368 PPW655366:PPW655368 PZS655366:PZS655368 QJO655366:QJO655368 QTK655366:QTK655368 RDG655366:RDG655368 RNC655366:RNC655368 RWY655366:RWY655368 SGU655366:SGU655368 SQQ655366:SQQ655368 TAM655366:TAM655368 TKI655366:TKI655368 TUE655366:TUE655368 UEA655366:UEA655368 UNW655366:UNW655368 UXS655366:UXS655368 VHO655366:VHO655368 VRK655366:VRK655368 WBG655366:WBG655368 WLC655366:WLC655368 WUY655366:WUY655368 A720902:A720904 IM720902:IM720904 SI720902:SI720904 ACE720902:ACE720904 AMA720902:AMA720904 AVW720902:AVW720904 BFS720902:BFS720904 BPO720902:BPO720904 BZK720902:BZK720904 CJG720902:CJG720904 CTC720902:CTC720904 DCY720902:DCY720904 DMU720902:DMU720904 DWQ720902:DWQ720904 EGM720902:EGM720904 EQI720902:EQI720904 FAE720902:FAE720904 FKA720902:FKA720904 FTW720902:FTW720904 GDS720902:GDS720904 GNO720902:GNO720904 GXK720902:GXK720904 HHG720902:HHG720904 HRC720902:HRC720904 IAY720902:IAY720904 IKU720902:IKU720904 IUQ720902:IUQ720904 JEM720902:JEM720904 JOI720902:JOI720904 JYE720902:JYE720904 KIA720902:KIA720904 KRW720902:KRW720904 LBS720902:LBS720904 LLO720902:LLO720904 LVK720902:LVK720904 MFG720902:MFG720904 MPC720902:MPC720904 MYY720902:MYY720904 NIU720902:NIU720904 NSQ720902:NSQ720904 OCM720902:OCM720904 OMI720902:OMI720904 OWE720902:OWE720904 PGA720902:PGA720904 PPW720902:PPW720904 PZS720902:PZS720904 QJO720902:QJO720904 QTK720902:QTK720904 RDG720902:RDG720904 RNC720902:RNC720904 RWY720902:RWY720904 SGU720902:SGU720904 SQQ720902:SQQ720904 TAM720902:TAM720904 TKI720902:TKI720904 TUE720902:TUE720904 UEA720902:UEA720904 UNW720902:UNW720904 UXS720902:UXS720904 VHO720902:VHO720904 VRK720902:VRK720904 WBG720902:WBG720904 WLC720902:WLC720904 WUY720902:WUY720904 A786438:A786440 IM786438:IM786440 SI786438:SI786440 ACE786438:ACE786440 AMA786438:AMA786440 AVW786438:AVW786440 BFS786438:BFS786440 BPO786438:BPO786440 BZK786438:BZK786440 CJG786438:CJG786440 CTC786438:CTC786440 DCY786438:DCY786440 DMU786438:DMU786440 DWQ786438:DWQ786440 EGM786438:EGM786440 EQI786438:EQI786440 FAE786438:FAE786440 FKA786438:FKA786440 FTW786438:FTW786440 GDS786438:GDS786440 GNO786438:GNO786440 GXK786438:GXK786440 HHG786438:HHG786440 HRC786438:HRC786440 IAY786438:IAY786440 IKU786438:IKU786440 IUQ786438:IUQ786440 JEM786438:JEM786440 JOI786438:JOI786440 JYE786438:JYE786440 KIA786438:KIA786440 KRW786438:KRW786440 LBS786438:LBS786440 LLO786438:LLO786440 LVK786438:LVK786440 MFG786438:MFG786440 MPC786438:MPC786440 MYY786438:MYY786440 NIU786438:NIU786440 NSQ786438:NSQ786440 OCM786438:OCM786440 OMI786438:OMI786440 OWE786438:OWE786440 PGA786438:PGA786440 PPW786438:PPW786440 PZS786438:PZS786440 QJO786438:QJO786440 QTK786438:QTK786440 RDG786438:RDG786440 RNC786438:RNC786440 RWY786438:RWY786440 SGU786438:SGU786440 SQQ786438:SQQ786440 TAM786438:TAM786440 TKI786438:TKI786440 TUE786438:TUE786440 UEA786438:UEA786440 UNW786438:UNW786440 UXS786438:UXS786440 VHO786438:VHO786440 VRK786438:VRK786440 WBG786438:WBG786440 WLC786438:WLC786440 WUY786438:WUY786440 A851974:A851976 IM851974:IM851976 SI851974:SI851976 ACE851974:ACE851976 AMA851974:AMA851976 AVW851974:AVW851976 BFS851974:BFS851976 BPO851974:BPO851976 BZK851974:BZK851976 CJG851974:CJG851976 CTC851974:CTC851976 DCY851974:DCY851976 DMU851974:DMU851976 DWQ851974:DWQ851976 EGM851974:EGM851976 EQI851974:EQI851976 FAE851974:FAE851976 FKA851974:FKA851976 FTW851974:FTW851976 GDS851974:GDS851976 GNO851974:GNO851976 GXK851974:GXK851976 HHG851974:HHG851976 HRC851974:HRC851976 IAY851974:IAY851976 IKU851974:IKU851976 IUQ851974:IUQ851976 JEM851974:JEM851976 JOI851974:JOI851976 JYE851974:JYE851976 KIA851974:KIA851976 KRW851974:KRW851976 LBS851974:LBS851976 LLO851974:LLO851976 LVK851974:LVK851976 MFG851974:MFG851976 MPC851974:MPC851976 MYY851974:MYY851976 NIU851974:NIU851976 NSQ851974:NSQ851976 OCM851974:OCM851976 OMI851974:OMI851976 OWE851974:OWE851976 PGA851974:PGA851976 PPW851974:PPW851976 PZS851974:PZS851976 QJO851974:QJO851976 QTK851974:QTK851976 RDG851974:RDG851976 RNC851974:RNC851976 RWY851974:RWY851976 SGU851974:SGU851976 SQQ851974:SQQ851976 TAM851974:TAM851976 TKI851974:TKI851976 TUE851974:TUE851976 UEA851974:UEA851976 UNW851974:UNW851976 UXS851974:UXS851976 VHO851974:VHO851976 VRK851974:VRK851976 WBG851974:WBG851976 WLC851974:WLC851976 WUY851974:WUY851976 A917510:A917512 IM917510:IM917512 SI917510:SI917512 ACE917510:ACE917512 AMA917510:AMA917512 AVW917510:AVW917512 BFS917510:BFS917512 BPO917510:BPO917512 BZK917510:BZK917512 CJG917510:CJG917512 CTC917510:CTC917512 DCY917510:DCY917512 DMU917510:DMU917512 DWQ917510:DWQ917512 EGM917510:EGM917512 EQI917510:EQI917512 FAE917510:FAE917512 FKA917510:FKA917512 FTW917510:FTW917512 GDS917510:GDS917512 GNO917510:GNO917512 GXK917510:GXK917512 HHG917510:HHG917512 HRC917510:HRC917512 IAY917510:IAY917512 IKU917510:IKU917512 IUQ917510:IUQ917512 JEM917510:JEM917512 JOI917510:JOI917512 JYE917510:JYE917512 KIA917510:KIA917512 KRW917510:KRW917512 LBS917510:LBS917512 LLO917510:LLO917512 LVK917510:LVK917512 MFG917510:MFG917512 MPC917510:MPC917512 MYY917510:MYY917512 NIU917510:NIU917512 NSQ917510:NSQ917512 OCM917510:OCM917512 OMI917510:OMI917512 OWE917510:OWE917512 PGA917510:PGA917512 PPW917510:PPW917512 PZS917510:PZS917512 QJO917510:QJO917512 QTK917510:QTK917512 RDG917510:RDG917512 RNC917510:RNC917512 RWY917510:RWY917512 SGU917510:SGU917512 SQQ917510:SQQ917512 TAM917510:TAM917512 TKI917510:TKI917512 TUE917510:TUE917512 UEA917510:UEA917512 UNW917510:UNW917512 UXS917510:UXS917512 VHO917510:VHO917512 VRK917510:VRK917512 WBG917510:WBG917512 WLC917510:WLC917512 WUY917510:WUY917512 A983046:A983048 IM983046:IM983048 SI983046:SI983048 ACE983046:ACE983048 AMA983046:AMA983048 AVW983046:AVW983048 BFS983046:BFS983048 BPO983046:BPO983048 BZK983046:BZK983048 CJG983046:CJG983048 CTC983046:CTC983048 DCY983046:DCY983048 DMU983046:DMU983048 DWQ983046:DWQ983048 EGM983046:EGM983048 EQI983046:EQI983048 FAE983046:FAE983048 FKA983046:FKA983048 FTW983046:FTW983048 GDS983046:GDS983048 GNO983046:GNO983048 GXK983046:GXK983048 HHG983046:HHG983048 HRC983046:HRC983048 IAY983046:IAY983048 IKU983046:IKU983048 IUQ983046:IUQ983048 JEM983046:JEM983048 JOI983046:JOI983048 JYE983046:JYE983048 KIA983046:KIA983048 KRW983046:KRW983048 LBS983046:LBS983048 LLO983046:LLO983048 LVK983046:LVK983048 MFG983046:MFG983048 MPC983046:MPC983048 MYY983046:MYY983048 NIU983046:NIU983048 NSQ983046:NSQ983048 OCM983046:OCM983048 OMI983046:OMI983048 OWE983046:OWE983048 PGA983046:PGA983048 PPW983046:PPW983048 PZS983046:PZS983048 QJO983046:QJO983048 QTK983046:QTK983048 RDG983046:RDG983048 RNC983046:RNC983048 RWY983046:RWY983048 SGU983046:SGU983048 SQQ983046:SQQ983048 TAM983046:TAM983048 TKI983046:TKI983048 TUE983046:TUE983048 UEA983046:UEA983048 UNW983046:UNW983048 UXS983046:UXS983048 VHO983046:VHO983048 VRK983046:VRK983048 WBG983046:WBG983048 WLC983046:WLC983048"/>
    <dataValidation type="decimal" allowBlank="1" showInputMessage="1" showErrorMessage="1" prompt="bei Zutreffen Stundenzahl eingeben" sqref="WVF983045:WVF983087 IT5:IT47 SP5:SP47 ACL5:ACL47 AMH5:AMH47 AWD5:AWD47 BFZ5:BFZ47 BPV5:BPV47 BZR5:BZR47 CJN5:CJN47 CTJ5:CTJ47 DDF5:DDF47 DNB5:DNB47 DWX5:DWX47 EGT5:EGT47 EQP5:EQP47 FAL5:FAL47 FKH5:FKH47 FUD5:FUD47 GDZ5:GDZ47 GNV5:GNV47 GXR5:GXR47 HHN5:HHN47 HRJ5:HRJ47 IBF5:IBF47 ILB5:ILB47 IUX5:IUX47 JET5:JET47 JOP5:JOP47 JYL5:JYL47 KIH5:KIH47 KSD5:KSD47 LBZ5:LBZ47 LLV5:LLV47 LVR5:LVR47 MFN5:MFN47 MPJ5:MPJ47 MZF5:MZF47 NJB5:NJB47 NSX5:NSX47 OCT5:OCT47 OMP5:OMP47 OWL5:OWL47 PGH5:PGH47 PQD5:PQD47 PZZ5:PZZ47 QJV5:QJV47 QTR5:QTR47 RDN5:RDN47 RNJ5:RNJ47 RXF5:RXF47 SHB5:SHB47 SQX5:SQX47 TAT5:TAT47 TKP5:TKP47 TUL5:TUL47 UEH5:UEH47 UOD5:UOD47 UXZ5:UXZ47 VHV5:VHV47 VRR5:VRR47 WBN5:WBN47 WLJ5:WLJ47 WVF5:WVF47 K65541:K65583 IT65541:IT65583 SP65541:SP65583 ACL65541:ACL65583 AMH65541:AMH65583 AWD65541:AWD65583 BFZ65541:BFZ65583 BPV65541:BPV65583 BZR65541:BZR65583 CJN65541:CJN65583 CTJ65541:CTJ65583 DDF65541:DDF65583 DNB65541:DNB65583 DWX65541:DWX65583 EGT65541:EGT65583 EQP65541:EQP65583 FAL65541:FAL65583 FKH65541:FKH65583 FUD65541:FUD65583 GDZ65541:GDZ65583 GNV65541:GNV65583 GXR65541:GXR65583 HHN65541:HHN65583 HRJ65541:HRJ65583 IBF65541:IBF65583 ILB65541:ILB65583 IUX65541:IUX65583 JET65541:JET65583 JOP65541:JOP65583 JYL65541:JYL65583 KIH65541:KIH65583 KSD65541:KSD65583 LBZ65541:LBZ65583 LLV65541:LLV65583 LVR65541:LVR65583 MFN65541:MFN65583 MPJ65541:MPJ65583 MZF65541:MZF65583 NJB65541:NJB65583 NSX65541:NSX65583 OCT65541:OCT65583 OMP65541:OMP65583 OWL65541:OWL65583 PGH65541:PGH65583 PQD65541:PQD65583 PZZ65541:PZZ65583 QJV65541:QJV65583 QTR65541:QTR65583 RDN65541:RDN65583 RNJ65541:RNJ65583 RXF65541:RXF65583 SHB65541:SHB65583 SQX65541:SQX65583 TAT65541:TAT65583 TKP65541:TKP65583 TUL65541:TUL65583 UEH65541:UEH65583 UOD65541:UOD65583 UXZ65541:UXZ65583 VHV65541:VHV65583 VRR65541:VRR65583 WBN65541:WBN65583 WLJ65541:WLJ65583 WVF65541:WVF65583 K131077:K131119 IT131077:IT131119 SP131077:SP131119 ACL131077:ACL131119 AMH131077:AMH131119 AWD131077:AWD131119 BFZ131077:BFZ131119 BPV131077:BPV131119 BZR131077:BZR131119 CJN131077:CJN131119 CTJ131077:CTJ131119 DDF131077:DDF131119 DNB131077:DNB131119 DWX131077:DWX131119 EGT131077:EGT131119 EQP131077:EQP131119 FAL131077:FAL131119 FKH131077:FKH131119 FUD131077:FUD131119 GDZ131077:GDZ131119 GNV131077:GNV131119 GXR131077:GXR131119 HHN131077:HHN131119 HRJ131077:HRJ131119 IBF131077:IBF131119 ILB131077:ILB131119 IUX131077:IUX131119 JET131077:JET131119 JOP131077:JOP131119 JYL131077:JYL131119 KIH131077:KIH131119 KSD131077:KSD131119 LBZ131077:LBZ131119 LLV131077:LLV131119 LVR131077:LVR131119 MFN131077:MFN131119 MPJ131077:MPJ131119 MZF131077:MZF131119 NJB131077:NJB131119 NSX131077:NSX131119 OCT131077:OCT131119 OMP131077:OMP131119 OWL131077:OWL131119 PGH131077:PGH131119 PQD131077:PQD131119 PZZ131077:PZZ131119 QJV131077:QJV131119 QTR131077:QTR131119 RDN131077:RDN131119 RNJ131077:RNJ131119 RXF131077:RXF131119 SHB131077:SHB131119 SQX131077:SQX131119 TAT131077:TAT131119 TKP131077:TKP131119 TUL131077:TUL131119 UEH131077:UEH131119 UOD131077:UOD131119 UXZ131077:UXZ131119 VHV131077:VHV131119 VRR131077:VRR131119 WBN131077:WBN131119 WLJ131077:WLJ131119 WVF131077:WVF131119 K196613:K196655 IT196613:IT196655 SP196613:SP196655 ACL196613:ACL196655 AMH196613:AMH196655 AWD196613:AWD196655 BFZ196613:BFZ196655 BPV196613:BPV196655 BZR196613:BZR196655 CJN196613:CJN196655 CTJ196613:CTJ196655 DDF196613:DDF196655 DNB196613:DNB196655 DWX196613:DWX196655 EGT196613:EGT196655 EQP196613:EQP196655 FAL196613:FAL196655 FKH196613:FKH196655 FUD196613:FUD196655 GDZ196613:GDZ196655 GNV196613:GNV196655 GXR196613:GXR196655 HHN196613:HHN196655 HRJ196613:HRJ196655 IBF196613:IBF196655 ILB196613:ILB196655 IUX196613:IUX196655 JET196613:JET196655 JOP196613:JOP196655 JYL196613:JYL196655 KIH196613:KIH196655 KSD196613:KSD196655 LBZ196613:LBZ196655 LLV196613:LLV196655 LVR196613:LVR196655 MFN196613:MFN196655 MPJ196613:MPJ196655 MZF196613:MZF196655 NJB196613:NJB196655 NSX196613:NSX196655 OCT196613:OCT196655 OMP196613:OMP196655 OWL196613:OWL196655 PGH196613:PGH196655 PQD196613:PQD196655 PZZ196613:PZZ196655 QJV196613:QJV196655 QTR196613:QTR196655 RDN196613:RDN196655 RNJ196613:RNJ196655 RXF196613:RXF196655 SHB196613:SHB196655 SQX196613:SQX196655 TAT196613:TAT196655 TKP196613:TKP196655 TUL196613:TUL196655 UEH196613:UEH196655 UOD196613:UOD196655 UXZ196613:UXZ196655 VHV196613:VHV196655 VRR196613:VRR196655 WBN196613:WBN196655 WLJ196613:WLJ196655 WVF196613:WVF196655 K262149:K262191 IT262149:IT262191 SP262149:SP262191 ACL262149:ACL262191 AMH262149:AMH262191 AWD262149:AWD262191 BFZ262149:BFZ262191 BPV262149:BPV262191 BZR262149:BZR262191 CJN262149:CJN262191 CTJ262149:CTJ262191 DDF262149:DDF262191 DNB262149:DNB262191 DWX262149:DWX262191 EGT262149:EGT262191 EQP262149:EQP262191 FAL262149:FAL262191 FKH262149:FKH262191 FUD262149:FUD262191 GDZ262149:GDZ262191 GNV262149:GNV262191 GXR262149:GXR262191 HHN262149:HHN262191 HRJ262149:HRJ262191 IBF262149:IBF262191 ILB262149:ILB262191 IUX262149:IUX262191 JET262149:JET262191 JOP262149:JOP262191 JYL262149:JYL262191 KIH262149:KIH262191 KSD262149:KSD262191 LBZ262149:LBZ262191 LLV262149:LLV262191 LVR262149:LVR262191 MFN262149:MFN262191 MPJ262149:MPJ262191 MZF262149:MZF262191 NJB262149:NJB262191 NSX262149:NSX262191 OCT262149:OCT262191 OMP262149:OMP262191 OWL262149:OWL262191 PGH262149:PGH262191 PQD262149:PQD262191 PZZ262149:PZZ262191 QJV262149:QJV262191 QTR262149:QTR262191 RDN262149:RDN262191 RNJ262149:RNJ262191 RXF262149:RXF262191 SHB262149:SHB262191 SQX262149:SQX262191 TAT262149:TAT262191 TKP262149:TKP262191 TUL262149:TUL262191 UEH262149:UEH262191 UOD262149:UOD262191 UXZ262149:UXZ262191 VHV262149:VHV262191 VRR262149:VRR262191 WBN262149:WBN262191 WLJ262149:WLJ262191 WVF262149:WVF262191 K327685:K327727 IT327685:IT327727 SP327685:SP327727 ACL327685:ACL327727 AMH327685:AMH327727 AWD327685:AWD327727 BFZ327685:BFZ327727 BPV327685:BPV327727 BZR327685:BZR327727 CJN327685:CJN327727 CTJ327685:CTJ327727 DDF327685:DDF327727 DNB327685:DNB327727 DWX327685:DWX327727 EGT327685:EGT327727 EQP327685:EQP327727 FAL327685:FAL327727 FKH327685:FKH327727 FUD327685:FUD327727 GDZ327685:GDZ327727 GNV327685:GNV327727 GXR327685:GXR327727 HHN327685:HHN327727 HRJ327685:HRJ327727 IBF327685:IBF327727 ILB327685:ILB327727 IUX327685:IUX327727 JET327685:JET327727 JOP327685:JOP327727 JYL327685:JYL327727 KIH327685:KIH327727 KSD327685:KSD327727 LBZ327685:LBZ327727 LLV327685:LLV327727 LVR327685:LVR327727 MFN327685:MFN327727 MPJ327685:MPJ327727 MZF327685:MZF327727 NJB327685:NJB327727 NSX327685:NSX327727 OCT327685:OCT327727 OMP327685:OMP327727 OWL327685:OWL327727 PGH327685:PGH327727 PQD327685:PQD327727 PZZ327685:PZZ327727 QJV327685:QJV327727 QTR327685:QTR327727 RDN327685:RDN327727 RNJ327685:RNJ327727 RXF327685:RXF327727 SHB327685:SHB327727 SQX327685:SQX327727 TAT327685:TAT327727 TKP327685:TKP327727 TUL327685:TUL327727 UEH327685:UEH327727 UOD327685:UOD327727 UXZ327685:UXZ327727 VHV327685:VHV327727 VRR327685:VRR327727 WBN327685:WBN327727 WLJ327685:WLJ327727 WVF327685:WVF327727 K393221:K393263 IT393221:IT393263 SP393221:SP393263 ACL393221:ACL393263 AMH393221:AMH393263 AWD393221:AWD393263 BFZ393221:BFZ393263 BPV393221:BPV393263 BZR393221:BZR393263 CJN393221:CJN393263 CTJ393221:CTJ393263 DDF393221:DDF393263 DNB393221:DNB393263 DWX393221:DWX393263 EGT393221:EGT393263 EQP393221:EQP393263 FAL393221:FAL393263 FKH393221:FKH393263 FUD393221:FUD393263 GDZ393221:GDZ393263 GNV393221:GNV393263 GXR393221:GXR393263 HHN393221:HHN393263 HRJ393221:HRJ393263 IBF393221:IBF393263 ILB393221:ILB393263 IUX393221:IUX393263 JET393221:JET393263 JOP393221:JOP393263 JYL393221:JYL393263 KIH393221:KIH393263 KSD393221:KSD393263 LBZ393221:LBZ393263 LLV393221:LLV393263 LVR393221:LVR393263 MFN393221:MFN393263 MPJ393221:MPJ393263 MZF393221:MZF393263 NJB393221:NJB393263 NSX393221:NSX393263 OCT393221:OCT393263 OMP393221:OMP393263 OWL393221:OWL393263 PGH393221:PGH393263 PQD393221:PQD393263 PZZ393221:PZZ393263 QJV393221:QJV393263 QTR393221:QTR393263 RDN393221:RDN393263 RNJ393221:RNJ393263 RXF393221:RXF393263 SHB393221:SHB393263 SQX393221:SQX393263 TAT393221:TAT393263 TKP393221:TKP393263 TUL393221:TUL393263 UEH393221:UEH393263 UOD393221:UOD393263 UXZ393221:UXZ393263 VHV393221:VHV393263 VRR393221:VRR393263 WBN393221:WBN393263 WLJ393221:WLJ393263 WVF393221:WVF393263 K458757:K458799 IT458757:IT458799 SP458757:SP458799 ACL458757:ACL458799 AMH458757:AMH458799 AWD458757:AWD458799 BFZ458757:BFZ458799 BPV458757:BPV458799 BZR458757:BZR458799 CJN458757:CJN458799 CTJ458757:CTJ458799 DDF458757:DDF458799 DNB458757:DNB458799 DWX458757:DWX458799 EGT458757:EGT458799 EQP458757:EQP458799 FAL458757:FAL458799 FKH458757:FKH458799 FUD458757:FUD458799 GDZ458757:GDZ458799 GNV458757:GNV458799 GXR458757:GXR458799 HHN458757:HHN458799 HRJ458757:HRJ458799 IBF458757:IBF458799 ILB458757:ILB458799 IUX458757:IUX458799 JET458757:JET458799 JOP458757:JOP458799 JYL458757:JYL458799 KIH458757:KIH458799 KSD458757:KSD458799 LBZ458757:LBZ458799 LLV458757:LLV458799 LVR458757:LVR458799 MFN458757:MFN458799 MPJ458757:MPJ458799 MZF458757:MZF458799 NJB458757:NJB458799 NSX458757:NSX458799 OCT458757:OCT458799 OMP458757:OMP458799 OWL458757:OWL458799 PGH458757:PGH458799 PQD458757:PQD458799 PZZ458757:PZZ458799 QJV458757:QJV458799 QTR458757:QTR458799 RDN458757:RDN458799 RNJ458757:RNJ458799 RXF458757:RXF458799 SHB458757:SHB458799 SQX458757:SQX458799 TAT458757:TAT458799 TKP458757:TKP458799 TUL458757:TUL458799 UEH458757:UEH458799 UOD458757:UOD458799 UXZ458757:UXZ458799 VHV458757:VHV458799 VRR458757:VRR458799 WBN458757:WBN458799 WLJ458757:WLJ458799 WVF458757:WVF458799 K524293:K524335 IT524293:IT524335 SP524293:SP524335 ACL524293:ACL524335 AMH524293:AMH524335 AWD524293:AWD524335 BFZ524293:BFZ524335 BPV524293:BPV524335 BZR524293:BZR524335 CJN524293:CJN524335 CTJ524293:CTJ524335 DDF524293:DDF524335 DNB524293:DNB524335 DWX524293:DWX524335 EGT524293:EGT524335 EQP524293:EQP524335 FAL524293:FAL524335 FKH524293:FKH524335 FUD524293:FUD524335 GDZ524293:GDZ524335 GNV524293:GNV524335 GXR524293:GXR524335 HHN524293:HHN524335 HRJ524293:HRJ524335 IBF524293:IBF524335 ILB524293:ILB524335 IUX524293:IUX524335 JET524293:JET524335 JOP524293:JOP524335 JYL524293:JYL524335 KIH524293:KIH524335 KSD524293:KSD524335 LBZ524293:LBZ524335 LLV524293:LLV524335 LVR524293:LVR524335 MFN524293:MFN524335 MPJ524293:MPJ524335 MZF524293:MZF524335 NJB524293:NJB524335 NSX524293:NSX524335 OCT524293:OCT524335 OMP524293:OMP524335 OWL524293:OWL524335 PGH524293:PGH524335 PQD524293:PQD524335 PZZ524293:PZZ524335 QJV524293:QJV524335 QTR524293:QTR524335 RDN524293:RDN524335 RNJ524293:RNJ524335 RXF524293:RXF524335 SHB524293:SHB524335 SQX524293:SQX524335 TAT524293:TAT524335 TKP524293:TKP524335 TUL524293:TUL524335 UEH524293:UEH524335 UOD524293:UOD524335 UXZ524293:UXZ524335 VHV524293:VHV524335 VRR524293:VRR524335 WBN524293:WBN524335 WLJ524293:WLJ524335 WVF524293:WVF524335 K589829:K589871 IT589829:IT589871 SP589829:SP589871 ACL589829:ACL589871 AMH589829:AMH589871 AWD589829:AWD589871 BFZ589829:BFZ589871 BPV589829:BPV589871 BZR589829:BZR589871 CJN589829:CJN589871 CTJ589829:CTJ589871 DDF589829:DDF589871 DNB589829:DNB589871 DWX589829:DWX589871 EGT589829:EGT589871 EQP589829:EQP589871 FAL589829:FAL589871 FKH589829:FKH589871 FUD589829:FUD589871 GDZ589829:GDZ589871 GNV589829:GNV589871 GXR589829:GXR589871 HHN589829:HHN589871 HRJ589829:HRJ589871 IBF589829:IBF589871 ILB589829:ILB589871 IUX589829:IUX589871 JET589829:JET589871 JOP589829:JOP589871 JYL589829:JYL589871 KIH589829:KIH589871 KSD589829:KSD589871 LBZ589829:LBZ589871 LLV589829:LLV589871 LVR589829:LVR589871 MFN589829:MFN589871 MPJ589829:MPJ589871 MZF589829:MZF589871 NJB589829:NJB589871 NSX589829:NSX589871 OCT589829:OCT589871 OMP589829:OMP589871 OWL589829:OWL589871 PGH589829:PGH589871 PQD589829:PQD589871 PZZ589829:PZZ589871 QJV589829:QJV589871 QTR589829:QTR589871 RDN589829:RDN589871 RNJ589829:RNJ589871 RXF589829:RXF589871 SHB589829:SHB589871 SQX589829:SQX589871 TAT589829:TAT589871 TKP589829:TKP589871 TUL589829:TUL589871 UEH589829:UEH589871 UOD589829:UOD589871 UXZ589829:UXZ589871 VHV589829:VHV589871 VRR589829:VRR589871 WBN589829:WBN589871 WLJ589829:WLJ589871 WVF589829:WVF589871 K655365:K655407 IT655365:IT655407 SP655365:SP655407 ACL655365:ACL655407 AMH655365:AMH655407 AWD655365:AWD655407 BFZ655365:BFZ655407 BPV655365:BPV655407 BZR655365:BZR655407 CJN655365:CJN655407 CTJ655365:CTJ655407 DDF655365:DDF655407 DNB655365:DNB655407 DWX655365:DWX655407 EGT655365:EGT655407 EQP655365:EQP655407 FAL655365:FAL655407 FKH655365:FKH655407 FUD655365:FUD655407 GDZ655365:GDZ655407 GNV655365:GNV655407 GXR655365:GXR655407 HHN655365:HHN655407 HRJ655365:HRJ655407 IBF655365:IBF655407 ILB655365:ILB655407 IUX655365:IUX655407 JET655365:JET655407 JOP655365:JOP655407 JYL655365:JYL655407 KIH655365:KIH655407 KSD655365:KSD655407 LBZ655365:LBZ655407 LLV655365:LLV655407 LVR655365:LVR655407 MFN655365:MFN655407 MPJ655365:MPJ655407 MZF655365:MZF655407 NJB655365:NJB655407 NSX655365:NSX655407 OCT655365:OCT655407 OMP655365:OMP655407 OWL655365:OWL655407 PGH655365:PGH655407 PQD655365:PQD655407 PZZ655365:PZZ655407 QJV655365:QJV655407 QTR655365:QTR655407 RDN655365:RDN655407 RNJ655365:RNJ655407 RXF655365:RXF655407 SHB655365:SHB655407 SQX655365:SQX655407 TAT655365:TAT655407 TKP655365:TKP655407 TUL655365:TUL655407 UEH655365:UEH655407 UOD655365:UOD655407 UXZ655365:UXZ655407 VHV655365:VHV655407 VRR655365:VRR655407 WBN655365:WBN655407 WLJ655365:WLJ655407 WVF655365:WVF655407 K720901:K720943 IT720901:IT720943 SP720901:SP720943 ACL720901:ACL720943 AMH720901:AMH720943 AWD720901:AWD720943 BFZ720901:BFZ720943 BPV720901:BPV720943 BZR720901:BZR720943 CJN720901:CJN720943 CTJ720901:CTJ720943 DDF720901:DDF720943 DNB720901:DNB720943 DWX720901:DWX720943 EGT720901:EGT720943 EQP720901:EQP720943 FAL720901:FAL720943 FKH720901:FKH720943 FUD720901:FUD720943 GDZ720901:GDZ720943 GNV720901:GNV720943 GXR720901:GXR720943 HHN720901:HHN720943 HRJ720901:HRJ720943 IBF720901:IBF720943 ILB720901:ILB720943 IUX720901:IUX720943 JET720901:JET720943 JOP720901:JOP720943 JYL720901:JYL720943 KIH720901:KIH720943 KSD720901:KSD720943 LBZ720901:LBZ720943 LLV720901:LLV720943 LVR720901:LVR720943 MFN720901:MFN720943 MPJ720901:MPJ720943 MZF720901:MZF720943 NJB720901:NJB720943 NSX720901:NSX720943 OCT720901:OCT720943 OMP720901:OMP720943 OWL720901:OWL720943 PGH720901:PGH720943 PQD720901:PQD720943 PZZ720901:PZZ720943 QJV720901:QJV720943 QTR720901:QTR720943 RDN720901:RDN720943 RNJ720901:RNJ720943 RXF720901:RXF720943 SHB720901:SHB720943 SQX720901:SQX720943 TAT720901:TAT720943 TKP720901:TKP720943 TUL720901:TUL720943 UEH720901:UEH720943 UOD720901:UOD720943 UXZ720901:UXZ720943 VHV720901:VHV720943 VRR720901:VRR720943 WBN720901:WBN720943 WLJ720901:WLJ720943 WVF720901:WVF720943 K786437:K786479 IT786437:IT786479 SP786437:SP786479 ACL786437:ACL786479 AMH786437:AMH786479 AWD786437:AWD786479 BFZ786437:BFZ786479 BPV786437:BPV786479 BZR786437:BZR786479 CJN786437:CJN786479 CTJ786437:CTJ786479 DDF786437:DDF786479 DNB786437:DNB786479 DWX786437:DWX786479 EGT786437:EGT786479 EQP786437:EQP786479 FAL786437:FAL786479 FKH786437:FKH786479 FUD786437:FUD786479 GDZ786437:GDZ786479 GNV786437:GNV786479 GXR786437:GXR786479 HHN786437:HHN786479 HRJ786437:HRJ786479 IBF786437:IBF786479 ILB786437:ILB786479 IUX786437:IUX786479 JET786437:JET786479 JOP786437:JOP786479 JYL786437:JYL786479 KIH786437:KIH786479 KSD786437:KSD786479 LBZ786437:LBZ786479 LLV786437:LLV786479 LVR786437:LVR786479 MFN786437:MFN786479 MPJ786437:MPJ786479 MZF786437:MZF786479 NJB786437:NJB786479 NSX786437:NSX786479 OCT786437:OCT786479 OMP786437:OMP786479 OWL786437:OWL786479 PGH786437:PGH786479 PQD786437:PQD786479 PZZ786437:PZZ786479 QJV786437:QJV786479 QTR786437:QTR786479 RDN786437:RDN786479 RNJ786437:RNJ786479 RXF786437:RXF786479 SHB786437:SHB786479 SQX786437:SQX786479 TAT786437:TAT786479 TKP786437:TKP786479 TUL786437:TUL786479 UEH786437:UEH786479 UOD786437:UOD786479 UXZ786437:UXZ786479 VHV786437:VHV786479 VRR786437:VRR786479 WBN786437:WBN786479 WLJ786437:WLJ786479 WVF786437:WVF786479 K851973:K852015 IT851973:IT852015 SP851973:SP852015 ACL851973:ACL852015 AMH851973:AMH852015 AWD851973:AWD852015 BFZ851973:BFZ852015 BPV851973:BPV852015 BZR851973:BZR852015 CJN851973:CJN852015 CTJ851973:CTJ852015 DDF851973:DDF852015 DNB851973:DNB852015 DWX851973:DWX852015 EGT851973:EGT852015 EQP851973:EQP852015 FAL851973:FAL852015 FKH851973:FKH852015 FUD851973:FUD852015 GDZ851973:GDZ852015 GNV851973:GNV852015 GXR851973:GXR852015 HHN851973:HHN852015 HRJ851973:HRJ852015 IBF851973:IBF852015 ILB851973:ILB852015 IUX851973:IUX852015 JET851973:JET852015 JOP851973:JOP852015 JYL851973:JYL852015 KIH851973:KIH852015 KSD851973:KSD852015 LBZ851973:LBZ852015 LLV851973:LLV852015 LVR851973:LVR852015 MFN851973:MFN852015 MPJ851973:MPJ852015 MZF851973:MZF852015 NJB851973:NJB852015 NSX851973:NSX852015 OCT851973:OCT852015 OMP851973:OMP852015 OWL851973:OWL852015 PGH851973:PGH852015 PQD851973:PQD852015 PZZ851973:PZZ852015 QJV851973:QJV852015 QTR851973:QTR852015 RDN851973:RDN852015 RNJ851973:RNJ852015 RXF851973:RXF852015 SHB851973:SHB852015 SQX851973:SQX852015 TAT851973:TAT852015 TKP851973:TKP852015 TUL851973:TUL852015 UEH851973:UEH852015 UOD851973:UOD852015 UXZ851973:UXZ852015 VHV851973:VHV852015 VRR851973:VRR852015 WBN851973:WBN852015 WLJ851973:WLJ852015 WVF851973:WVF852015 K917509:K917551 IT917509:IT917551 SP917509:SP917551 ACL917509:ACL917551 AMH917509:AMH917551 AWD917509:AWD917551 BFZ917509:BFZ917551 BPV917509:BPV917551 BZR917509:BZR917551 CJN917509:CJN917551 CTJ917509:CTJ917551 DDF917509:DDF917551 DNB917509:DNB917551 DWX917509:DWX917551 EGT917509:EGT917551 EQP917509:EQP917551 FAL917509:FAL917551 FKH917509:FKH917551 FUD917509:FUD917551 GDZ917509:GDZ917551 GNV917509:GNV917551 GXR917509:GXR917551 HHN917509:HHN917551 HRJ917509:HRJ917551 IBF917509:IBF917551 ILB917509:ILB917551 IUX917509:IUX917551 JET917509:JET917551 JOP917509:JOP917551 JYL917509:JYL917551 KIH917509:KIH917551 KSD917509:KSD917551 LBZ917509:LBZ917551 LLV917509:LLV917551 LVR917509:LVR917551 MFN917509:MFN917551 MPJ917509:MPJ917551 MZF917509:MZF917551 NJB917509:NJB917551 NSX917509:NSX917551 OCT917509:OCT917551 OMP917509:OMP917551 OWL917509:OWL917551 PGH917509:PGH917551 PQD917509:PQD917551 PZZ917509:PZZ917551 QJV917509:QJV917551 QTR917509:QTR917551 RDN917509:RDN917551 RNJ917509:RNJ917551 RXF917509:RXF917551 SHB917509:SHB917551 SQX917509:SQX917551 TAT917509:TAT917551 TKP917509:TKP917551 TUL917509:TUL917551 UEH917509:UEH917551 UOD917509:UOD917551 UXZ917509:UXZ917551 VHV917509:VHV917551 VRR917509:VRR917551 WBN917509:WBN917551 WLJ917509:WLJ917551 WVF917509:WVF917551 K983045:K983087 IT983045:IT983087 SP983045:SP983087 ACL983045:ACL983087 AMH983045:AMH983087 AWD983045:AWD983087 BFZ983045:BFZ983087 BPV983045:BPV983087 BZR983045:BZR983087 CJN983045:CJN983087 CTJ983045:CTJ983087 DDF983045:DDF983087 DNB983045:DNB983087 DWX983045:DWX983087 EGT983045:EGT983087 EQP983045:EQP983087 FAL983045:FAL983087 FKH983045:FKH983087 FUD983045:FUD983087 GDZ983045:GDZ983087 GNV983045:GNV983087 GXR983045:GXR983087 HHN983045:HHN983087 HRJ983045:HRJ983087 IBF983045:IBF983087 ILB983045:ILB983087 IUX983045:IUX983087 JET983045:JET983087 JOP983045:JOP983087 JYL983045:JYL983087 KIH983045:KIH983087 KSD983045:KSD983087 LBZ983045:LBZ983087 LLV983045:LLV983087 LVR983045:LVR983087 MFN983045:MFN983087 MPJ983045:MPJ983087 MZF983045:MZF983087 NJB983045:NJB983087 NSX983045:NSX983087 OCT983045:OCT983087 OMP983045:OMP983087 OWL983045:OWL983087 PGH983045:PGH983087 PQD983045:PQD983087 PZZ983045:PZZ983087 QJV983045:QJV983087 QTR983045:QTR983087 RDN983045:RDN983087 RNJ983045:RNJ983087 RXF983045:RXF983087 SHB983045:SHB983087 SQX983045:SQX983087 TAT983045:TAT983087 TKP983045:TKP983087 TUL983045:TUL983087 UEH983045:UEH983087 UOD983045:UOD983087 UXZ983045:UXZ983087 VHV983045:VHV983087 VRR983045:VRR983087 WBN983045:WBN983087 WLJ983045:WLJ983087">
      <formula1>0</formula1>
      <formula2>40</formula2>
    </dataValidation>
    <dataValidation type="decimal" allowBlank="1" showInputMessage="1" showErrorMessage="1" error="bitte Stundenzahl eingeben!" sqref="IV5:IY47 SR5:SU47 ACN5:ACQ47 AMJ5:AMM47 AWF5:AWI47 BGB5:BGE47 BPX5:BQA47 BZT5:BZW47 CJP5:CJS47 CTL5:CTO47 DDH5:DDK47 DND5:DNG47 DWZ5:DXC47 EGV5:EGY47 EQR5:EQU47 FAN5:FAQ47 FKJ5:FKM47 FUF5:FUI47 GEB5:GEE47 GNX5:GOA47 GXT5:GXW47 HHP5:HHS47 HRL5:HRO47 IBH5:IBK47 ILD5:ILG47 IUZ5:IVC47 JEV5:JEY47 JOR5:JOU47 JYN5:JYQ47 KIJ5:KIM47 KSF5:KSI47 LCB5:LCE47 LLX5:LMA47 LVT5:LVW47 MFP5:MFS47 MPL5:MPO47 MZH5:MZK47 NJD5:NJG47 NSZ5:NTC47 OCV5:OCY47 OMR5:OMU47 OWN5:OWQ47 PGJ5:PGM47 PQF5:PQI47 QAB5:QAE47 QJX5:QKA47 QTT5:QTW47 RDP5:RDS47 RNL5:RNO47 RXH5:RXK47 SHD5:SHG47 SQZ5:SRC47 TAV5:TAY47 TKR5:TKU47 TUN5:TUQ47 UEJ5:UEM47 UOF5:UOI47 UYB5:UYE47 VHX5:VIA47 VRT5:VRW47 WBP5:WBS47 WLL5:WLO47 WVH5:WVK47 IV65541:IY65583 SR65541:SU65583 ACN65541:ACQ65583 AMJ65541:AMM65583 AWF65541:AWI65583 BGB65541:BGE65583 BPX65541:BQA65583 BZT65541:BZW65583 CJP65541:CJS65583 CTL65541:CTO65583 DDH65541:DDK65583 DND65541:DNG65583 DWZ65541:DXC65583 EGV65541:EGY65583 EQR65541:EQU65583 FAN65541:FAQ65583 FKJ65541:FKM65583 FUF65541:FUI65583 GEB65541:GEE65583 GNX65541:GOA65583 GXT65541:GXW65583 HHP65541:HHS65583 HRL65541:HRO65583 IBH65541:IBK65583 ILD65541:ILG65583 IUZ65541:IVC65583 JEV65541:JEY65583 JOR65541:JOU65583 JYN65541:JYQ65583 KIJ65541:KIM65583 KSF65541:KSI65583 LCB65541:LCE65583 LLX65541:LMA65583 LVT65541:LVW65583 MFP65541:MFS65583 MPL65541:MPO65583 MZH65541:MZK65583 NJD65541:NJG65583 NSZ65541:NTC65583 OCV65541:OCY65583 OMR65541:OMU65583 OWN65541:OWQ65583 PGJ65541:PGM65583 PQF65541:PQI65583 QAB65541:QAE65583 QJX65541:QKA65583 QTT65541:QTW65583 RDP65541:RDS65583 RNL65541:RNO65583 RXH65541:RXK65583 SHD65541:SHG65583 SQZ65541:SRC65583 TAV65541:TAY65583 TKR65541:TKU65583 TUN65541:TUQ65583 UEJ65541:UEM65583 UOF65541:UOI65583 UYB65541:UYE65583 VHX65541:VIA65583 VRT65541:VRW65583 WBP65541:WBS65583 WLL65541:WLO65583 WVH65541:WVK65583 IV131077:IY131119 SR131077:SU131119 ACN131077:ACQ131119 AMJ131077:AMM131119 AWF131077:AWI131119 BGB131077:BGE131119 BPX131077:BQA131119 BZT131077:BZW131119 CJP131077:CJS131119 CTL131077:CTO131119 DDH131077:DDK131119 DND131077:DNG131119 DWZ131077:DXC131119 EGV131077:EGY131119 EQR131077:EQU131119 FAN131077:FAQ131119 FKJ131077:FKM131119 FUF131077:FUI131119 GEB131077:GEE131119 GNX131077:GOA131119 GXT131077:GXW131119 HHP131077:HHS131119 HRL131077:HRO131119 IBH131077:IBK131119 ILD131077:ILG131119 IUZ131077:IVC131119 JEV131077:JEY131119 JOR131077:JOU131119 JYN131077:JYQ131119 KIJ131077:KIM131119 KSF131077:KSI131119 LCB131077:LCE131119 LLX131077:LMA131119 LVT131077:LVW131119 MFP131077:MFS131119 MPL131077:MPO131119 MZH131077:MZK131119 NJD131077:NJG131119 NSZ131077:NTC131119 OCV131077:OCY131119 OMR131077:OMU131119 OWN131077:OWQ131119 PGJ131077:PGM131119 PQF131077:PQI131119 QAB131077:QAE131119 QJX131077:QKA131119 QTT131077:QTW131119 RDP131077:RDS131119 RNL131077:RNO131119 RXH131077:RXK131119 SHD131077:SHG131119 SQZ131077:SRC131119 TAV131077:TAY131119 TKR131077:TKU131119 TUN131077:TUQ131119 UEJ131077:UEM131119 UOF131077:UOI131119 UYB131077:UYE131119 VHX131077:VIA131119 VRT131077:VRW131119 WBP131077:WBS131119 WLL131077:WLO131119 WVH131077:WVK131119 IV196613:IY196655 SR196613:SU196655 ACN196613:ACQ196655 AMJ196613:AMM196655 AWF196613:AWI196655 BGB196613:BGE196655 BPX196613:BQA196655 BZT196613:BZW196655 CJP196613:CJS196655 CTL196613:CTO196655 DDH196613:DDK196655 DND196613:DNG196655 DWZ196613:DXC196655 EGV196613:EGY196655 EQR196613:EQU196655 FAN196613:FAQ196655 FKJ196613:FKM196655 FUF196613:FUI196655 GEB196613:GEE196655 GNX196613:GOA196655 GXT196613:GXW196655 HHP196613:HHS196655 HRL196613:HRO196655 IBH196613:IBK196655 ILD196613:ILG196655 IUZ196613:IVC196655 JEV196613:JEY196655 JOR196613:JOU196655 JYN196613:JYQ196655 KIJ196613:KIM196655 KSF196613:KSI196655 LCB196613:LCE196655 LLX196613:LMA196655 LVT196613:LVW196655 MFP196613:MFS196655 MPL196613:MPO196655 MZH196613:MZK196655 NJD196613:NJG196655 NSZ196613:NTC196655 OCV196613:OCY196655 OMR196613:OMU196655 OWN196613:OWQ196655 PGJ196613:PGM196655 PQF196613:PQI196655 QAB196613:QAE196655 QJX196613:QKA196655 QTT196613:QTW196655 RDP196613:RDS196655 RNL196613:RNO196655 RXH196613:RXK196655 SHD196613:SHG196655 SQZ196613:SRC196655 TAV196613:TAY196655 TKR196613:TKU196655 TUN196613:TUQ196655 UEJ196613:UEM196655 UOF196613:UOI196655 UYB196613:UYE196655 VHX196613:VIA196655 VRT196613:VRW196655 WBP196613:WBS196655 WLL196613:WLO196655 WVH196613:WVK196655 IV262149:IY262191 SR262149:SU262191 ACN262149:ACQ262191 AMJ262149:AMM262191 AWF262149:AWI262191 BGB262149:BGE262191 BPX262149:BQA262191 BZT262149:BZW262191 CJP262149:CJS262191 CTL262149:CTO262191 DDH262149:DDK262191 DND262149:DNG262191 DWZ262149:DXC262191 EGV262149:EGY262191 EQR262149:EQU262191 FAN262149:FAQ262191 FKJ262149:FKM262191 FUF262149:FUI262191 GEB262149:GEE262191 GNX262149:GOA262191 GXT262149:GXW262191 HHP262149:HHS262191 HRL262149:HRO262191 IBH262149:IBK262191 ILD262149:ILG262191 IUZ262149:IVC262191 JEV262149:JEY262191 JOR262149:JOU262191 JYN262149:JYQ262191 KIJ262149:KIM262191 KSF262149:KSI262191 LCB262149:LCE262191 LLX262149:LMA262191 LVT262149:LVW262191 MFP262149:MFS262191 MPL262149:MPO262191 MZH262149:MZK262191 NJD262149:NJG262191 NSZ262149:NTC262191 OCV262149:OCY262191 OMR262149:OMU262191 OWN262149:OWQ262191 PGJ262149:PGM262191 PQF262149:PQI262191 QAB262149:QAE262191 QJX262149:QKA262191 QTT262149:QTW262191 RDP262149:RDS262191 RNL262149:RNO262191 RXH262149:RXK262191 SHD262149:SHG262191 SQZ262149:SRC262191 TAV262149:TAY262191 TKR262149:TKU262191 TUN262149:TUQ262191 UEJ262149:UEM262191 UOF262149:UOI262191 UYB262149:UYE262191 VHX262149:VIA262191 VRT262149:VRW262191 WBP262149:WBS262191 WLL262149:WLO262191 WVH262149:WVK262191 IV327685:IY327727 SR327685:SU327727 ACN327685:ACQ327727 AMJ327685:AMM327727 AWF327685:AWI327727 BGB327685:BGE327727 BPX327685:BQA327727 BZT327685:BZW327727 CJP327685:CJS327727 CTL327685:CTO327727 DDH327685:DDK327727 DND327685:DNG327727 DWZ327685:DXC327727 EGV327685:EGY327727 EQR327685:EQU327727 FAN327685:FAQ327727 FKJ327685:FKM327727 FUF327685:FUI327727 GEB327685:GEE327727 GNX327685:GOA327727 GXT327685:GXW327727 HHP327685:HHS327727 HRL327685:HRO327727 IBH327685:IBK327727 ILD327685:ILG327727 IUZ327685:IVC327727 JEV327685:JEY327727 JOR327685:JOU327727 JYN327685:JYQ327727 KIJ327685:KIM327727 KSF327685:KSI327727 LCB327685:LCE327727 LLX327685:LMA327727 LVT327685:LVW327727 MFP327685:MFS327727 MPL327685:MPO327727 MZH327685:MZK327727 NJD327685:NJG327727 NSZ327685:NTC327727 OCV327685:OCY327727 OMR327685:OMU327727 OWN327685:OWQ327727 PGJ327685:PGM327727 PQF327685:PQI327727 QAB327685:QAE327727 QJX327685:QKA327727 QTT327685:QTW327727 RDP327685:RDS327727 RNL327685:RNO327727 RXH327685:RXK327727 SHD327685:SHG327727 SQZ327685:SRC327727 TAV327685:TAY327727 TKR327685:TKU327727 TUN327685:TUQ327727 UEJ327685:UEM327727 UOF327685:UOI327727 UYB327685:UYE327727 VHX327685:VIA327727 VRT327685:VRW327727 WBP327685:WBS327727 WLL327685:WLO327727 WVH327685:WVK327727 IV393221:IY393263 SR393221:SU393263 ACN393221:ACQ393263 AMJ393221:AMM393263 AWF393221:AWI393263 BGB393221:BGE393263 BPX393221:BQA393263 BZT393221:BZW393263 CJP393221:CJS393263 CTL393221:CTO393263 DDH393221:DDK393263 DND393221:DNG393263 DWZ393221:DXC393263 EGV393221:EGY393263 EQR393221:EQU393263 FAN393221:FAQ393263 FKJ393221:FKM393263 FUF393221:FUI393263 GEB393221:GEE393263 GNX393221:GOA393263 GXT393221:GXW393263 HHP393221:HHS393263 HRL393221:HRO393263 IBH393221:IBK393263 ILD393221:ILG393263 IUZ393221:IVC393263 JEV393221:JEY393263 JOR393221:JOU393263 JYN393221:JYQ393263 KIJ393221:KIM393263 KSF393221:KSI393263 LCB393221:LCE393263 LLX393221:LMA393263 LVT393221:LVW393263 MFP393221:MFS393263 MPL393221:MPO393263 MZH393221:MZK393263 NJD393221:NJG393263 NSZ393221:NTC393263 OCV393221:OCY393263 OMR393221:OMU393263 OWN393221:OWQ393263 PGJ393221:PGM393263 PQF393221:PQI393263 QAB393221:QAE393263 QJX393221:QKA393263 QTT393221:QTW393263 RDP393221:RDS393263 RNL393221:RNO393263 RXH393221:RXK393263 SHD393221:SHG393263 SQZ393221:SRC393263 TAV393221:TAY393263 TKR393221:TKU393263 TUN393221:TUQ393263 UEJ393221:UEM393263 UOF393221:UOI393263 UYB393221:UYE393263 VHX393221:VIA393263 VRT393221:VRW393263 WBP393221:WBS393263 WLL393221:WLO393263 WVH393221:WVK393263 IV458757:IY458799 SR458757:SU458799 ACN458757:ACQ458799 AMJ458757:AMM458799 AWF458757:AWI458799 BGB458757:BGE458799 BPX458757:BQA458799 BZT458757:BZW458799 CJP458757:CJS458799 CTL458757:CTO458799 DDH458757:DDK458799 DND458757:DNG458799 DWZ458757:DXC458799 EGV458757:EGY458799 EQR458757:EQU458799 FAN458757:FAQ458799 FKJ458757:FKM458799 FUF458757:FUI458799 GEB458757:GEE458799 GNX458757:GOA458799 GXT458757:GXW458799 HHP458757:HHS458799 HRL458757:HRO458799 IBH458757:IBK458799 ILD458757:ILG458799 IUZ458757:IVC458799 JEV458757:JEY458799 JOR458757:JOU458799 JYN458757:JYQ458799 KIJ458757:KIM458799 KSF458757:KSI458799 LCB458757:LCE458799 LLX458757:LMA458799 LVT458757:LVW458799 MFP458757:MFS458799 MPL458757:MPO458799 MZH458757:MZK458799 NJD458757:NJG458799 NSZ458757:NTC458799 OCV458757:OCY458799 OMR458757:OMU458799 OWN458757:OWQ458799 PGJ458757:PGM458799 PQF458757:PQI458799 QAB458757:QAE458799 QJX458757:QKA458799 QTT458757:QTW458799 RDP458757:RDS458799 RNL458757:RNO458799 RXH458757:RXK458799 SHD458757:SHG458799 SQZ458757:SRC458799 TAV458757:TAY458799 TKR458757:TKU458799 TUN458757:TUQ458799 UEJ458757:UEM458799 UOF458757:UOI458799 UYB458757:UYE458799 VHX458757:VIA458799 VRT458757:VRW458799 WBP458757:WBS458799 WLL458757:WLO458799 WVH458757:WVK458799 IV524293:IY524335 SR524293:SU524335 ACN524293:ACQ524335 AMJ524293:AMM524335 AWF524293:AWI524335 BGB524293:BGE524335 BPX524293:BQA524335 BZT524293:BZW524335 CJP524293:CJS524335 CTL524293:CTO524335 DDH524293:DDK524335 DND524293:DNG524335 DWZ524293:DXC524335 EGV524293:EGY524335 EQR524293:EQU524335 FAN524293:FAQ524335 FKJ524293:FKM524335 FUF524293:FUI524335 GEB524293:GEE524335 GNX524293:GOA524335 GXT524293:GXW524335 HHP524293:HHS524335 HRL524293:HRO524335 IBH524293:IBK524335 ILD524293:ILG524335 IUZ524293:IVC524335 JEV524293:JEY524335 JOR524293:JOU524335 JYN524293:JYQ524335 KIJ524293:KIM524335 KSF524293:KSI524335 LCB524293:LCE524335 LLX524293:LMA524335 LVT524293:LVW524335 MFP524293:MFS524335 MPL524293:MPO524335 MZH524293:MZK524335 NJD524293:NJG524335 NSZ524293:NTC524335 OCV524293:OCY524335 OMR524293:OMU524335 OWN524293:OWQ524335 PGJ524293:PGM524335 PQF524293:PQI524335 QAB524293:QAE524335 QJX524293:QKA524335 QTT524293:QTW524335 RDP524293:RDS524335 RNL524293:RNO524335 RXH524293:RXK524335 SHD524293:SHG524335 SQZ524293:SRC524335 TAV524293:TAY524335 TKR524293:TKU524335 TUN524293:TUQ524335 UEJ524293:UEM524335 UOF524293:UOI524335 UYB524293:UYE524335 VHX524293:VIA524335 VRT524293:VRW524335 WBP524293:WBS524335 WLL524293:WLO524335 WVH524293:WVK524335 IV589829:IY589871 SR589829:SU589871 ACN589829:ACQ589871 AMJ589829:AMM589871 AWF589829:AWI589871 BGB589829:BGE589871 BPX589829:BQA589871 BZT589829:BZW589871 CJP589829:CJS589871 CTL589829:CTO589871 DDH589829:DDK589871 DND589829:DNG589871 DWZ589829:DXC589871 EGV589829:EGY589871 EQR589829:EQU589871 FAN589829:FAQ589871 FKJ589829:FKM589871 FUF589829:FUI589871 GEB589829:GEE589871 GNX589829:GOA589871 GXT589829:GXW589871 HHP589829:HHS589871 HRL589829:HRO589871 IBH589829:IBK589871 ILD589829:ILG589871 IUZ589829:IVC589871 JEV589829:JEY589871 JOR589829:JOU589871 JYN589829:JYQ589871 KIJ589829:KIM589871 KSF589829:KSI589871 LCB589829:LCE589871 LLX589829:LMA589871 LVT589829:LVW589871 MFP589829:MFS589871 MPL589829:MPO589871 MZH589829:MZK589871 NJD589829:NJG589871 NSZ589829:NTC589871 OCV589829:OCY589871 OMR589829:OMU589871 OWN589829:OWQ589871 PGJ589829:PGM589871 PQF589829:PQI589871 QAB589829:QAE589871 QJX589829:QKA589871 QTT589829:QTW589871 RDP589829:RDS589871 RNL589829:RNO589871 RXH589829:RXK589871 SHD589829:SHG589871 SQZ589829:SRC589871 TAV589829:TAY589871 TKR589829:TKU589871 TUN589829:TUQ589871 UEJ589829:UEM589871 UOF589829:UOI589871 UYB589829:UYE589871 VHX589829:VIA589871 VRT589829:VRW589871 WBP589829:WBS589871 WLL589829:WLO589871 WVH589829:WVK589871 IV655365:IY655407 SR655365:SU655407 ACN655365:ACQ655407 AMJ655365:AMM655407 AWF655365:AWI655407 BGB655365:BGE655407 BPX655365:BQA655407 BZT655365:BZW655407 CJP655365:CJS655407 CTL655365:CTO655407 DDH655365:DDK655407 DND655365:DNG655407 DWZ655365:DXC655407 EGV655365:EGY655407 EQR655365:EQU655407 FAN655365:FAQ655407 FKJ655365:FKM655407 FUF655365:FUI655407 GEB655365:GEE655407 GNX655365:GOA655407 GXT655365:GXW655407 HHP655365:HHS655407 HRL655365:HRO655407 IBH655365:IBK655407 ILD655365:ILG655407 IUZ655365:IVC655407 JEV655365:JEY655407 JOR655365:JOU655407 JYN655365:JYQ655407 KIJ655365:KIM655407 KSF655365:KSI655407 LCB655365:LCE655407 LLX655365:LMA655407 LVT655365:LVW655407 MFP655365:MFS655407 MPL655365:MPO655407 MZH655365:MZK655407 NJD655365:NJG655407 NSZ655365:NTC655407 OCV655365:OCY655407 OMR655365:OMU655407 OWN655365:OWQ655407 PGJ655365:PGM655407 PQF655365:PQI655407 QAB655365:QAE655407 QJX655365:QKA655407 QTT655365:QTW655407 RDP655365:RDS655407 RNL655365:RNO655407 RXH655365:RXK655407 SHD655365:SHG655407 SQZ655365:SRC655407 TAV655365:TAY655407 TKR655365:TKU655407 TUN655365:TUQ655407 UEJ655365:UEM655407 UOF655365:UOI655407 UYB655365:UYE655407 VHX655365:VIA655407 VRT655365:VRW655407 WBP655365:WBS655407 WLL655365:WLO655407 WVH655365:WVK655407 IV720901:IY720943 SR720901:SU720943 ACN720901:ACQ720943 AMJ720901:AMM720943 AWF720901:AWI720943 BGB720901:BGE720943 BPX720901:BQA720943 BZT720901:BZW720943 CJP720901:CJS720943 CTL720901:CTO720943 DDH720901:DDK720943 DND720901:DNG720943 DWZ720901:DXC720943 EGV720901:EGY720943 EQR720901:EQU720943 FAN720901:FAQ720943 FKJ720901:FKM720943 FUF720901:FUI720943 GEB720901:GEE720943 GNX720901:GOA720943 GXT720901:GXW720943 HHP720901:HHS720943 HRL720901:HRO720943 IBH720901:IBK720943 ILD720901:ILG720943 IUZ720901:IVC720943 JEV720901:JEY720943 JOR720901:JOU720943 JYN720901:JYQ720943 KIJ720901:KIM720943 KSF720901:KSI720943 LCB720901:LCE720943 LLX720901:LMA720943 LVT720901:LVW720943 MFP720901:MFS720943 MPL720901:MPO720943 MZH720901:MZK720943 NJD720901:NJG720943 NSZ720901:NTC720943 OCV720901:OCY720943 OMR720901:OMU720943 OWN720901:OWQ720943 PGJ720901:PGM720943 PQF720901:PQI720943 QAB720901:QAE720943 QJX720901:QKA720943 QTT720901:QTW720943 RDP720901:RDS720943 RNL720901:RNO720943 RXH720901:RXK720943 SHD720901:SHG720943 SQZ720901:SRC720943 TAV720901:TAY720943 TKR720901:TKU720943 TUN720901:TUQ720943 UEJ720901:UEM720943 UOF720901:UOI720943 UYB720901:UYE720943 VHX720901:VIA720943 VRT720901:VRW720943 WBP720901:WBS720943 WLL720901:WLO720943 WVH720901:WVK720943 IV786437:IY786479 SR786437:SU786479 ACN786437:ACQ786479 AMJ786437:AMM786479 AWF786437:AWI786479 BGB786437:BGE786479 BPX786437:BQA786479 BZT786437:BZW786479 CJP786437:CJS786479 CTL786437:CTO786479 DDH786437:DDK786479 DND786437:DNG786479 DWZ786437:DXC786479 EGV786437:EGY786479 EQR786437:EQU786479 FAN786437:FAQ786479 FKJ786437:FKM786479 FUF786437:FUI786479 GEB786437:GEE786479 GNX786437:GOA786479 GXT786437:GXW786479 HHP786437:HHS786479 HRL786437:HRO786479 IBH786437:IBK786479 ILD786437:ILG786479 IUZ786437:IVC786479 JEV786437:JEY786479 JOR786437:JOU786479 JYN786437:JYQ786479 KIJ786437:KIM786479 KSF786437:KSI786479 LCB786437:LCE786479 LLX786437:LMA786479 LVT786437:LVW786479 MFP786437:MFS786479 MPL786437:MPO786479 MZH786437:MZK786479 NJD786437:NJG786479 NSZ786437:NTC786479 OCV786437:OCY786479 OMR786437:OMU786479 OWN786437:OWQ786479 PGJ786437:PGM786479 PQF786437:PQI786479 QAB786437:QAE786479 QJX786437:QKA786479 QTT786437:QTW786479 RDP786437:RDS786479 RNL786437:RNO786479 RXH786437:RXK786479 SHD786437:SHG786479 SQZ786437:SRC786479 TAV786437:TAY786479 TKR786437:TKU786479 TUN786437:TUQ786479 UEJ786437:UEM786479 UOF786437:UOI786479 UYB786437:UYE786479 VHX786437:VIA786479 VRT786437:VRW786479 WBP786437:WBS786479 WLL786437:WLO786479 WVH786437:WVK786479 IV851973:IY852015 SR851973:SU852015 ACN851973:ACQ852015 AMJ851973:AMM852015 AWF851973:AWI852015 BGB851973:BGE852015 BPX851973:BQA852015 BZT851973:BZW852015 CJP851973:CJS852015 CTL851973:CTO852015 DDH851973:DDK852015 DND851973:DNG852015 DWZ851973:DXC852015 EGV851973:EGY852015 EQR851973:EQU852015 FAN851973:FAQ852015 FKJ851973:FKM852015 FUF851973:FUI852015 GEB851973:GEE852015 GNX851973:GOA852015 GXT851973:GXW852015 HHP851973:HHS852015 HRL851973:HRO852015 IBH851973:IBK852015 ILD851973:ILG852015 IUZ851973:IVC852015 JEV851973:JEY852015 JOR851973:JOU852015 JYN851973:JYQ852015 KIJ851973:KIM852015 KSF851973:KSI852015 LCB851973:LCE852015 LLX851973:LMA852015 LVT851973:LVW852015 MFP851973:MFS852015 MPL851973:MPO852015 MZH851973:MZK852015 NJD851973:NJG852015 NSZ851973:NTC852015 OCV851973:OCY852015 OMR851973:OMU852015 OWN851973:OWQ852015 PGJ851973:PGM852015 PQF851973:PQI852015 QAB851973:QAE852015 QJX851973:QKA852015 QTT851973:QTW852015 RDP851973:RDS852015 RNL851973:RNO852015 RXH851973:RXK852015 SHD851973:SHG852015 SQZ851973:SRC852015 TAV851973:TAY852015 TKR851973:TKU852015 TUN851973:TUQ852015 UEJ851973:UEM852015 UOF851973:UOI852015 UYB851973:UYE852015 VHX851973:VIA852015 VRT851973:VRW852015 WBP851973:WBS852015 WLL851973:WLO852015 WVH851973:WVK852015 IV917509:IY917551 SR917509:SU917551 ACN917509:ACQ917551 AMJ917509:AMM917551 AWF917509:AWI917551 BGB917509:BGE917551 BPX917509:BQA917551 BZT917509:BZW917551 CJP917509:CJS917551 CTL917509:CTO917551 DDH917509:DDK917551 DND917509:DNG917551 DWZ917509:DXC917551 EGV917509:EGY917551 EQR917509:EQU917551 FAN917509:FAQ917551 FKJ917509:FKM917551 FUF917509:FUI917551 GEB917509:GEE917551 GNX917509:GOA917551 GXT917509:GXW917551 HHP917509:HHS917551 HRL917509:HRO917551 IBH917509:IBK917551 ILD917509:ILG917551 IUZ917509:IVC917551 JEV917509:JEY917551 JOR917509:JOU917551 JYN917509:JYQ917551 KIJ917509:KIM917551 KSF917509:KSI917551 LCB917509:LCE917551 LLX917509:LMA917551 LVT917509:LVW917551 MFP917509:MFS917551 MPL917509:MPO917551 MZH917509:MZK917551 NJD917509:NJG917551 NSZ917509:NTC917551 OCV917509:OCY917551 OMR917509:OMU917551 OWN917509:OWQ917551 PGJ917509:PGM917551 PQF917509:PQI917551 QAB917509:QAE917551 QJX917509:QKA917551 QTT917509:QTW917551 RDP917509:RDS917551 RNL917509:RNO917551 RXH917509:RXK917551 SHD917509:SHG917551 SQZ917509:SRC917551 TAV917509:TAY917551 TKR917509:TKU917551 TUN917509:TUQ917551 UEJ917509:UEM917551 UOF917509:UOI917551 UYB917509:UYE917551 VHX917509:VIA917551 VRT917509:VRW917551 WBP917509:WBS917551 WLL917509:WLO917551 WVH917509:WVK917551 WVH983045:WVK983087 IV983045:IY983087 SR983045:SU983087 ACN983045:ACQ983087 AMJ983045:AMM983087 AWF983045:AWI983087 BGB983045:BGE983087 BPX983045:BQA983087 BZT983045:BZW983087 CJP983045:CJS983087 CTL983045:CTO983087 DDH983045:DDK983087 DND983045:DNG983087 DWZ983045:DXC983087 EGV983045:EGY983087 EQR983045:EQU983087 FAN983045:FAQ983087 FKJ983045:FKM983087 FUF983045:FUI983087 GEB983045:GEE983087 GNX983045:GOA983087 GXT983045:GXW983087 HHP983045:HHS983087 HRL983045:HRO983087 IBH983045:IBK983087 ILD983045:ILG983087 IUZ983045:IVC983087 JEV983045:JEY983087 JOR983045:JOU983087 JYN983045:JYQ983087 KIJ983045:KIM983087 KSF983045:KSI983087 LCB983045:LCE983087 LLX983045:LMA983087 LVT983045:LVW983087 MFP983045:MFS983087 MPL983045:MPO983087 MZH983045:MZK983087 NJD983045:NJG983087 NSZ983045:NTC983087 OCV983045:OCY983087 OMR983045:OMU983087 OWN983045:OWQ983087 PGJ983045:PGM983087 PQF983045:PQI983087 QAB983045:QAE983087 QJX983045:QKA983087 QTT983045:QTW983087 RDP983045:RDS983087 RNL983045:RNO983087 RXH983045:RXK983087 SHD983045:SHG983087 SQZ983045:SRC983087 TAV983045:TAY983087 TKR983045:TKU983087 TUN983045:TUQ983087 UEJ983045:UEM983087 UOF983045:UOI983087 UYB983045:UYE983087 VHX983045:VIA983087 VRT983045:VRW983087 WBP983045:WBS983087 WLL983045:WLO983087 N131077:N131119 H131077:J131119 N196613:N196655 H196613:J196655 N262149:N262191 H262149:J262191 N327685:N327727 H327685:J327727 N393221:N393263 H393221:J393263 N458757:N458799 H458757:J458799 N524293:N524335 H524293:J524335 N589829:N589871 H589829:J589871 N655365:N655407 H655365:J655407 N720901:N720943 H720901:J720943 N786437:N786479 H786437:J786479 N851973:N852015 H851973:J852015 N917509:N917551 H917509:J917551 N983045:N983087 H983045:J983087 N65541:N65583 H65541:J65583">
      <formula1>0</formula1>
      <formula2>33</formula2>
    </dataValidation>
    <dataValidation type="decimal" allowBlank="1" showInputMessage="1" showErrorMessage="1" sqref="WVM983045:WVN983087 JA5:JB47 SW5:SX47 ACS5:ACT47 AMO5:AMP47 AWK5:AWL47 BGG5:BGH47 BQC5:BQD47 BZY5:BZZ47 CJU5:CJV47 CTQ5:CTR47 DDM5:DDN47 DNI5:DNJ47 DXE5:DXF47 EHA5:EHB47 EQW5:EQX47 FAS5:FAT47 FKO5:FKP47 FUK5:FUL47 GEG5:GEH47 GOC5:GOD47 GXY5:GXZ47 HHU5:HHV47 HRQ5:HRR47 IBM5:IBN47 ILI5:ILJ47 IVE5:IVF47 JFA5:JFB47 JOW5:JOX47 JYS5:JYT47 KIO5:KIP47 KSK5:KSL47 LCG5:LCH47 LMC5:LMD47 LVY5:LVZ47 MFU5:MFV47 MPQ5:MPR47 MZM5:MZN47 NJI5:NJJ47 NTE5:NTF47 ODA5:ODB47 OMW5:OMX47 OWS5:OWT47 PGO5:PGP47 PQK5:PQL47 QAG5:QAH47 QKC5:QKD47 QTY5:QTZ47 RDU5:RDV47 RNQ5:RNR47 RXM5:RXN47 SHI5:SHJ47 SRE5:SRF47 TBA5:TBB47 TKW5:TKX47 TUS5:TUT47 UEO5:UEP47 UOK5:UOL47 UYG5:UYH47 VIC5:VID47 VRY5:VRZ47 WBU5:WBV47 WLQ5:WLR47 WVM5:WVN47 JA65541:JB65583 SW65541:SX65583 ACS65541:ACT65583 AMO65541:AMP65583 AWK65541:AWL65583 BGG65541:BGH65583 BQC65541:BQD65583 BZY65541:BZZ65583 CJU65541:CJV65583 CTQ65541:CTR65583 DDM65541:DDN65583 DNI65541:DNJ65583 DXE65541:DXF65583 EHA65541:EHB65583 EQW65541:EQX65583 FAS65541:FAT65583 FKO65541:FKP65583 FUK65541:FUL65583 GEG65541:GEH65583 GOC65541:GOD65583 GXY65541:GXZ65583 HHU65541:HHV65583 HRQ65541:HRR65583 IBM65541:IBN65583 ILI65541:ILJ65583 IVE65541:IVF65583 JFA65541:JFB65583 JOW65541:JOX65583 JYS65541:JYT65583 KIO65541:KIP65583 KSK65541:KSL65583 LCG65541:LCH65583 LMC65541:LMD65583 LVY65541:LVZ65583 MFU65541:MFV65583 MPQ65541:MPR65583 MZM65541:MZN65583 NJI65541:NJJ65583 NTE65541:NTF65583 ODA65541:ODB65583 OMW65541:OMX65583 OWS65541:OWT65583 PGO65541:PGP65583 PQK65541:PQL65583 QAG65541:QAH65583 QKC65541:QKD65583 QTY65541:QTZ65583 RDU65541:RDV65583 RNQ65541:RNR65583 RXM65541:RXN65583 SHI65541:SHJ65583 SRE65541:SRF65583 TBA65541:TBB65583 TKW65541:TKX65583 TUS65541:TUT65583 UEO65541:UEP65583 UOK65541:UOL65583 UYG65541:UYH65583 VIC65541:VID65583 VRY65541:VRZ65583 WBU65541:WBV65583 WLQ65541:WLR65583 WVM65541:WVN65583 JA131077:JB131119 SW131077:SX131119 ACS131077:ACT131119 AMO131077:AMP131119 AWK131077:AWL131119 BGG131077:BGH131119 BQC131077:BQD131119 BZY131077:BZZ131119 CJU131077:CJV131119 CTQ131077:CTR131119 DDM131077:DDN131119 DNI131077:DNJ131119 DXE131077:DXF131119 EHA131077:EHB131119 EQW131077:EQX131119 FAS131077:FAT131119 FKO131077:FKP131119 FUK131077:FUL131119 GEG131077:GEH131119 GOC131077:GOD131119 GXY131077:GXZ131119 HHU131077:HHV131119 HRQ131077:HRR131119 IBM131077:IBN131119 ILI131077:ILJ131119 IVE131077:IVF131119 JFA131077:JFB131119 JOW131077:JOX131119 JYS131077:JYT131119 KIO131077:KIP131119 KSK131077:KSL131119 LCG131077:LCH131119 LMC131077:LMD131119 LVY131077:LVZ131119 MFU131077:MFV131119 MPQ131077:MPR131119 MZM131077:MZN131119 NJI131077:NJJ131119 NTE131077:NTF131119 ODA131077:ODB131119 OMW131077:OMX131119 OWS131077:OWT131119 PGO131077:PGP131119 PQK131077:PQL131119 QAG131077:QAH131119 QKC131077:QKD131119 QTY131077:QTZ131119 RDU131077:RDV131119 RNQ131077:RNR131119 RXM131077:RXN131119 SHI131077:SHJ131119 SRE131077:SRF131119 TBA131077:TBB131119 TKW131077:TKX131119 TUS131077:TUT131119 UEO131077:UEP131119 UOK131077:UOL131119 UYG131077:UYH131119 VIC131077:VID131119 VRY131077:VRZ131119 WBU131077:WBV131119 WLQ131077:WLR131119 WVM131077:WVN131119 JA196613:JB196655 SW196613:SX196655 ACS196613:ACT196655 AMO196613:AMP196655 AWK196613:AWL196655 BGG196613:BGH196655 BQC196613:BQD196655 BZY196613:BZZ196655 CJU196613:CJV196655 CTQ196613:CTR196655 DDM196613:DDN196655 DNI196613:DNJ196655 DXE196613:DXF196655 EHA196613:EHB196655 EQW196613:EQX196655 FAS196613:FAT196655 FKO196613:FKP196655 FUK196613:FUL196655 GEG196613:GEH196655 GOC196613:GOD196655 GXY196613:GXZ196655 HHU196613:HHV196655 HRQ196613:HRR196655 IBM196613:IBN196655 ILI196613:ILJ196655 IVE196613:IVF196655 JFA196613:JFB196655 JOW196613:JOX196655 JYS196613:JYT196655 KIO196613:KIP196655 KSK196613:KSL196655 LCG196613:LCH196655 LMC196613:LMD196655 LVY196613:LVZ196655 MFU196613:MFV196655 MPQ196613:MPR196655 MZM196613:MZN196655 NJI196613:NJJ196655 NTE196613:NTF196655 ODA196613:ODB196655 OMW196613:OMX196655 OWS196613:OWT196655 PGO196613:PGP196655 PQK196613:PQL196655 QAG196613:QAH196655 QKC196613:QKD196655 QTY196613:QTZ196655 RDU196613:RDV196655 RNQ196613:RNR196655 RXM196613:RXN196655 SHI196613:SHJ196655 SRE196613:SRF196655 TBA196613:TBB196655 TKW196613:TKX196655 TUS196613:TUT196655 UEO196613:UEP196655 UOK196613:UOL196655 UYG196613:UYH196655 VIC196613:VID196655 VRY196613:VRZ196655 WBU196613:WBV196655 WLQ196613:WLR196655 WVM196613:WVN196655 JA262149:JB262191 SW262149:SX262191 ACS262149:ACT262191 AMO262149:AMP262191 AWK262149:AWL262191 BGG262149:BGH262191 BQC262149:BQD262191 BZY262149:BZZ262191 CJU262149:CJV262191 CTQ262149:CTR262191 DDM262149:DDN262191 DNI262149:DNJ262191 DXE262149:DXF262191 EHA262149:EHB262191 EQW262149:EQX262191 FAS262149:FAT262191 FKO262149:FKP262191 FUK262149:FUL262191 GEG262149:GEH262191 GOC262149:GOD262191 GXY262149:GXZ262191 HHU262149:HHV262191 HRQ262149:HRR262191 IBM262149:IBN262191 ILI262149:ILJ262191 IVE262149:IVF262191 JFA262149:JFB262191 JOW262149:JOX262191 JYS262149:JYT262191 KIO262149:KIP262191 KSK262149:KSL262191 LCG262149:LCH262191 LMC262149:LMD262191 LVY262149:LVZ262191 MFU262149:MFV262191 MPQ262149:MPR262191 MZM262149:MZN262191 NJI262149:NJJ262191 NTE262149:NTF262191 ODA262149:ODB262191 OMW262149:OMX262191 OWS262149:OWT262191 PGO262149:PGP262191 PQK262149:PQL262191 QAG262149:QAH262191 QKC262149:QKD262191 QTY262149:QTZ262191 RDU262149:RDV262191 RNQ262149:RNR262191 RXM262149:RXN262191 SHI262149:SHJ262191 SRE262149:SRF262191 TBA262149:TBB262191 TKW262149:TKX262191 TUS262149:TUT262191 UEO262149:UEP262191 UOK262149:UOL262191 UYG262149:UYH262191 VIC262149:VID262191 VRY262149:VRZ262191 WBU262149:WBV262191 WLQ262149:WLR262191 WVM262149:WVN262191 JA327685:JB327727 SW327685:SX327727 ACS327685:ACT327727 AMO327685:AMP327727 AWK327685:AWL327727 BGG327685:BGH327727 BQC327685:BQD327727 BZY327685:BZZ327727 CJU327685:CJV327727 CTQ327685:CTR327727 DDM327685:DDN327727 DNI327685:DNJ327727 DXE327685:DXF327727 EHA327685:EHB327727 EQW327685:EQX327727 FAS327685:FAT327727 FKO327685:FKP327727 FUK327685:FUL327727 GEG327685:GEH327727 GOC327685:GOD327727 GXY327685:GXZ327727 HHU327685:HHV327727 HRQ327685:HRR327727 IBM327685:IBN327727 ILI327685:ILJ327727 IVE327685:IVF327727 JFA327685:JFB327727 JOW327685:JOX327727 JYS327685:JYT327727 KIO327685:KIP327727 KSK327685:KSL327727 LCG327685:LCH327727 LMC327685:LMD327727 LVY327685:LVZ327727 MFU327685:MFV327727 MPQ327685:MPR327727 MZM327685:MZN327727 NJI327685:NJJ327727 NTE327685:NTF327727 ODA327685:ODB327727 OMW327685:OMX327727 OWS327685:OWT327727 PGO327685:PGP327727 PQK327685:PQL327727 QAG327685:QAH327727 QKC327685:QKD327727 QTY327685:QTZ327727 RDU327685:RDV327727 RNQ327685:RNR327727 RXM327685:RXN327727 SHI327685:SHJ327727 SRE327685:SRF327727 TBA327685:TBB327727 TKW327685:TKX327727 TUS327685:TUT327727 UEO327685:UEP327727 UOK327685:UOL327727 UYG327685:UYH327727 VIC327685:VID327727 VRY327685:VRZ327727 WBU327685:WBV327727 WLQ327685:WLR327727 WVM327685:WVN327727 JA393221:JB393263 SW393221:SX393263 ACS393221:ACT393263 AMO393221:AMP393263 AWK393221:AWL393263 BGG393221:BGH393263 BQC393221:BQD393263 BZY393221:BZZ393263 CJU393221:CJV393263 CTQ393221:CTR393263 DDM393221:DDN393263 DNI393221:DNJ393263 DXE393221:DXF393263 EHA393221:EHB393263 EQW393221:EQX393263 FAS393221:FAT393263 FKO393221:FKP393263 FUK393221:FUL393263 GEG393221:GEH393263 GOC393221:GOD393263 GXY393221:GXZ393263 HHU393221:HHV393263 HRQ393221:HRR393263 IBM393221:IBN393263 ILI393221:ILJ393263 IVE393221:IVF393263 JFA393221:JFB393263 JOW393221:JOX393263 JYS393221:JYT393263 KIO393221:KIP393263 KSK393221:KSL393263 LCG393221:LCH393263 LMC393221:LMD393263 LVY393221:LVZ393263 MFU393221:MFV393263 MPQ393221:MPR393263 MZM393221:MZN393263 NJI393221:NJJ393263 NTE393221:NTF393263 ODA393221:ODB393263 OMW393221:OMX393263 OWS393221:OWT393263 PGO393221:PGP393263 PQK393221:PQL393263 QAG393221:QAH393263 QKC393221:QKD393263 QTY393221:QTZ393263 RDU393221:RDV393263 RNQ393221:RNR393263 RXM393221:RXN393263 SHI393221:SHJ393263 SRE393221:SRF393263 TBA393221:TBB393263 TKW393221:TKX393263 TUS393221:TUT393263 UEO393221:UEP393263 UOK393221:UOL393263 UYG393221:UYH393263 VIC393221:VID393263 VRY393221:VRZ393263 WBU393221:WBV393263 WLQ393221:WLR393263 WVM393221:WVN393263 JA458757:JB458799 SW458757:SX458799 ACS458757:ACT458799 AMO458757:AMP458799 AWK458757:AWL458799 BGG458757:BGH458799 BQC458757:BQD458799 BZY458757:BZZ458799 CJU458757:CJV458799 CTQ458757:CTR458799 DDM458757:DDN458799 DNI458757:DNJ458799 DXE458757:DXF458799 EHA458757:EHB458799 EQW458757:EQX458799 FAS458757:FAT458799 FKO458757:FKP458799 FUK458757:FUL458799 GEG458757:GEH458799 GOC458757:GOD458799 GXY458757:GXZ458799 HHU458757:HHV458799 HRQ458757:HRR458799 IBM458757:IBN458799 ILI458757:ILJ458799 IVE458757:IVF458799 JFA458757:JFB458799 JOW458757:JOX458799 JYS458757:JYT458799 KIO458757:KIP458799 KSK458757:KSL458799 LCG458757:LCH458799 LMC458757:LMD458799 LVY458757:LVZ458799 MFU458757:MFV458799 MPQ458757:MPR458799 MZM458757:MZN458799 NJI458757:NJJ458799 NTE458757:NTF458799 ODA458757:ODB458799 OMW458757:OMX458799 OWS458757:OWT458799 PGO458757:PGP458799 PQK458757:PQL458799 QAG458757:QAH458799 QKC458757:QKD458799 QTY458757:QTZ458799 RDU458757:RDV458799 RNQ458757:RNR458799 RXM458757:RXN458799 SHI458757:SHJ458799 SRE458757:SRF458799 TBA458757:TBB458799 TKW458757:TKX458799 TUS458757:TUT458799 UEO458757:UEP458799 UOK458757:UOL458799 UYG458757:UYH458799 VIC458757:VID458799 VRY458757:VRZ458799 WBU458757:WBV458799 WLQ458757:WLR458799 WVM458757:WVN458799 JA524293:JB524335 SW524293:SX524335 ACS524293:ACT524335 AMO524293:AMP524335 AWK524293:AWL524335 BGG524293:BGH524335 BQC524293:BQD524335 BZY524293:BZZ524335 CJU524293:CJV524335 CTQ524293:CTR524335 DDM524293:DDN524335 DNI524293:DNJ524335 DXE524293:DXF524335 EHA524293:EHB524335 EQW524293:EQX524335 FAS524293:FAT524335 FKO524293:FKP524335 FUK524293:FUL524335 GEG524293:GEH524335 GOC524293:GOD524335 GXY524293:GXZ524335 HHU524293:HHV524335 HRQ524293:HRR524335 IBM524293:IBN524335 ILI524293:ILJ524335 IVE524293:IVF524335 JFA524293:JFB524335 JOW524293:JOX524335 JYS524293:JYT524335 KIO524293:KIP524335 KSK524293:KSL524335 LCG524293:LCH524335 LMC524293:LMD524335 LVY524293:LVZ524335 MFU524293:MFV524335 MPQ524293:MPR524335 MZM524293:MZN524335 NJI524293:NJJ524335 NTE524293:NTF524335 ODA524293:ODB524335 OMW524293:OMX524335 OWS524293:OWT524335 PGO524293:PGP524335 PQK524293:PQL524335 QAG524293:QAH524335 QKC524293:QKD524335 QTY524293:QTZ524335 RDU524293:RDV524335 RNQ524293:RNR524335 RXM524293:RXN524335 SHI524293:SHJ524335 SRE524293:SRF524335 TBA524293:TBB524335 TKW524293:TKX524335 TUS524293:TUT524335 UEO524293:UEP524335 UOK524293:UOL524335 UYG524293:UYH524335 VIC524293:VID524335 VRY524293:VRZ524335 WBU524293:WBV524335 WLQ524293:WLR524335 WVM524293:WVN524335 JA589829:JB589871 SW589829:SX589871 ACS589829:ACT589871 AMO589829:AMP589871 AWK589829:AWL589871 BGG589829:BGH589871 BQC589829:BQD589871 BZY589829:BZZ589871 CJU589829:CJV589871 CTQ589829:CTR589871 DDM589829:DDN589871 DNI589829:DNJ589871 DXE589829:DXF589871 EHA589829:EHB589871 EQW589829:EQX589871 FAS589829:FAT589871 FKO589829:FKP589871 FUK589829:FUL589871 GEG589829:GEH589871 GOC589829:GOD589871 GXY589829:GXZ589871 HHU589829:HHV589871 HRQ589829:HRR589871 IBM589829:IBN589871 ILI589829:ILJ589871 IVE589829:IVF589871 JFA589829:JFB589871 JOW589829:JOX589871 JYS589829:JYT589871 KIO589829:KIP589871 KSK589829:KSL589871 LCG589829:LCH589871 LMC589829:LMD589871 LVY589829:LVZ589871 MFU589829:MFV589871 MPQ589829:MPR589871 MZM589829:MZN589871 NJI589829:NJJ589871 NTE589829:NTF589871 ODA589829:ODB589871 OMW589829:OMX589871 OWS589829:OWT589871 PGO589829:PGP589871 PQK589829:PQL589871 QAG589829:QAH589871 QKC589829:QKD589871 QTY589829:QTZ589871 RDU589829:RDV589871 RNQ589829:RNR589871 RXM589829:RXN589871 SHI589829:SHJ589871 SRE589829:SRF589871 TBA589829:TBB589871 TKW589829:TKX589871 TUS589829:TUT589871 UEO589829:UEP589871 UOK589829:UOL589871 UYG589829:UYH589871 VIC589829:VID589871 VRY589829:VRZ589871 WBU589829:WBV589871 WLQ589829:WLR589871 WVM589829:WVN589871 JA655365:JB655407 SW655365:SX655407 ACS655365:ACT655407 AMO655365:AMP655407 AWK655365:AWL655407 BGG655365:BGH655407 BQC655365:BQD655407 BZY655365:BZZ655407 CJU655365:CJV655407 CTQ655365:CTR655407 DDM655365:DDN655407 DNI655365:DNJ655407 DXE655365:DXF655407 EHA655365:EHB655407 EQW655365:EQX655407 FAS655365:FAT655407 FKO655365:FKP655407 FUK655365:FUL655407 GEG655365:GEH655407 GOC655365:GOD655407 GXY655365:GXZ655407 HHU655365:HHV655407 HRQ655365:HRR655407 IBM655365:IBN655407 ILI655365:ILJ655407 IVE655365:IVF655407 JFA655365:JFB655407 JOW655365:JOX655407 JYS655365:JYT655407 KIO655365:KIP655407 KSK655365:KSL655407 LCG655365:LCH655407 LMC655365:LMD655407 LVY655365:LVZ655407 MFU655365:MFV655407 MPQ655365:MPR655407 MZM655365:MZN655407 NJI655365:NJJ655407 NTE655365:NTF655407 ODA655365:ODB655407 OMW655365:OMX655407 OWS655365:OWT655407 PGO655365:PGP655407 PQK655365:PQL655407 QAG655365:QAH655407 QKC655365:QKD655407 QTY655365:QTZ655407 RDU655365:RDV655407 RNQ655365:RNR655407 RXM655365:RXN655407 SHI655365:SHJ655407 SRE655365:SRF655407 TBA655365:TBB655407 TKW655365:TKX655407 TUS655365:TUT655407 UEO655365:UEP655407 UOK655365:UOL655407 UYG655365:UYH655407 VIC655365:VID655407 VRY655365:VRZ655407 WBU655365:WBV655407 WLQ655365:WLR655407 WVM655365:WVN655407 JA720901:JB720943 SW720901:SX720943 ACS720901:ACT720943 AMO720901:AMP720943 AWK720901:AWL720943 BGG720901:BGH720943 BQC720901:BQD720943 BZY720901:BZZ720943 CJU720901:CJV720943 CTQ720901:CTR720943 DDM720901:DDN720943 DNI720901:DNJ720943 DXE720901:DXF720943 EHA720901:EHB720943 EQW720901:EQX720943 FAS720901:FAT720943 FKO720901:FKP720943 FUK720901:FUL720943 GEG720901:GEH720943 GOC720901:GOD720943 GXY720901:GXZ720943 HHU720901:HHV720943 HRQ720901:HRR720943 IBM720901:IBN720943 ILI720901:ILJ720943 IVE720901:IVF720943 JFA720901:JFB720943 JOW720901:JOX720943 JYS720901:JYT720943 KIO720901:KIP720943 KSK720901:KSL720943 LCG720901:LCH720943 LMC720901:LMD720943 LVY720901:LVZ720943 MFU720901:MFV720943 MPQ720901:MPR720943 MZM720901:MZN720943 NJI720901:NJJ720943 NTE720901:NTF720943 ODA720901:ODB720943 OMW720901:OMX720943 OWS720901:OWT720943 PGO720901:PGP720943 PQK720901:PQL720943 QAG720901:QAH720943 QKC720901:QKD720943 QTY720901:QTZ720943 RDU720901:RDV720943 RNQ720901:RNR720943 RXM720901:RXN720943 SHI720901:SHJ720943 SRE720901:SRF720943 TBA720901:TBB720943 TKW720901:TKX720943 TUS720901:TUT720943 UEO720901:UEP720943 UOK720901:UOL720943 UYG720901:UYH720943 VIC720901:VID720943 VRY720901:VRZ720943 WBU720901:WBV720943 WLQ720901:WLR720943 WVM720901:WVN720943 JA786437:JB786479 SW786437:SX786479 ACS786437:ACT786479 AMO786437:AMP786479 AWK786437:AWL786479 BGG786437:BGH786479 BQC786437:BQD786479 BZY786437:BZZ786479 CJU786437:CJV786479 CTQ786437:CTR786479 DDM786437:DDN786479 DNI786437:DNJ786479 DXE786437:DXF786479 EHA786437:EHB786479 EQW786437:EQX786479 FAS786437:FAT786479 FKO786437:FKP786479 FUK786437:FUL786479 GEG786437:GEH786479 GOC786437:GOD786479 GXY786437:GXZ786479 HHU786437:HHV786479 HRQ786437:HRR786479 IBM786437:IBN786479 ILI786437:ILJ786479 IVE786437:IVF786479 JFA786437:JFB786479 JOW786437:JOX786479 JYS786437:JYT786479 KIO786437:KIP786479 KSK786437:KSL786479 LCG786437:LCH786479 LMC786437:LMD786479 LVY786437:LVZ786479 MFU786437:MFV786479 MPQ786437:MPR786479 MZM786437:MZN786479 NJI786437:NJJ786479 NTE786437:NTF786479 ODA786437:ODB786479 OMW786437:OMX786479 OWS786437:OWT786479 PGO786437:PGP786479 PQK786437:PQL786479 QAG786437:QAH786479 QKC786437:QKD786479 QTY786437:QTZ786479 RDU786437:RDV786479 RNQ786437:RNR786479 RXM786437:RXN786479 SHI786437:SHJ786479 SRE786437:SRF786479 TBA786437:TBB786479 TKW786437:TKX786479 TUS786437:TUT786479 UEO786437:UEP786479 UOK786437:UOL786479 UYG786437:UYH786479 VIC786437:VID786479 VRY786437:VRZ786479 WBU786437:WBV786479 WLQ786437:WLR786479 WVM786437:WVN786479 JA851973:JB852015 SW851973:SX852015 ACS851973:ACT852015 AMO851973:AMP852015 AWK851973:AWL852015 BGG851973:BGH852015 BQC851973:BQD852015 BZY851973:BZZ852015 CJU851973:CJV852015 CTQ851973:CTR852015 DDM851973:DDN852015 DNI851973:DNJ852015 DXE851973:DXF852015 EHA851973:EHB852015 EQW851973:EQX852015 FAS851973:FAT852015 FKO851973:FKP852015 FUK851973:FUL852015 GEG851973:GEH852015 GOC851973:GOD852015 GXY851973:GXZ852015 HHU851973:HHV852015 HRQ851973:HRR852015 IBM851973:IBN852015 ILI851973:ILJ852015 IVE851973:IVF852015 JFA851973:JFB852015 JOW851973:JOX852015 JYS851973:JYT852015 KIO851973:KIP852015 KSK851973:KSL852015 LCG851973:LCH852015 LMC851973:LMD852015 LVY851973:LVZ852015 MFU851973:MFV852015 MPQ851973:MPR852015 MZM851973:MZN852015 NJI851973:NJJ852015 NTE851973:NTF852015 ODA851973:ODB852015 OMW851973:OMX852015 OWS851973:OWT852015 PGO851973:PGP852015 PQK851973:PQL852015 QAG851973:QAH852015 QKC851973:QKD852015 QTY851973:QTZ852015 RDU851973:RDV852015 RNQ851973:RNR852015 RXM851973:RXN852015 SHI851973:SHJ852015 SRE851973:SRF852015 TBA851973:TBB852015 TKW851973:TKX852015 TUS851973:TUT852015 UEO851973:UEP852015 UOK851973:UOL852015 UYG851973:UYH852015 VIC851973:VID852015 VRY851973:VRZ852015 WBU851973:WBV852015 WLQ851973:WLR852015 WVM851973:WVN852015 JA917509:JB917551 SW917509:SX917551 ACS917509:ACT917551 AMO917509:AMP917551 AWK917509:AWL917551 BGG917509:BGH917551 BQC917509:BQD917551 BZY917509:BZZ917551 CJU917509:CJV917551 CTQ917509:CTR917551 DDM917509:DDN917551 DNI917509:DNJ917551 DXE917509:DXF917551 EHA917509:EHB917551 EQW917509:EQX917551 FAS917509:FAT917551 FKO917509:FKP917551 FUK917509:FUL917551 GEG917509:GEH917551 GOC917509:GOD917551 GXY917509:GXZ917551 HHU917509:HHV917551 HRQ917509:HRR917551 IBM917509:IBN917551 ILI917509:ILJ917551 IVE917509:IVF917551 JFA917509:JFB917551 JOW917509:JOX917551 JYS917509:JYT917551 KIO917509:KIP917551 KSK917509:KSL917551 LCG917509:LCH917551 LMC917509:LMD917551 LVY917509:LVZ917551 MFU917509:MFV917551 MPQ917509:MPR917551 MZM917509:MZN917551 NJI917509:NJJ917551 NTE917509:NTF917551 ODA917509:ODB917551 OMW917509:OMX917551 OWS917509:OWT917551 PGO917509:PGP917551 PQK917509:PQL917551 QAG917509:QAH917551 QKC917509:QKD917551 QTY917509:QTZ917551 RDU917509:RDV917551 RNQ917509:RNR917551 RXM917509:RXN917551 SHI917509:SHJ917551 SRE917509:SRF917551 TBA917509:TBB917551 TKW917509:TKX917551 TUS917509:TUT917551 UEO917509:UEP917551 UOK917509:UOL917551 UYG917509:UYH917551 VIC917509:VID917551 VRY917509:VRZ917551 WBU917509:WBV917551 WLQ917509:WLR917551 WVM917509:WVN917551 JA983045:JB983087 SW983045:SX983087 ACS983045:ACT983087 AMO983045:AMP983087 AWK983045:AWL983087 BGG983045:BGH983087 BQC983045:BQD983087 BZY983045:BZZ983087 CJU983045:CJV983087 CTQ983045:CTR983087 DDM983045:DDN983087 DNI983045:DNJ983087 DXE983045:DXF983087 EHA983045:EHB983087 EQW983045:EQX983087 FAS983045:FAT983087 FKO983045:FKP983087 FUK983045:FUL983087 GEG983045:GEH983087 GOC983045:GOD983087 GXY983045:GXZ983087 HHU983045:HHV983087 HRQ983045:HRR983087 IBM983045:IBN983087 ILI983045:ILJ983087 IVE983045:IVF983087 JFA983045:JFB983087 JOW983045:JOX983087 JYS983045:JYT983087 KIO983045:KIP983087 KSK983045:KSL983087 LCG983045:LCH983087 LMC983045:LMD983087 LVY983045:LVZ983087 MFU983045:MFV983087 MPQ983045:MPR983087 MZM983045:MZN983087 NJI983045:NJJ983087 NTE983045:NTF983087 ODA983045:ODB983087 OMW983045:OMX983087 OWS983045:OWT983087 PGO983045:PGP983087 PQK983045:PQL983087 QAG983045:QAH983087 QKC983045:QKD983087 QTY983045:QTZ983087 RDU983045:RDV983087 RNQ983045:RNR983087 RXM983045:RXN983087 SHI983045:SHJ983087 SRE983045:SRF983087 TBA983045:TBB983087 TKW983045:TKX983087 TUS983045:TUT983087 UEO983045:UEP983087 UOK983045:UOL983087 UYG983045:UYH983087 VIC983045:VID983087 VRY983045:VRZ983087 WBU983045:WBV983087 WLQ983045:WLR983087 L65541:M65583 L983045:M983087 L917509:M917551 L851973:M852015 L786437:M786479 L720901:M720943 L655365:M655407 L589829:M589871 L524293:M524335 L458757:M458799 L393221:M393263 L327685:M327727 L262149:M262191 L196613:M196655 L131077:M131119">
      <formula1>0</formula1>
      <formula2>33</formula2>
    </dataValidation>
    <dataValidation allowBlank="1" showInputMessage="1" showErrorMessage="1" promptTitle="Leitung" prompt="Hier bitte den Namen der Leitung eingeben." sqref="A5:B5"/>
  </dataValidations>
  <printOptions horizontalCentered="1" gridLinesSet="0"/>
  <pageMargins left="0.39370078740157483" right="0.27559055118110237" top="0.47244094488188981" bottom="0.47244094488188981" header="0.31496062992125984" footer="0.35433070866141736"/>
  <pageSetup paperSize="9" scale="63"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FF99"/>
    <pageSetUpPr fitToPage="1"/>
  </sheetPr>
  <dimension ref="A1:T106"/>
  <sheetViews>
    <sheetView showGridLines="0" showZeros="0" topLeftCell="A34" zoomScaleNormal="100" workbookViewId="0">
      <selection activeCell="P44" sqref="P44"/>
    </sheetView>
  </sheetViews>
  <sheetFormatPr baseColWidth="10" defaultColWidth="12.85546875" defaultRowHeight="15" customHeight="1" zeroHeight="1" x14ac:dyDescent="0.25"/>
  <cols>
    <col min="1" max="1" width="3.42578125" style="678" customWidth="1"/>
    <col min="2" max="2" width="32.85546875" style="678" customWidth="1"/>
    <col min="3" max="3" width="6.28515625" style="678" customWidth="1"/>
    <col min="4" max="10" width="12.7109375" style="678" customWidth="1"/>
    <col min="11" max="11" width="11.42578125" style="678" customWidth="1"/>
    <col min="12" max="12" width="2" style="678" customWidth="1"/>
    <col min="13" max="14" width="12.85546875" style="677" customWidth="1"/>
    <col min="15" max="256" width="12.85546875" style="678"/>
    <col min="257" max="257" width="3.42578125" style="678" customWidth="1"/>
    <col min="258" max="258" width="32.85546875" style="678" customWidth="1"/>
    <col min="259" max="259" width="6.28515625" style="678" customWidth="1"/>
    <col min="260" max="266" width="12.7109375" style="678" customWidth="1"/>
    <col min="267" max="267" width="11.42578125" style="678" customWidth="1"/>
    <col min="268" max="268" width="2" style="678" customWidth="1"/>
    <col min="269" max="270" width="12.85546875" style="678" customWidth="1"/>
    <col min="271" max="512" width="12.85546875" style="678"/>
    <col min="513" max="513" width="3.42578125" style="678" customWidth="1"/>
    <col min="514" max="514" width="32.85546875" style="678" customWidth="1"/>
    <col min="515" max="515" width="6.28515625" style="678" customWidth="1"/>
    <col min="516" max="522" width="12.7109375" style="678" customWidth="1"/>
    <col min="523" max="523" width="11.42578125" style="678" customWidth="1"/>
    <col min="524" max="524" width="2" style="678" customWidth="1"/>
    <col min="525" max="526" width="12.85546875" style="678" customWidth="1"/>
    <col min="527" max="768" width="12.85546875" style="678"/>
    <col min="769" max="769" width="3.42578125" style="678" customWidth="1"/>
    <col min="770" max="770" width="32.85546875" style="678" customWidth="1"/>
    <col min="771" max="771" width="6.28515625" style="678" customWidth="1"/>
    <col min="772" max="778" width="12.7109375" style="678" customWidth="1"/>
    <col min="779" max="779" width="11.42578125" style="678" customWidth="1"/>
    <col min="780" max="780" width="2" style="678" customWidth="1"/>
    <col min="781" max="782" width="12.85546875" style="678" customWidth="1"/>
    <col min="783" max="1024" width="12.85546875" style="678"/>
    <col min="1025" max="1025" width="3.42578125" style="678" customWidth="1"/>
    <col min="1026" max="1026" width="32.85546875" style="678" customWidth="1"/>
    <col min="1027" max="1027" width="6.28515625" style="678" customWidth="1"/>
    <col min="1028" max="1034" width="12.7109375" style="678" customWidth="1"/>
    <col min="1035" max="1035" width="11.42578125" style="678" customWidth="1"/>
    <col min="1036" max="1036" width="2" style="678" customWidth="1"/>
    <col min="1037" max="1038" width="12.85546875" style="678" customWidth="1"/>
    <col min="1039" max="1280" width="12.85546875" style="678"/>
    <col min="1281" max="1281" width="3.42578125" style="678" customWidth="1"/>
    <col min="1282" max="1282" width="32.85546875" style="678" customWidth="1"/>
    <col min="1283" max="1283" width="6.28515625" style="678" customWidth="1"/>
    <col min="1284" max="1290" width="12.7109375" style="678" customWidth="1"/>
    <col min="1291" max="1291" width="11.42578125" style="678" customWidth="1"/>
    <col min="1292" max="1292" width="2" style="678" customWidth="1"/>
    <col min="1293" max="1294" width="12.85546875" style="678" customWidth="1"/>
    <col min="1295" max="1536" width="12.85546875" style="678"/>
    <col min="1537" max="1537" width="3.42578125" style="678" customWidth="1"/>
    <col min="1538" max="1538" width="32.85546875" style="678" customWidth="1"/>
    <col min="1539" max="1539" width="6.28515625" style="678" customWidth="1"/>
    <col min="1540" max="1546" width="12.7109375" style="678" customWidth="1"/>
    <col min="1547" max="1547" width="11.42578125" style="678" customWidth="1"/>
    <col min="1548" max="1548" width="2" style="678" customWidth="1"/>
    <col min="1549" max="1550" width="12.85546875" style="678" customWidth="1"/>
    <col min="1551" max="1792" width="12.85546875" style="678"/>
    <col min="1793" max="1793" width="3.42578125" style="678" customWidth="1"/>
    <col min="1794" max="1794" width="32.85546875" style="678" customWidth="1"/>
    <col min="1795" max="1795" width="6.28515625" style="678" customWidth="1"/>
    <col min="1796" max="1802" width="12.7109375" style="678" customWidth="1"/>
    <col min="1803" max="1803" width="11.42578125" style="678" customWidth="1"/>
    <col min="1804" max="1804" width="2" style="678" customWidth="1"/>
    <col min="1805" max="1806" width="12.85546875" style="678" customWidth="1"/>
    <col min="1807" max="2048" width="12.85546875" style="678"/>
    <col min="2049" max="2049" width="3.42578125" style="678" customWidth="1"/>
    <col min="2050" max="2050" width="32.85546875" style="678" customWidth="1"/>
    <col min="2051" max="2051" width="6.28515625" style="678" customWidth="1"/>
    <col min="2052" max="2058" width="12.7109375" style="678" customWidth="1"/>
    <col min="2059" max="2059" width="11.42578125" style="678" customWidth="1"/>
    <col min="2060" max="2060" width="2" style="678" customWidth="1"/>
    <col min="2061" max="2062" width="12.85546875" style="678" customWidth="1"/>
    <col min="2063" max="2304" width="12.85546875" style="678"/>
    <col min="2305" max="2305" width="3.42578125" style="678" customWidth="1"/>
    <col min="2306" max="2306" width="32.85546875" style="678" customWidth="1"/>
    <col min="2307" max="2307" width="6.28515625" style="678" customWidth="1"/>
    <col min="2308" max="2314" width="12.7109375" style="678" customWidth="1"/>
    <col min="2315" max="2315" width="11.42578125" style="678" customWidth="1"/>
    <col min="2316" max="2316" width="2" style="678" customWidth="1"/>
    <col min="2317" max="2318" width="12.85546875" style="678" customWidth="1"/>
    <col min="2319" max="2560" width="12.85546875" style="678"/>
    <col min="2561" max="2561" width="3.42578125" style="678" customWidth="1"/>
    <col min="2562" max="2562" width="32.85546875" style="678" customWidth="1"/>
    <col min="2563" max="2563" width="6.28515625" style="678" customWidth="1"/>
    <col min="2564" max="2570" width="12.7109375" style="678" customWidth="1"/>
    <col min="2571" max="2571" width="11.42578125" style="678" customWidth="1"/>
    <col min="2572" max="2572" width="2" style="678" customWidth="1"/>
    <col min="2573" max="2574" width="12.85546875" style="678" customWidth="1"/>
    <col min="2575" max="2816" width="12.85546875" style="678"/>
    <col min="2817" max="2817" width="3.42578125" style="678" customWidth="1"/>
    <col min="2818" max="2818" width="32.85546875" style="678" customWidth="1"/>
    <col min="2819" max="2819" width="6.28515625" style="678" customWidth="1"/>
    <col min="2820" max="2826" width="12.7109375" style="678" customWidth="1"/>
    <col min="2827" max="2827" width="11.42578125" style="678" customWidth="1"/>
    <col min="2828" max="2828" width="2" style="678" customWidth="1"/>
    <col min="2829" max="2830" width="12.85546875" style="678" customWidth="1"/>
    <col min="2831" max="3072" width="12.85546875" style="678"/>
    <col min="3073" max="3073" width="3.42578125" style="678" customWidth="1"/>
    <col min="3074" max="3074" width="32.85546875" style="678" customWidth="1"/>
    <col min="3075" max="3075" width="6.28515625" style="678" customWidth="1"/>
    <col min="3076" max="3082" width="12.7109375" style="678" customWidth="1"/>
    <col min="3083" max="3083" width="11.42578125" style="678" customWidth="1"/>
    <col min="3084" max="3084" width="2" style="678" customWidth="1"/>
    <col min="3085" max="3086" width="12.85546875" style="678" customWidth="1"/>
    <col min="3087" max="3328" width="12.85546875" style="678"/>
    <col min="3329" max="3329" width="3.42578125" style="678" customWidth="1"/>
    <col min="3330" max="3330" width="32.85546875" style="678" customWidth="1"/>
    <col min="3331" max="3331" width="6.28515625" style="678" customWidth="1"/>
    <col min="3332" max="3338" width="12.7109375" style="678" customWidth="1"/>
    <col min="3339" max="3339" width="11.42578125" style="678" customWidth="1"/>
    <col min="3340" max="3340" width="2" style="678" customWidth="1"/>
    <col min="3341" max="3342" width="12.85546875" style="678" customWidth="1"/>
    <col min="3343" max="3584" width="12.85546875" style="678"/>
    <col min="3585" max="3585" width="3.42578125" style="678" customWidth="1"/>
    <col min="3586" max="3586" width="32.85546875" style="678" customWidth="1"/>
    <col min="3587" max="3587" width="6.28515625" style="678" customWidth="1"/>
    <col min="3588" max="3594" width="12.7109375" style="678" customWidth="1"/>
    <col min="3595" max="3595" width="11.42578125" style="678" customWidth="1"/>
    <col min="3596" max="3596" width="2" style="678" customWidth="1"/>
    <col min="3597" max="3598" width="12.85546875" style="678" customWidth="1"/>
    <col min="3599" max="3840" width="12.85546875" style="678"/>
    <col min="3841" max="3841" width="3.42578125" style="678" customWidth="1"/>
    <col min="3842" max="3842" width="32.85546875" style="678" customWidth="1"/>
    <col min="3843" max="3843" width="6.28515625" style="678" customWidth="1"/>
    <col min="3844" max="3850" width="12.7109375" style="678" customWidth="1"/>
    <col min="3851" max="3851" width="11.42578125" style="678" customWidth="1"/>
    <col min="3852" max="3852" width="2" style="678" customWidth="1"/>
    <col min="3853" max="3854" width="12.85546875" style="678" customWidth="1"/>
    <col min="3855" max="4096" width="12.85546875" style="678"/>
    <col min="4097" max="4097" width="3.42578125" style="678" customWidth="1"/>
    <col min="4098" max="4098" width="32.85546875" style="678" customWidth="1"/>
    <col min="4099" max="4099" width="6.28515625" style="678" customWidth="1"/>
    <col min="4100" max="4106" width="12.7109375" style="678" customWidth="1"/>
    <col min="4107" max="4107" width="11.42578125" style="678" customWidth="1"/>
    <col min="4108" max="4108" width="2" style="678" customWidth="1"/>
    <col min="4109" max="4110" width="12.85546875" style="678" customWidth="1"/>
    <col min="4111" max="4352" width="12.85546875" style="678"/>
    <col min="4353" max="4353" width="3.42578125" style="678" customWidth="1"/>
    <col min="4354" max="4354" width="32.85546875" style="678" customWidth="1"/>
    <col min="4355" max="4355" width="6.28515625" style="678" customWidth="1"/>
    <col min="4356" max="4362" width="12.7109375" style="678" customWidth="1"/>
    <col min="4363" max="4363" width="11.42578125" style="678" customWidth="1"/>
    <col min="4364" max="4364" width="2" style="678" customWidth="1"/>
    <col min="4365" max="4366" width="12.85546875" style="678" customWidth="1"/>
    <col min="4367" max="4608" width="12.85546875" style="678"/>
    <col min="4609" max="4609" width="3.42578125" style="678" customWidth="1"/>
    <col min="4610" max="4610" width="32.85546875" style="678" customWidth="1"/>
    <col min="4611" max="4611" width="6.28515625" style="678" customWidth="1"/>
    <col min="4612" max="4618" width="12.7109375" style="678" customWidth="1"/>
    <col min="4619" max="4619" width="11.42578125" style="678" customWidth="1"/>
    <col min="4620" max="4620" width="2" style="678" customWidth="1"/>
    <col min="4621" max="4622" width="12.85546875" style="678" customWidth="1"/>
    <col min="4623" max="4864" width="12.85546875" style="678"/>
    <col min="4865" max="4865" width="3.42578125" style="678" customWidth="1"/>
    <col min="4866" max="4866" width="32.85546875" style="678" customWidth="1"/>
    <col min="4867" max="4867" width="6.28515625" style="678" customWidth="1"/>
    <col min="4868" max="4874" width="12.7109375" style="678" customWidth="1"/>
    <col min="4875" max="4875" width="11.42578125" style="678" customWidth="1"/>
    <col min="4876" max="4876" width="2" style="678" customWidth="1"/>
    <col min="4877" max="4878" width="12.85546875" style="678" customWidth="1"/>
    <col min="4879" max="5120" width="12.85546875" style="678"/>
    <col min="5121" max="5121" width="3.42578125" style="678" customWidth="1"/>
    <col min="5122" max="5122" width="32.85546875" style="678" customWidth="1"/>
    <col min="5123" max="5123" width="6.28515625" style="678" customWidth="1"/>
    <col min="5124" max="5130" width="12.7109375" style="678" customWidth="1"/>
    <col min="5131" max="5131" width="11.42578125" style="678" customWidth="1"/>
    <col min="5132" max="5132" width="2" style="678" customWidth="1"/>
    <col min="5133" max="5134" width="12.85546875" style="678" customWidth="1"/>
    <col min="5135" max="5376" width="12.85546875" style="678"/>
    <col min="5377" max="5377" width="3.42578125" style="678" customWidth="1"/>
    <col min="5378" max="5378" width="32.85546875" style="678" customWidth="1"/>
    <col min="5379" max="5379" width="6.28515625" style="678" customWidth="1"/>
    <col min="5380" max="5386" width="12.7109375" style="678" customWidth="1"/>
    <col min="5387" max="5387" width="11.42578125" style="678" customWidth="1"/>
    <col min="5388" max="5388" width="2" style="678" customWidth="1"/>
    <col min="5389" max="5390" width="12.85546875" style="678" customWidth="1"/>
    <col min="5391" max="5632" width="12.85546875" style="678"/>
    <col min="5633" max="5633" width="3.42578125" style="678" customWidth="1"/>
    <col min="5634" max="5634" width="32.85546875" style="678" customWidth="1"/>
    <col min="5635" max="5635" width="6.28515625" style="678" customWidth="1"/>
    <col min="5636" max="5642" width="12.7109375" style="678" customWidth="1"/>
    <col min="5643" max="5643" width="11.42578125" style="678" customWidth="1"/>
    <col min="5644" max="5644" width="2" style="678" customWidth="1"/>
    <col min="5645" max="5646" width="12.85546875" style="678" customWidth="1"/>
    <col min="5647" max="5888" width="12.85546875" style="678"/>
    <col min="5889" max="5889" width="3.42578125" style="678" customWidth="1"/>
    <col min="5890" max="5890" width="32.85546875" style="678" customWidth="1"/>
    <col min="5891" max="5891" width="6.28515625" style="678" customWidth="1"/>
    <col min="5892" max="5898" width="12.7109375" style="678" customWidth="1"/>
    <col min="5899" max="5899" width="11.42578125" style="678" customWidth="1"/>
    <col min="5900" max="5900" width="2" style="678" customWidth="1"/>
    <col min="5901" max="5902" width="12.85546875" style="678" customWidth="1"/>
    <col min="5903" max="6144" width="12.85546875" style="678"/>
    <col min="6145" max="6145" width="3.42578125" style="678" customWidth="1"/>
    <col min="6146" max="6146" width="32.85546875" style="678" customWidth="1"/>
    <col min="6147" max="6147" width="6.28515625" style="678" customWidth="1"/>
    <col min="6148" max="6154" width="12.7109375" style="678" customWidth="1"/>
    <col min="6155" max="6155" width="11.42578125" style="678" customWidth="1"/>
    <col min="6156" max="6156" width="2" style="678" customWidth="1"/>
    <col min="6157" max="6158" width="12.85546875" style="678" customWidth="1"/>
    <col min="6159" max="6400" width="12.85546875" style="678"/>
    <col min="6401" max="6401" width="3.42578125" style="678" customWidth="1"/>
    <col min="6402" max="6402" width="32.85546875" style="678" customWidth="1"/>
    <col min="6403" max="6403" width="6.28515625" style="678" customWidth="1"/>
    <col min="6404" max="6410" width="12.7109375" style="678" customWidth="1"/>
    <col min="6411" max="6411" width="11.42578125" style="678" customWidth="1"/>
    <col min="6412" max="6412" width="2" style="678" customWidth="1"/>
    <col min="6413" max="6414" width="12.85546875" style="678" customWidth="1"/>
    <col min="6415" max="6656" width="12.85546875" style="678"/>
    <col min="6657" max="6657" width="3.42578125" style="678" customWidth="1"/>
    <col min="6658" max="6658" width="32.85546875" style="678" customWidth="1"/>
    <col min="6659" max="6659" width="6.28515625" style="678" customWidth="1"/>
    <col min="6660" max="6666" width="12.7109375" style="678" customWidth="1"/>
    <col min="6667" max="6667" width="11.42578125" style="678" customWidth="1"/>
    <col min="6668" max="6668" width="2" style="678" customWidth="1"/>
    <col min="6669" max="6670" width="12.85546875" style="678" customWidth="1"/>
    <col min="6671" max="6912" width="12.85546875" style="678"/>
    <col min="6913" max="6913" width="3.42578125" style="678" customWidth="1"/>
    <col min="6914" max="6914" width="32.85546875" style="678" customWidth="1"/>
    <col min="6915" max="6915" width="6.28515625" style="678" customWidth="1"/>
    <col min="6916" max="6922" width="12.7109375" style="678" customWidth="1"/>
    <col min="6923" max="6923" width="11.42578125" style="678" customWidth="1"/>
    <col min="6924" max="6924" width="2" style="678" customWidth="1"/>
    <col min="6925" max="6926" width="12.85546875" style="678" customWidth="1"/>
    <col min="6927" max="7168" width="12.85546875" style="678"/>
    <col min="7169" max="7169" width="3.42578125" style="678" customWidth="1"/>
    <col min="7170" max="7170" width="32.85546875" style="678" customWidth="1"/>
    <col min="7171" max="7171" width="6.28515625" style="678" customWidth="1"/>
    <col min="7172" max="7178" width="12.7109375" style="678" customWidth="1"/>
    <col min="7179" max="7179" width="11.42578125" style="678" customWidth="1"/>
    <col min="7180" max="7180" width="2" style="678" customWidth="1"/>
    <col min="7181" max="7182" width="12.85546875" style="678" customWidth="1"/>
    <col min="7183" max="7424" width="12.85546875" style="678"/>
    <col min="7425" max="7425" width="3.42578125" style="678" customWidth="1"/>
    <col min="7426" max="7426" width="32.85546875" style="678" customWidth="1"/>
    <col min="7427" max="7427" width="6.28515625" style="678" customWidth="1"/>
    <col min="7428" max="7434" width="12.7109375" style="678" customWidth="1"/>
    <col min="7435" max="7435" width="11.42578125" style="678" customWidth="1"/>
    <col min="7436" max="7436" width="2" style="678" customWidth="1"/>
    <col min="7437" max="7438" width="12.85546875" style="678" customWidth="1"/>
    <col min="7439" max="7680" width="12.85546875" style="678"/>
    <col min="7681" max="7681" width="3.42578125" style="678" customWidth="1"/>
    <col min="7682" max="7682" width="32.85546875" style="678" customWidth="1"/>
    <col min="7683" max="7683" width="6.28515625" style="678" customWidth="1"/>
    <col min="7684" max="7690" width="12.7109375" style="678" customWidth="1"/>
    <col min="7691" max="7691" width="11.42578125" style="678" customWidth="1"/>
    <col min="7692" max="7692" width="2" style="678" customWidth="1"/>
    <col min="7693" max="7694" width="12.85546875" style="678" customWidth="1"/>
    <col min="7695" max="7936" width="12.85546875" style="678"/>
    <col min="7937" max="7937" width="3.42578125" style="678" customWidth="1"/>
    <col min="7938" max="7938" width="32.85546875" style="678" customWidth="1"/>
    <col min="7939" max="7939" width="6.28515625" style="678" customWidth="1"/>
    <col min="7940" max="7946" width="12.7109375" style="678" customWidth="1"/>
    <col min="7947" max="7947" width="11.42578125" style="678" customWidth="1"/>
    <col min="7948" max="7948" width="2" style="678" customWidth="1"/>
    <col min="7949" max="7950" width="12.85546875" style="678" customWidth="1"/>
    <col min="7951" max="8192" width="12.85546875" style="678"/>
    <col min="8193" max="8193" width="3.42578125" style="678" customWidth="1"/>
    <col min="8194" max="8194" width="32.85546875" style="678" customWidth="1"/>
    <col min="8195" max="8195" width="6.28515625" style="678" customWidth="1"/>
    <col min="8196" max="8202" width="12.7109375" style="678" customWidth="1"/>
    <col min="8203" max="8203" width="11.42578125" style="678" customWidth="1"/>
    <col min="8204" max="8204" width="2" style="678" customWidth="1"/>
    <col min="8205" max="8206" width="12.85546875" style="678" customWidth="1"/>
    <col min="8207" max="8448" width="12.85546875" style="678"/>
    <col min="8449" max="8449" width="3.42578125" style="678" customWidth="1"/>
    <col min="8450" max="8450" width="32.85546875" style="678" customWidth="1"/>
    <col min="8451" max="8451" width="6.28515625" style="678" customWidth="1"/>
    <col min="8452" max="8458" width="12.7109375" style="678" customWidth="1"/>
    <col min="8459" max="8459" width="11.42578125" style="678" customWidth="1"/>
    <col min="8460" max="8460" width="2" style="678" customWidth="1"/>
    <col min="8461" max="8462" width="12.85546875" style="678" customWidth="1"/>
    <col min="8463" max="8704" width="12.85546875" style="678"/>
    <col min="8705" max="8705" width="3.42578125" style="678" customWidth="1"/>
    <col min="8706" max="8706" width="32.85546875" style="678" customWidth="1"/>
    <col min="8707" max="8707" width="6.28515625" style="678" customWidth="1"/>
    <col min="8708" max="8714" width="12.7109375" style="678" customWidth="1"/>
    <col min="8715" max="8715" width="11.42578125" style="678" customWidth="1"/>
    <col min="8716" max="8716" width="2" style="678" customWidth="1"/>
    <col min="8717" max="8718" width="12.85546875" style="678" customWidth="1"/>
    <col min="8719" max="8960" width="12.85546875" style="678"/>
    <col min="8961" max="8961" width="3.42578125" style="678" customWidth="1"/>
    <col min="8962" max="8962" width="32.85546875" style="678" customWidth="1"/>
    <col min="8963" max="8963" width="6.28515625" style="678" customWidth="1"/>
    <col min="8964" max="8970" width="12.7109375" style="678" customWidth="1"/>
    <col min="8971" max="8971" width="11.42578125" style="678" customWidth="1"/>
    <col min="8972" max="8972" width="2" style="678" customWidth="1"/>
    <col min="8973" max="8974" width="12.85546875" style="678" customWidth="1"/>
    <col min="8975" max="9216" width="12.85546875" style="678"/>
    <col min="9217" max="9217" width="3.42578125" style="678" customWidth="1"/>
    <col min="9218" max="9218" width="32.85546875" style="678" customWidth="1"/>
    <col min="9219" max="9219" width="6.28515625" style="678" customWidth="1"/>
    <col min="9220" max="9226" width="12.7109375" style="678" customWidth="1"/>
    <col min="9227" max="9227" width="11.42578125" style="678" customWidth="1"/>
    <col min="9228" max="9228" width="2" style="678" customWidth="1"/>
    <col min="9229" max="9230" width="12.85546875" style="678" customWidth="1"/>
    <col min="9231" max="9472" width="12.85546875" style="678"/>
    <col min="9473" max="9473" width="3.42578125" style="678" customWidth="1"/>
    <col min="9474" max="9474" width="32.85546875" style="678" customWidth="1"/>
    <col min="9475" max="9475" width="6.28515625" style="678" customWidth="1"/>
    <col min="9476" max="9482" width="12.7109375" style="678" customWidth="1"/>
    <col min="9483" max="9483" width="11.42578125" style="678" customWidth="1"/>
    <col min="9484" max="9484" width="2" style="678" customWidth="1"/>
    <col min="9485" max="9486" width="12.85546875" style="678" customWidth="1"/>
    <col min="9487" max="9728" width="12.85546875" style="678"/>
    <col min="9729" max="9729" width="3.42578125" style="678" customWidth="1"/>
    <col min="9730" max="9730" width="32.85546875" style="678" customWidth="1"/>
    <col min="9731" max="9731" width="6.28515625" style="678" customWidth="1"/>
    <col min="9732" max="9738" width="12.7109375" style="678" customWidth="1"/>
    <col min="9739" max="9739" width="11.42578125" style="678" customWidth="1"/>
    <col min="9740" max="9740" width="2" style="678" customWidth="1"/>
    <col min="9741" max="9742" width="12.85546875" style="678" customWidth="1"/>
    <col min="9743" max="9984" width="12.85546875" style="678"/>
    <col min="9985" max="9985" width="3.42578125" style="678" customWidth="1"/>
    <col min="9986" max="9986" width="32.85546875" style="678" customWidth="1"/>
    <col min="9987" max="9987" width="6.28515625" style="678" customWidth="1"/>
    <col min="9988" max="9994" width="12.7109375" style="678" customWidth="1"/>
    <col min="9995" max="9995" width="11.42578125" style="678" customWidth="1"/>
    <col min="9996" max="9996" width="2" style="678" customWidth="1"/>
    <col min="9997" max="9998" width="12.85546875" style="678" customWidth="1"/>
    <col min="9999" max="10240" width="12.85546875" style="678"/>
    <col min="10241" max="10241" width="3.42578125" style="678" customWidth="1"/>
    <col min="10242" max="10242" width="32.85546875" style="678" customWidth="1"/>
    <col min="10243" max="10243" width="6.28515625" style="678" customWidth="1"/>
    <col min="10244" max="10250" width="12.7109375" style="678" customWidth="1"/>
    <col min="10251" max="10251" width="11.42578125" style="678" customWidth="1"/>
    <col min="10252" max="10252" width="2" style="678" customWidth="1"/>
    <col min="10253" max="10254" width="12.85546875" style="678" customWidth="1"/>
    <col min="10255" max="10496" width="12.85546875" style="678"/>
    <col min="10497" max="10497" width="3.42578125" style="678" customWidth="1"/>
    <col min="10498" max="10498" width="32.85546875" style="678" customWidth="1"/>
    <col min="10499" max="10499" width="6.28515625" style="678" customWidth="1"/>
    <col min="10500" max="10506" width="12.7109375" style="678" customWidth="1"/>
    <col min="10507" max="10507" width="11.42578125" style="678" customWidth="1"/>
    <col min="10508" max="10508" width="2" style="678" customWidth="1"/>
    <col min="10509" max="10510" width="12.85546875" style="678" customWidth="1"/>
    <col min="10511" max="10752" width="12.85546875" style="678"/>
    <col min="10753" max="10753" width="3.42578125" style="678" customWidth="1"/>
    <col min="10754" max="10754" width="32.85546875" style="678" customWidth="1"/>
    <col min="10755" max="10755" width="6.28515625" style="678" customWidth="1"/>
    <col min="10756" max="10762" width="12.7109375" style="678" customWidth="1"/>
    <col min="10763" max="10763" width="11.42578125" style="678" customWidth="1"/>
    <col min="10764" max="10764" width="2" style="678" customWidth="1"/>
    <col min="10765" max="10766" width="12.85546875" style="678" customWidth="1"/>
    <col min="10767" max="11008" width="12.85546875" style="678"/>
    <col min="11009" max="11009" width="3.42578125" style="678" customWidth="1"/>
    <col min="11010" max="11010" width="32.85546875" style="678" customWidth="1"/>
    <col min="11011" max="11011" width="6.28515625" style="678" customWidth="1"/>
    <col min="11012" max="11018" width="12.7109375" style="678" customWidth="1"/>
    <col min="11019" max="11019" width="11.42578125" style="678" customWidth="1"/>
    <col min="11020" max="11020" width="2" style="678" customWidth="1"/>
    <col min="11021" max="11022" width="12.85546875" style="678" customWidth="1"/>
    <col min="11023" max="11264" width="12.85546875" style="678"/>
    <col min="11265" max="11265" width="3.42578125" style="678" customWidth="1"/>
    <col min="11266" max="11266" width="32.85546875" style="678" customWidth="1"/>
    <col min="11267" max="11267" width="6.28515625" style="678" customWidth="1"/>
    <col min="11268" max="11274" width="12.7109375" style="678" customWidth="1"/>
    <col min="11275" max="11275" width="11.42578125" style="678" customWidth="1"/>
    <col min="11276" max="11276" width="2" style="678" customWidth="1"/>
    <col min="11277" max="11278" width="12.85546875" style="678" customWidth="1"/>
    <col min="11279" max="11520" width="12.85546875" style="678"/>
    <col min="11521" max="11521" width="3.42578125" style="678" customWidth="1"/>
    <col min="11522" max="11522" width="32.85546875" style="678" customWidth="1"/>
    <col min="11523" max="11523" width="6.28515625" style="678" customWidth="1"/>
    <col min="11524" max="11530" width="12.7109375" style="678" customWidth="1"/>
    <col min="11531" max="11531" width="11.42578125" style="678" customWidth="1"/>
    <col min="11532" max="11532" width="2" style="678" customWidth="1"/>
    <col min="11533" max="11534" width="12.85546875" style="678" customWidth="1"/>
    <col min="11535" max="11776" width="12.85546875" style="678"/>
    <col min="11777" max="11777" width="3.42578125" style="678" customWidth="1"/>
    <col min="11778" max="11778" width="32.85546875" style="678" customWidth="1"/>
    <col min="11779" max="11779" width="6.28515625" style="678" customWidth="1"/>
    <col min="11780" max="11786" width="12.7109375" style="678" customWidth="1"/>
    <col min="11787" max="11787" width="11.42578125" style="678" customWidth="1"/>
    <col min="11788" max="11788" width="2" style="678" customWidth="1"/>
    <col min="11789" max="11790" width="12.85546875" style="678" customWidth="1"/>
    <col min="11791" max="12032" width="12.85546875" style="678"/>
    <col min="12033" max="12033" width="3.42578125" style="678" customWidth="1"/>
    <col min="12034" max="12034" width="32.85546875" style="678" customWidth="1"/>
    <col min="12035" max="12035" width="6.28515625" style="678" customWidth="1"/>
    <col min="12036" max="12042" width="12.7109375" style="678" customWidth="1"/>
    <col min="12043" max="12043" width="11.42578125" style="678" customWidth="1"/>
    <col min="12044" max="12044" width="2" style="678" customWidth="1"/>
    <col min="12045" max="12046" width="12.85546875" style="678" customWidth="1"/>
    <col min="12047" max="12288" width="12.85546875" style="678"/>
    <col min="12289" max="12289" width="3.42578125" style="678" customWidth="1"/>
    <col min="12290" max="12290" width="32.85546875" style="678" customWidth="1"/>
    <col min="12291" max="12291" width="6.28515625" style="678" customWidth="1"/>
    <col min="12292" max="12298" width="12.7109375" style="678" customWidth="1"/>
    <col min="12299" max="12299" width="11.42578125" style="678" customWidth="1"/>
    <col min="12300" max="12300" width="2" style="678" customWidth="1"/>
    <col min="12301" max="12302" width="12.85546875" style="678" customWidth="1"/>
    <col min="12303" max="12544" width="12.85546875" style="678"/>
    <col min="12545" max="12545" width="3.42578125" style="678" customWidth="1"/>
    <col min="12546" max="12546" width="32.85546875" style="678" customWidth="1"/>
    <col min="12547" max="12547" width="6.28515625" style="678" customWidth="1"/>
    <col min="12548" max="12554" width="12.7109375" style="678" customWidth="1"/>
    <col min="12555" max="12555" width="11.42578125" style="678" customWidth="1"/>
    <col min="12556" max="12556" width="2" style="678" customWidth="1"/>
    <col min="12557" max="12558" width="12.85546875" style="678" customWidth="1"/>
    <col min="12559" max="12800" width="12.85546875" style="678"/>
    <col min="12801" max="12801" width="3.42578125" style="678" customWidth="1"/>
    <col min="12802" max="12802" width="32.85546875" style="678" customWidth="1"/>
    <col min="12803" max="12803" width="6.28515625" style="678" customWidth="1"/>
    <col min="12804" max="12810" width="12.7109375" style="678" customWidth="1"/>
    <col min="12811" max="12811" width="11.42578125" style="678" customWidth="1"/>
    <col min="12812" max="12812" width="2" style="678" customWidth="1"/>
    <col min="12813" max="12814" width="12.85546875" style="678" customWidth="1"/>
    <col min="12815" max="13056" width="12.85546875" style="678"/>
    <col min="13057" max="13057" width="3.42578125" style="678" customWidth="1"/>
    <col min="13058" max="13058" width="32.85546875" style="678" customWidth="1"/>
    <col min="13059" max="13059" width="6.28515625" style="678" customWidth="1"/>
    <col min="13060" max="13066" width="12.7109375" style="678" customWidth="1"/>
    <col min="13067" max="13067" width="11.42578125" style="678" customWidth="1"/>
    <col min="13068" max="13068" width="2" style="678" customWidth="1"/>
    <col min="13069" max="13070" width="12.85546875" style="678" customWidth="1"/>
    <col min="13071" max="13312" width="12.85546875" style="678"/>
    <col min="13313" max="13313" width="3.42578125" style="678" customWidth="1"/>
    <col min="13314" max="13314" width="32.85546875" style="678" customWidth="1"/>
    <col min="13315" max="13315" width="6.28515625" style="678" customWidth="1"/>
    <col min="13316" max="13322" width="12.7109375" style="678" customWidth="1"/>
    <col min="13323" max="13323" width="11.42578125" style="678" customWidth="1"/>
    <col min="13324" max="13324" width="2" style="678" customWidth="1"/>
    <col min="13325" max="13326" width="12.85546875" style="678" customWidth="1"/>
    <col min="13327" max="13568" width="12.85546875" style="678"/>
    <col min="13569" max="13569" width="3.42578125" style="678" customWidth="1"/>
    <col min="13570" max="13570" width="32.85546875" style="678" customWidth="1"/>
    <col min="13571" max="13571" width="6.28515625" style="678" customWidth="1"/>
    <col min="13572" max="13578" width="12.7109375" style="678" customWidth="1"/>
    <col min="13579" max="13579" width="11.42578125" style="678" customWidth="1"/>
    <col min="13580" max="13580" width="2" style="678" customWidth="1"/>
    <col min="13581" max="13582" width="12.85546875" style="678" customWidth="1"/>
    <col min="13583" max="13824" width="12.85546875" style="678"/>
    <col min="13825" max="13825" width="3.42578125" style="678" customWidth="1"/>
    <col min="13826" max="13826" width="32.85546875" style="678" customWidth="1"/>
    <col min="13827" max="13827" width="6.28515625" style="678" customWidth="1"/>
    <col min="13828" max="13834" width="12.7109375" style="678" customWidth="1"/>
    <col min="13835" max="13835" width="11.42578125" style="678" customWidth="1"/>
    <col min="13836" max="13836" width="2" style="678" customWidth="1"/>
    <col min="13837" max="13838" width="12.85546875" style="678" customWidth="1"/>
    <col min="13839" max="14080" width="12.85546875" style="678"/>
    <col min="14081" max="14081" width="3.42578125" style="678" customWidth="1"/>
    <col min="14082" max="14082" width="32.85546875" style="678" customWidth="1"/>
    <col min="14083" max="14083" width="6.28515625" style="678" customWidth="1"/>
    <col min="14084" max="14090" width="12.7109375" style="678" customWidth="1"/>
    <col min="14091" max="14091" width="11.42578125" style="678" customWidth="1"/>
    <col min="14092" max="14092" width="2" style="678" customWidth="1"/>
    <col min="14093" max="14094" width="12.85546875" style="678" customWidth="1"/>
    <col min="14095" max="14336" width="12.85546875" style="678"/>
    <col min="14337" max="14337" width="3.42578125" style="678" customWidth="1"/>
    <col min="14338" max="14338" width="32.85546875" style="678" customWidth="1"/>
    <col min="14339" max="14339" width="6.28515625" style="678" customWidth="1"/>
    <col min="14340" max="14346" width="12.7109375" style="678" customWidth="1"/>
    <col min="14347" max="14347" width="11.42578125" style="678" customWidth="1"/>
    <col min="14348" max="14348" width="2" style="678" customWidth="1"/>
    <col min="14349" max="14350" width="12.85546875" style="678" customWidth="1"/>
    <col min="14351" max="14592" width="12.85546875" style="678"/>
    <col min="14593" max="14593" width="3.42578125" style="678" customWidth="1"/>
    <col min="14594" max="14594" width="32.85546875" style="678" customWidth="1"/>
    <col min="14595" max="14595" width="6.28515625" style="678" customWidth="1"/>
    <col min="14596" max="14602" width="12.7109375" style="678" customWidth="1"/>
    <col min="14603" max="14603" width="11.42578125" style="678" customWidth="1"/>
    <col min="14604" max="14604" width="2" style="678" customWidth="1"/>
    <col min="14605" max="14606" width="12.85546875" style="678" customWidth="1"/>
    <col min="14607" max="14848" width="12.85546875" style="678"/>
    <col min="14849" max="14849" width="3.42578125" style="678" customWidth="1"/>
    <col min="14850" max="14850" width="32.85546875" style="678" customWidth="1"/>
    <col min="14851" max="14851" width="6.28515625" style="678" customWidth="1"/>
    <col min="14852" max="14858" width="12.7109375" style="678" customWidth="1"/>
    <col min="14859" max="14859" width="11.42578125" style="678" customWidth="1"/>
    <col min="14860" max="14860" width="2" style="678" customWidth="1"/>
    <col min="14861" max="14862" width="12.85546875" style="678" customWidth="1"/>
    <col min="14863" max="15104" width="12.85546875" style="678"/>
    <col min="15105" max="15105" width="3.42578125" style="678" customWidth="1"/>
    <col min="15106" max="15106" width="32.85546875" style="678" customWidth="1"/>
    <col min="15107" max="15107" width="6.28515625" style="678" customWidth="1"/>
    <col min="15108" max="15114" width="12.7109375" style="678" customWidth="1"/>
    <col min="15115" max="15115" width="11.42578125" style="678" customWidth="1"/>
    <col min="15116" max="15116" width="2" style="678" customWidth="1"/>
    <col min="15117" max="15118" width="12.85546875" style="678" customWidth="1"/>
    <col min="15119" max="15360" width="12.85546875" style="678"/>
    <col min="15361" max="15361" width="3.42578125" style="678" customWidth="1"/>
    <col min="15362" max="15362" width="32.85546875" style="678" customWidth="1"/>
    <col min="15363" max="15363" width="6.28515625" style="678" customWidth="1"/>
    <col min="15364" max="15370" width="12.7109375" style="678" customWidth="1"/>
    <col min="15371" max="15371" width="11.42578125" style="678" customWidth="1"/>
    <col min="15372" max="15372" width="2" style="678" customWidth="1"/>
    <col min="15373" max="15374" width="12.85546875" style="678" customWidth="1"/>
    <col min="15375" max="15616" width="12.85546875" style="678"/>
    <col min="15617" max="15617" width="3.42578125" style="678" customWidth="1"/>
    <col min="15618" max="15618" width="32.85546875" style="678" customWidth="1"/>
    <col min="15619" max="15619" width="6.28515625" style="678" customWidth="1"/>
    <col min="15620" max="15626" width="12.7109375" style="678" customWidth="1"/>
    <col min="15627" max="15627" width="11.42578125" style="678" customWidth="1"/>
    <col min="15628" max="15628" width="2" style="678" customWidth="1"/>
    <col min="15629" max="15630" width="12.85546875" style="678" customWidth="1"/>
    <col min="15631" max="15872" width="12.85546875" style="678"/>
    <col min="15873" max="15873" width="3.42578125" style="678" customWidth="1"/>
    <col min="15874" max="15874" width="32.85546875" style="678" customWidth="1"/>
    <col min="15875" max="15875" width="6.28515625" style="678" customWidth="1"/>
    <col min="15876" max="15882" width="12.7109375" style="678" customWidth="1"/>
    <col min="15883" max="15883" width="11.42578125" style="678" customWidth="1"/>
    <col min="15884" max="15884" width="2" style="678" customWidth="1"/>
    <col min="15885" max="15886" width="12.85546875" style="678" customWidth="1"/>
    <col min="15887" max="16128" width="12.85546875" style="678"/>
    <col min="16129" max="16129" width="3.42578125" style="678" customWidth="1"/>
    <col min="16130" max="16130" width="32.85546875" style="678" customWidth="1"/>
    <col min="16131" max="16131" width="6.28515625" style="678" customWidth="1"/>
    <col min="16132" max="16138" width="12.7109375" style="678" customWidth="1"/>
    <col min="16139" max="16139" width="11.42578125" style="678" customWidth="1"/>
    <col min="16140" max="16140" width="2" style="678" customWidth="1"/>
    <col min="16141" max="16142" width="12.85546875" style="678" customWidth="1"/>
    <col min="16143" max="16384" width="12.85546875" style="678"/>
  </cols>
  <sheetData>
    <row r="1" spans="1:20" s="603" customFormat="1" ht="31.5" x14ac:dyDescent="0.35">
      <c r="A1" s="667" t="str">
        <f>Konti_PTS!C7</f>
        <v>PTS  . . .</v>
      </c>
      <c r="B1" s="668"/>
      <c r="C1" s="669"/>
      <c r="D1" s="670"/>
      <c r="E1" s="670"/>
      <c r="F1" s="671"/>
      <c r="G1" s="671"/>
      <c r="H1" s="671"/>
      <c r="I1" s="608"/>
      <c r="J1" s="672" t="str">
        <f>"Schuljahr 20"&amp;RIGHT(Konti_PTS!H1,5)</f>
        <v>Schuljahr 2024/25</v>
      </c>
      <c r="M1" s="673"/>
      <c r="N1" s="673"/>
      <c r="T1" s="674"/>
    </row>
    <row r="2" spans="1:20" ht="28.5" x14ac:dyDescent="0.25">
      <c r="A2" s="861" t="s">
        <v>366</v>
      </c>
      <c r="B2" s="862"/>
      <c r="C2" s="862"/>
      <c r="D2" s="862"/>
      <c r="E2" s="862"/>
      <c r="F2" s="862"/>
      <c r="G2" s="862"/>
      <c r="H2" s="862"/>
      <c r="I2" s="862"/>
      <c r="J2" s="862"/>
      <c r="K2" s="675"/>
      <c r="L2" s="676"/>
      <c r="N2" s="678"/>
    </row>
    <row r="3" spans="1:20" ht="28.5" x14ac:dyDescent="0.25">
      <c r="A3" s="863" t="str">
        <f>"die zum 01.09.20"&amp;RIGHT(J1,2)-1&amp;" voraussichtlich bei uns unterrichten:"</f>
        <v>die zum 01.09.2024 voraussichtlich bei uns unterrichten:</v>
      </c>
      <c r="B3" s="862"/>
      <c r="C3" s="862"/>
      <c r="D3" s="862"/>
      <c r="E3" s="862"/>
      <c r="F3" s="862"/>
      <c r="G3" s="862"/>
      <c r="H3" s="862"/>
      <c r="I3" s="862"/>
      <c r="J3" s="862"/>
      <c r="K3" s="675"/>
      <c r="L3" s="676"/>
      <c r="N3" s="678"/>
    </row>
    <row r="4" spans="1:20" s="587" customFormat="1" ht="135.75" customHeight="1" x14ac:dyDescent="0.4">
      <c r="A4" s="679"/>
      <c r="B4" s="680" t="s">
        <v>367</v>
      </c>
      <c r="C4" s="681"/>
      <c r="D4" s="682" t="s">
        <v>392</v>
      </c>
      <c r="E4" s="683" t="s">
        <v>346</v>
      </c>
      <c r="F4" s="682" t="s">
        <v>347</v>
      </c>
      <c r="G4" s="682" t="s">
        <v>368</v>
      </c>
      <c r="H4" s="683" t="s">
        <v>369</v>
      </c>
      <c r="I4" s="684" t="s">
        <v>370</v>
      </c>
      <c r="J4" s="685" t="s">
        <v>371</v>
      </c>
    </row>
    <row r="5" spans="1:20" s="692" customFormat="1" ht="3.75" customHeight="1" thickBot="1" x14ac:dyDescent="0.3">
      <c r="A5" s="686"/>
      <c r="B5" s="687"/>
      <c r="C5" s="688"/>
      <c r="D5" s="689"/>
      <c r="E5" s="689"/>
      <c r="F5" s="689"/>
      <c r="G5" s="689"/>
      <c r="H5" s="689"/>
      <c r="I5" s="690"/>
      <c r="J5" s="688"/>
      <c r="K5" s="691"/>
    </row>
    <row r="6" spans="1:20" s="587" customFormat="1" ht="21.75" customHeight="1" thickTop="1" x14ac:dyDescent="0.25">
      <c r="A6" s="864"/>
      <c r="B6" s="865"/>
      <c r="C6" s="866"/>
      <c r="D6" s="693"/>
      <c r="E6" s="693"/>
      <c r="F6" s="694"/>
      <c r="G6" s="694"/>
      <c r="H6" s="694"/>
      <c r="I6" s="695"/>
      <c r="J6" s="696"/>
      <c r="K6" s="697"/>
    </row>
    <row r="7" spans="1:20" s="587" customFormat="1" ht="21.75" customHeight="1" x14ac:dyDescent="0.25">
      <c r="A7" s="848"/>
      <c r="B7" s="849"/>
      <c r="C7" s="850"/>
      <c r="D7" s="698"/>
      <c r="E7" s="698"/>
      <c r="F7" s="699"/>
      <c r="G7" s="699"/>
      <c r="H7" s="699"/>
      <c r="I7" s="700"/>
      <c r="J7" s="701"/>
      <c r="K7" s="697"/>
    </row>
    <row r="8" spans="1:20" s="587" customFormat="1" ht="21.75" customHeight="1" x14ac:dyDescent="0.25">
      <c r="A8" s="848"/>
      <c r="B8" s="849"/>
      <c r="C8" s="850"/>
      <c r="D8" s="698"/>
      <c r="E8" s="698"/>
      <c r="F8" s="699"/>
      <c r="G8" s="699"/>
      <c r="H8" s="699"/>
      <c r="I8" s="700"/>
      <c r="J8" s="701"/>
      <c r="K8" s="697"/>
    </row>
    <row r="9" spans="1:20" s="587" customFormat="1" ht="21.75" customHeight="1" x14ac:dyDescent="0.25">
      <c r="A9" s="848"/>
      <c r="B9" s="849"/>
      <c r="C9" s="850"/>
      <c r="D9" s="698"/>
      <c r="E9" s="698"/>
      <c r="F9" s="699"/>
      <c r="G9" s="699"/>
      <c r="H9" s="699"/>
      <c r="I9" s="700"/>
      <c r="J9" s="701"/>
      <c r="K9" s="697"/>
    </row>
    <row r="10" spans="1:20" s="587" customFormat="1" ht="21.75" customHeight="1" x14ac:dyDescent="0.25">
      <c r="A10" s="845"/>
      <c r="B10" s="846"/>
      <c r="C10" s="847"/>
      <c r="D10" s="698"/>
      <c r="E10" s="698"/>
      <c r="F10" s="699"/>
      <c r="G10" s="699"/>
      <c r="H10" s="699"/>
      <c r="I10" s="700"/>
      <c r="J10" s="701"/>
      <c r="K10" s="697"/>
    </row>
    <row r="11" spans="1:20" s="587" customFormat="1" ht="21.75" customHeight="1" x14ac:dyDescent="0.25">
      <c r="A11" s="848"/>
      <c r="B11" s="849"/>
      <c r="C11" s="850"/>
      <c r="D11" s="698"/>
      <c r="E11" s="698"/>
      <c r="F11" s="699"/>
      <c r="G11" s="699"/>
      <c r="H11" s="699"/>
      <c r="I11" s="700"/>
      <c r="J11" s="701"/>
      <c r="K11" s="697"/>
    </row>
    <row r="12" spans="1:20" s="587" customFormat="1" ht="27" customHeight="1" x14ac:dyDescent="0.25">
      <c r="A12" s="702"/>
      <c r="B12" s="702"/>
      <c r="C12" s="702"/>
      <c r="D12" s="595"/>
      <c r="E12" s="595"/>
      <c r="F12" s="703"/>
      <c r="G12" s="703"/>
      <c r="H12" s="703"/>
      <c r="I12" s="704"/>
      <c r="J12" s="595"/>
      <c r="K12" s="702"/>
      <c r="L12" s="702"/>
    </row>
    <row r="13" spans="1:20" ht="31.5" x14ac:dyDescent="0.45">
      <c r="A13" s="705" t="s">
        <v>372</v>
      </c>
      <c r="B13" s="706"/>
      <c r="C13" s="707"/>
      <c r="D13" s="707"/>
      <c r="E13" s="707"/>
      <c r="F13" s="707"/>
      <c r="G13" s="707"/>
      <c r="H13" s="707"/>
      <c r="I13" s="707"/>
      <c r="J13" s="707"/>
      <c r="K13" s="708"/>
      <c r="L13" s="709"/>
      <c r="M13" s="710"/>
      <c r="N13" s="710"/>
    </row>
    <row r="14" spans="1:20" ht="12" customHeight="1" x14ac:dyDescent="0.45">
      <c r="A14" s="711"/>
      <c r="B14" s="712"/>
      <c r="C14" s="713"/>
      <c r="D14" s="713"/>
      <c r="E14" s="713"/>
      <c r="F14" s="713"/>
      <c r="G14" s="713"/>
      <c r="H14" s="713"/>
      <c r="I14" s="713"/>
      <c r="J14" s="713"/>
      <c r="K14" s="708"/>
      <c r="L14" s="709"/>
      <c r="M14" s="710"/>
      <c r="N14" s="710"/>
    </row>
    <row r="15" spans="1:20" s="716" customFormat="1" ht="21.75" thickBot="1" x14ac:dyDescent="0.4">
      <c r="A15" s="714"/>
      <c r="B15" s="715" t="s">
        <v>373</v>
      </c>
    </row>
    <row r="16" spans="1:20" s="718" customFormat="1" ht="21.75" thickTop="1" x14ac:dyDescent="0.35">
      <c r="A16" s="717"/>
      <c r="F16" s="716"/>
    </row>
    <row r="17" spans="1:15" s="716" customFormat="1" ht="21.75" thickBot="1" x14ac:dyDescent="0.4">
      <c r="A17" s="714"/>
      <c r="B17" s="715" t="s">
        <v>374</v>
      </c>
    </row>
    <row r="18" spans="1:15" s="717" customFormat="1" ht="19.5" thickTop="1" x14ac:dyDescent="0.3">
      <c r="B18" s="717" t="s">
        <v>388</v>
      </c>
    </row>
    <row r="19" spans="1:15" s="717" customFormat="1" ht="18.75" x14ac:dyDescent="0.3">
      <c r="B19" s="717" t="s">
        <v>375</v>
      </c>
    </row>
    <row r="20" spans="1:15" s="717" customFormat="1" ht="26.25" x14ac:dyDescent="0.4">
      <c r="A20" s="719"/>
      <c r="B20" s="715" t="s">
        <v>376</v>
      </c>
      <c r="C20" s="720"/>
      <c r="D20" s="721"/>
    </row>
    <row r="21" spans="1:15" s="717" customFormat="1" ht="26.25" x14ac:dyDescent="0.4">
      <c r="A21" s="719"/>
      <c r="B21" s="867"/>
      <c r="C21" s="868"/>
      <c r="D21" s="868"/>
      <c r="E21" s="868"/>
      <c r="F21" s="868"/>
      <c r="G21" s="868"/>
      <c r="H21" s="868"/>
      <c r="I21" s="868"/>
      <c r="J21" s="868"/>
      <c r="K21" s="869"/>
    </row>
    <row r="22" spans="1:15" s="717" customFormat="1" ht="26.25" x14ac:dyDescent="0.4">
      <c r="A22" s="719"/>
      <c r="B22" s="870"/>
      <c r="C22" s="871"/>
      <c r="D22" s="871"/>
      <c r="E22" s="871"/>
      <c r="F22" s="871"/>
      <c r="G22" s="871"/>
      <c r="H22" s="871"/>
      <c r="I22" s="871"/>
      <c r="J22" s="871"/>
      <c r="K22" s="872"/>
    </row>
    <row r="23" spans="1:15" s="717" customFormat="1" ht="26.25" x14ac:dyDescent="0.4">
      <c r="A23" s="719"/>
      <c r="B23" s="873"/>
      <c r="C23" s="874"/>
      <c r="D23" s="874"/>
      <c r="E23" s="874"/>
      <c r="F23" s="874"/>
      <c r="G23" s="874"/>
      <c r="H23" s="874"/>
      <c r="I23" s="874"/>
      <c r="J23" s="874"/>
      <c r="K23" s="875"/>
    </row>
    <row r="24" spans="1:15" s="722" customFormat="1" ht="17.25" customHeight="1" thickBot="1" x14ac:dyDescent="0.3">
      <c r="C24" s="723"/>
      <c r="I24" s="724"/>
      <c r="J24" s="725"/>
      <c r="K24" s="725"/>
      <c r="L24" s="725"/>
      <c r="M24" s="726"/>
      <c r="N24" s="726"/>
      <c r="O24" s="727"/>
    </row>
    <row r="25" spans="1:15" ht="26.25" customHeight="1" thickBot="1" x14ac:dyDescent="0.3">
      <c r="A25" s="714"/>
      <c r="B25" s="728"/>
      <c r="C25" s="729"/>
      <c r="D25" s="851" t="s">
        <v>377</v>
      </c>
      <c r="E25" s="853" t="s">
        <v>378</v>
      </c>
      <c r="F25" s="855" t="s">
        <v>379</v>
      </c>
      <c r="G25" s="857" t="s">
        <v>380</v>
      </c>
      <c r="H25" s="851" t="s">
        <v>381</v>
      </c>
      <c r="I25" s="853" t="s">
        <v>382</v>
      </c>
      <c r="J25" s="857" t="s">
        <v>383</v>
      </c>
      <c r="K25" s="857" t="s">
        <v>384</v>
      </c>
      <c r="M25" s="678"/>
      <c r="N25" s="678"/>
    </row>
    <row r="26" spans="1:15" ht="84.75" customHeight="1" thickTop="1" thickBot="1" x14ac:dyDescent="0.3">
      <c r="A26" s="859" t="s">
        <v>385</v>
      </c>
      <c r="B26" s="860"/>
      <c r="C26" s="860"/>
      <c r="D26" s="852"/>
      <c r="E26" s="854"/>
      <c r="F26" s="856"/>
      <c r="G26" s="858"/>
      <c r="H26" s="852"/>
      <c r="I26" s="854"/>
      <c r="J26" s="858"/>
      <c r="K26" s="858"/>
      <c r="M26" s="678"/>
      <c r="N26" s="678"/>
    </row>
    <row r="27" spans="1:15" ht="21" customHeight="1" thickTop="1" x14ac:dyDescent="0.25">
      <c r="A27" s="876"/>
      <c r="B27" s="877"/>
      <c r="C27" s="877"/>
      <c r="D27" s="730"/>
      <c r="E27" s="731"/>
      <c r="F27" s="732"/>
      <c r="G27" s="733"/>
      <c r="H27" s="730"/>
      <c r="I27" s="731"/>
      <c r="J27" s="733"/>
      <c r="K27" s="765">
        <f>E27+G27+I27+J27</f>
        <v>0</v>
      </c>
      <c r="L27" s="734"/>
      <c r="M27" s="734"/>
      <c r="N27" s="734"/>
      <c r="O27" s="734"/>
    </row>
    <row r="28" spans="1:15" ht="21" customHeight="1" x14ac:dyDescent="0.25">
      <c r="A28" s="878"/>
      <c r="B28" s="879"/>
      <c r="C28" s="879"/>
      <c r="D28" s="735"/>
      <c r="E28" s="736"/>
      <c r="F28" s="737"/>
      <c r="G28" s="738"/>
      <c r="H28" s="735"/>
      <c r="I28" s="736"/>
      <c r="J28" s="738"/>
      <c r="K28" s="766">
        <f t="shared" ref="K28:K37" si="0">E28+G28+I28+J28</f>
        <v>0</v>
      </c>
      <c r="L28" s="734"/>
      <c r="M28" s="734"/>
      <c r="N28" s="734"/>
      <c r="O28" s="734"/>
    </row>
    <row r="29" spans="1:15" ht="21" customHeight="1" x14ac:dyDescent="0.25">
      <c r="A29" s="878"/>
      <c r="B29" s="879"/>
      <c r="C29" s="879"/>
      <c r="D29" s="735"/>
      <c r="E29" s="736"/>
      <c r="F29" s="737"/>
      <c r="G29" s="738"/>
      <c r="H29" s="735"/>
      <c r="I29" s="736"/>
      <c r="J29" s="738"/>
      <c r="K29" s="766">
        <f t="shared" si="0"/>
        <v>0</v>
      </c>
      <c r="L29" s="734"/>
      <c r="M29" s="734"/>
      <c r="N29" s="734"/>
      <c r="O29" s="734"/>
    </row>
    <row r="30" spans="1:15" ht="21" customHeight="1" x14ac:dyDescent="0.25">
      <c r="A30" s="878"/>
      <c r="B30" s="879"/>
      <c r="C30" s="879"/>
      <c r="D30" s="735"/>
      <c r="E30" s="736"/>
      <c r="F30" s="737"/>
      <c r="G30" s="738"/>
      <c r="H30" s="735"/>
      <c r="I30" s="736"/>
      <c r="J30" s="738"/>
      <c r="K30" s="766">
        <f t="shared" si="0"/>
        <v>0</v>
      </c>
      <c r="L30" s="734"/>
      <c r="M30" s="734"/>
      <c r="N30" s="734"/>
      <c r="O30" s="734"/>
    </row>
    <row r="31" spans="1:15" ht="21" customHeight="1" x14ac:dyDescent="0.25">
      <c r="A31" s="878"/>
      <c r="B31" s="879"/>
      <c r="C31" s="879"/>
      <c r="D31" s="735"/>
      <c r="E31" s="736"/>
      <c r="F31" s="737"/>
      <c r="G31" s="738"/>
      <c r="H31" s="735"/>
      <c r="I31" s="736"/>
      <c r="J31" s="738"/>
      <c r="K31" s="766">
        <f t="shared" si="0"/>
        <v>0</v>
      </c>
      <c r="L31" s="734"/>
      <c r="M31" s="734"/>
      <c r="N31" s="734"/>
      <c r="O31" s="734"/>
    </row>
    <row r="32" spans="1:15" ht="21" customHeight="1" x14ac:dyDescent="0.25">
      <c r="A32" s="878"/>
      <c r="B32" s="879"/>
      <c r="C32" s="879"/>
      <c r="D32" s="735"/>
      <c r="E32" s="736"/>
      <c r="F32" s="737"/>
      <c r="G32" s="738"/>
      <c r="H32" s="735"/>
      <c r="I32" s="736"/>
      <c r="J32" s="738"/>
      <c r="K32" s="766">
        <f t="shared" si="0"/>
        <v>0</v>
      </c>
      <c r="L32" s="734"/>
      <c r="M32" s="734"/>
      <c r="N32" s="734"/>
      <c r="O32" s="734"/>
    </row>
    <row r="33" spans="1:15" ht="21" customHeight="1" x14ac:dyDescent="0.25">
      <c r="A33" s="878"/>
      <c r="B33" s="879"/>
      <c r="C33" s="879"/>
      <c r="D33" s="735"/>
      <c r="E33" s="736"/>
      <c r="F33" s="737"/>
      <c r="G33" s="738"/>
      <c r="H33" s="735"/>
      <c r="I33" s="736"/>
      <c r="J33" s="738"/>
      <c r="K33" s="766">
        <f t="shared" si="0"/>
        <v>0</v>
      </c>
      <c r="L33" s="734"/>
      <c r="M33" s="734"/>
      <c r="N33" s="734"/>
      <c r="O33" s="734"/>
    </row>
    <row r="34" spans="1:15" ht="21" customHeight="1" x14ac:dyDescent="0.25">
      <c r="A34" s="878"/>
      <c r="B34" s="879"/>
      <c r="C34" s="879"/>
      <c r="D34" s="735"/>
      <c r="E34" s="736"/>
      <c r="F34" s="737"/>
      <c r="G34" s="738"/>
      <c r="H34" s="735"/>
      <c r="I34" s="736"/>
      <c r="J34" s="738"/>
      <c r="K34" s="766">
        <f t="shared" si="0"/>
        <v>0</v>
      </c>
      <c r="L34" s="734"/>
      <c r="M34" s="734"/>
      <c r="N34" s="734"/>
      <c r="O34" s="734"/>
    </row>
    <row r="35" spans="1:15" ht="21" customHeight="1" x14ac:dyDescent="0.25">
      <c r="A35" s="878"/>
      <c r="B35" s="879"/>
      <c r="C35" s="879"/>
      <c r="D35" s="735"/>
      <c r="E35" s="736"/>
      <c r="F35" s="737"/>
      <c r="G35" s="738"/>
      <c r="H35" s="735"/>
      <c r="I35" s="736"/>
      <c r="J35" s="738"/>
      <c r="K35" s="766">
        <f t="shared" si="0"/>
        <v>0</v>
      </c>
      <c r="L35" s="734"/>
      <c r="M35" s="734"/>
      <c r="N35" s="734"/>
      <c r="O35" s="734"/>
    </row>
    <row r="36" spans="1:15" ht="21" customHeight="1" x14ac:dyDescent="0.25">
      <c r="A36" s="878"/>
      <c r="B36" s="879"/>
      <c r="C36" s="879"/>
      <c r="D36" s="735"/>
      <c r="E36" s="736"/>
      <c r="F36" s="737"/>
      <c r="G36" s="738"/>
      <c r="H36" s="735"/>
      <c r="I36" s="736"/>
      <c r="J36" s="738"/>
      <c r="K36" s="766">
        <f t="shared" si="0"/>
        <v>0</v>
      </c>
      <c r="L36" s="734"/>
      <c r="M36" s="734"/>
      <c r="N36" s="734"/>
      <c r="O36" s="734"/>
    </row>
    <row r="37" spans="1:15" ht="21" customHeight="1" thickBot="1" x14ac:dyDescent="0.3">
      <c r="A37" s="880"/>
      <c r="B37" s="881"/>
      <c r="C37" s="881"/>
      <c r="D37" s="739"/>
      <c r="E37" s="740"/>
      <c r="F37" s="741"/>
      <c r="G37" s="742"/>
      <c r="H37" s="739"/>
      <c r="I37" s="740"/>
      <c r="J37" s="742"/>
      <c r="K37" s="767">
        <f t="shared" si="0"/>
        <v>0</v>
      </c>
      <c r="L37" s="734"/>
      <c r="M37" s="734"/>
      <c r="N37" s="734"/>
      <c r="O37" s="734"/>
    </row>
    <row r="38" spans="1:15" ht="66" customHeight="1" x14ac:dyDescent="0.25">
      <c r="A38" s="743"/>
      <c r="B38" s="743"/>
      <c r="C38" s="743"/>
      <c r="D38" s="743"/>
      <c r="E38" s="743"/>
      <c r="F38" s="743"/>
      <c r="G38" s="743"/>
      <c r="H38" s="743"/>
      <c r="I38" s="743"/>
      <c r="J38" s="743"/>
      <c r="K38" s="744"/>
      <c r="M38" s="678"/>
      <c r="N38" s="678"/>
    </row>
    <row r="39" spans="1:15" x14ac:dyDescent="0.25">
      <c r="B39" s="882"/>
      <c r="C39" s="883"/>
      <c r="D39" s="883"/>
      <c r="E39" s="883"/>
      <c r="F39" s="883"/>
      <c r="G39" s="883"/>
      <c r="H39" s="883"/>
      <c r="I39" s="883"/>
      <c r="J39" s="884"/>
      <c r="K39" s="745"/>
      <c r="L39" s="745"/>
      <c r="M39" s="746"/>
      <c r="N39" s="746"/>
      <c r="O39" s="745"/>
    </row>
    <row r="40" spans="1:15" x14ac:dyDescent="0.25">
      <c r="B40" s="885"/>
      <c r="C40" s="886"/>
      <c r="D40" s="886"/>
      <c r="E40" s="886"/>
      <c r="F40" s="886"/>
      <c r="G40" s="886"/>
      <c r="H40" s="886"/>
      <c r="I40" s="886"/>
      <c r="J40" s="887"/>
    </row>
    <row r="41" spans="1:15" x14ac:dyDescent="0.25">
      <c r="B41" s="885"/>
      <c r="C41" s="886"/>
      <c r="D41" s="886"/>
      <c r="E41" s="886"/>
      <c r="F41" s="886"/>
      <c r="G41" s="886"/>
      <c r="H41" s="886"/>
      <c r="I41" s="886"/>
      <c r="J41" s="887"/>
    </row>
    <row r="42" spans="1:15" x14ac:dyDescent="0.25">
      <c r="B42" s="885"/>
      <c r="C42" s="886"/>
      <c r="D42" s="886"/>
      <c r="E42" s="886"/>
      <c r="F42" s="886"/>
      <c r="G42" s="886"/>
      <c r="H42" s="886"/>
      <c r="I42" s="886"/>
      <c r="J42" s="887"/>
    </row>
    <row r="43" spans="1:15" x14ac:dyDescent="0.25">
      <c r="B43" s="885"/>
      <c r="C43" s="886"/>
      <c r="D43" s="886"/>
      <c r="E43" s="886"/>
      <c r="F43" s="886"/>
      <c r="G43" s="886"/>
      <c r="H43" s="886"/>
      <c r="I43" s="886"/>
      <c r="J43" s="887"/>
    </row>
    <row r="44" spans="1:15" x14ac:dyDescent="0.25">
      <c r="B44" s="885"/>
      <c r="C44" s="886"/>
      <c r="D44" s="886"/>
      <c r="E44" s="886"/>
      <c r="F44" s="886"/>
      <c r="G44" s="886"/>
      <c r="H44" s="886"/>
      <c r="I44" s="886"/>
      <c r="J44" s="887"/>
    </row>
    <row r="45" spans="1:15" x14ac:dyDescent="0.25">
      <c r="B45" s="885"/>
      <c r="C45" s="886"/>
      <c r="D45" s="886"/>
      <c r="E45" s="886"/>
      <c r="F45" s="886"/>
      <c r="G45" s="886"/>
      <c r="H45" s="886"/>
      <c r="I45" s="886"/>
      <c r="J45" s="887"/>
    </row>
    <row r="46" spans="1:15" x14ac:dyDescent="0.25">
      <c r="B46" s="885"/>
      <c r="C46" s="886"/>
      <c r="D46" s="886"/>
      <c r="E46" s="886"/>
      <c r="F46" s="886"/>
      <c r="G46" s="886"/>
      <c r="H46" s="886"/>
      <c r="I46" s="886"/>
      <c r="J46" s="887"/>
    </row>
    <row r="47" spans="1:15" x14ac:dyDescent="0.25">
      <c r="B47" s="885"/>
      <c r="C47" s="886"/>
      <c r="D47" s="886"/>
      <c r="E47" s="886"/>
      <c r="F47" s="886"/>
      <c r="G47" s="886"/>
      <c r="H47" s="886"/>
      <c r="I47" s="886"/>
      <c r="J47" s="887"/>
    </row>
    <row r="48" spans="1:15" x14ac:dyDescent="0.25">
      <c r="B48" s="885"/>
      <c r="C48" s="886"/>
      <c r="D48" s="886"/>
      <c r="E48" s="886"/>
      <c r="F48" s="886"/>
      <c r="G48" s="886"/>
      <c r="H48" s="886"/>
      <c r="I48" s="886"/>
      <c r="J48" s="887"/>
    </row>
    <row r="49" spans="2:10" x14ac:dyDescent="0.25">
      <c r="B49" s="885"/>
      <c r="C49" s="886"/>
      <c r="D49" s="886"/>
      <c r="E49" s="886"/>
      <c r="F49" s="886"/>
      <c r="G49" s="886"/>
      <c r="H49" s="886"/>
      <c r="I49" s="886"/>
      <c r="J49" s="887"/>
    </row>
    <row r="50" spans="2:10" x14ac:dyDescent="0.25">
      <c r="B50" s="885"/>
      <c r="C50" s="886"/>
      <c r="D50" s="886"/>
      <c r="E50" s="886"/>
      <c r="F50" s="886"/>
      <c r="G50" s="886"/>
      <c r="H50" s="886"/>
      <c r="I50" s="886"/>
      <c r="J50" s="887"/>
    </row>
    <row r="51" spans="2:10" x14ac:dyDescent="0.25">
      <c r="B51" s="885"/>
      <c r="C51" s="886"/>
      <c r="D51" s="886"/>
      <c r="E51" s="886"/>
      <c r="F51" s="886"/>
      <c r="G51" s="886"/>
      <c r="H51" s="886"/>
      <c r="I51" s="886"/>
      <c r="J51" s="887"/>
    </row>
    <row r="52" spans="2:10" x14ac:dyDescent="0.25">
      <c r="B52" s="888"/>
      <c r="C52" s="889"/>
      <c r="D52" s="889"/>
      <c r="E52" s="889"/>
      <c r="F52" s="889"/>
      <c r="G52" s="889"/>
      <c r="H52" s="889"/>
      <c r="I52" s="889"/>
      <c r="J52" s="890"/>
    </row>
    <row r="53" spans="2:10" x14ac:dyDescent="0.25"/>
    <row r="54" spans="2:10" hidden="1" x14ac:dyDescent="0.25"/>
    <row r="55" spans="2:10" hidden="1" x14ac:dyDescent="0.25"/>
    <row r="56" spans="2:10" hidden="1" x14ac:dyDescent="0.25"/>
    <row r="57" spans="2:10" hidden="1" x14ac:dyDescent="0.25"/>
    <row r="58" spans="2:10" hidden="1" x14ac:dyDescent="0.25"/>
    <row r="59" spans="2:10" hidden="1" x14ac:dyDescent="0.25"/>
    <row r="60" spans="2:10" hidden="1" x14ac:dyDescent="0.25"/>
    <row r="61" spans="2:10" hidden="1" x14ac:dyDescent="0.25"/>
    <row r="62" spans="2:10" hidden="1" x14ac:dyDescent="0.25"/>
    <row r="63" spans="2:10" hidden="1" x14ac:dyDescent="0.25"/>
    <row r="64" spans="2:10"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t="15" hidden="1" customHeight="1" x14ac:dyDescent="0.25"/>
  </sheetData>
  <sheetProtection algorithmName="SHA-512" hashValue="Knu+R2TNex7mTOL35r0EWvdY/Ee35zrkVCl1L/Pbdn6DRhHw87NbEVHo2OK8HOCdTe5ecyLdJXRflt240up3pw==" saltValue="bRVvJAr54htGCi8Yy/wF5A==" spinCount="100000" sheet="1" formatRows="0"/>
  <mergeCells count="30">
    <mergeCell ref="A9:C9"/>
    <mergeCell ref="A2:J2"/>
    <mergeCell ref="A3:J3"/>
    <mergeCell ref="A6:C6"/>
    <mergeCell ref="A7:C7"/>
    <mergeCell ref="A8:C8"/>
    <mergeCell ref="A30:C30"/>
    <mergeCell ref="A10:C10"/>
    <mergeCell ref="A11:C11"/>
    <mergeCell ref="B21:K23"/>
    <mergeCell ref="D25:D26"/>
    <mergeCell ref="E25:E26"/>
    <mergeCell ref="F25:F26"/>
    <mergeCell ref="G25:G26"/>
    <mergeCell ref="H25:H26"/>
    <mergeCell ref="I25:I26"/>
    <mergeCell ref="J25:J26"/>
    <mergeCell ref="K25:K26"/>
    <mergeCell ref="A26:C26"/>
    <mergeCell ref="A27:C27"/>
    <mergeCell ref="A28:C28"/>
    <mergeCell ref="A29:C29"/>
    <mergeCell ref="A37:C37"/>
    <mergeCell ref="B39:J52"/>
    <mergeCell ref="A31:C31"/>
    <mergeCell ref="A32:C32"/>
    <mergeCell ref="A33:C33"/>
    <mergeCell ref="A34:C34"/>
    <mergeCell ref="A35:C35"/>
    <mergeCell ref="A36:C36"/>
  </mergeCells>
  <dataValidations count="3">
    <dataValidation type="textLength" allowBlank="1" showInputMessage="1" showErrorMessage="1" sqref="H27:H37 F27:F37 D27:D37">
      <formula1>0</formula1>
      <formula2>33</formula2>
    </dataValidation>
    <dataValidation type="decimal" allowBlank="1" showInputMessage="1" showErrorMessage="1" error="bitte Zahl eingeben!" sqref="D6:E11 IZ6:JA11 SV6:SW11 ACR6:ACS11 AMN6:AMO11 AWJ6:AWK11 BGF6:BGG11 BQB6:BQC11 BZX6:BZY11 CJT6:CJU11 CTP6:CTQ11 DDL6:DDM11 DNH6:DNI11 DXD6:DXE11 EGZ6:EHA11 EQV6:EQW11 FAR6:FAS11 FKN6:FKO11 FUJ6:FUK11 GEF6:GEG11 GOB6:GOC11 GXX6:GXY11 HHT6:HHU11 HRP6:HRQ11 IBL6:IBM11 ILH6:ILI11 IVD6:IVE11 JEZ6:JFA11 JOV6:JOW11 JYR6:JYS11 KIN6:KIO11 KSJ6:KSK11 LCF6:LCG11 LMB6:LMC11 LVX6:LVY11 MFT6:MFU11 MPP6:MPQ11 MZL6:MZM11 NJH6:NJI11 NTD6:NTE11 OCZ6:ODA11 OMV6:OMW11 OWR6:OWS11 PGN6:PGO11 PQJ6:PQK11 QAF6:QAG11 QKB6:QKC11 QTX6:QTY11 RDT6:RDU11 RNP6:RNQ11 RXL6:RXM11 SHH6:SHI11 SRD6:SRE11 TAZ6:TBA11 TKV6:TKW11 TUR6:TUS11 UEN6:UEO11 UOJ6:UOK11 UYF6:UYG11 VIB6:VIC11 VRX6:VRY11 WBT6:WBU11 WLP6:WLQ11 WVL6:WVM11 D65541:E65546 IZ65541:JA65546 SV65541:SW65546 ACR65541:ACS65546 AMN65541:AMO65546 AWJ65541:AWK65546 BGF65541:BGG65546 BQB65541:BQC65546 BZX65541:BZY65546 CJT65541:CJU65546 CTP65541:CTQ65546 DDL65541:DDM65546 DNH65541:DNI65546 DXD65541:DXE65546 EGZ65541:EHA65546 EQV65541:EQW65546 FAR65541:FAS65546 FKN65541:FKO65546 FUJ65541:FUK65546 GEF65541:GEG65546 GOB65541:GOC65546 GXX65541:GXY65546 HHT65541:HHU65546 HRP65541:HRQ65546 IBL65541:IBM65546 ILH65541:ILI65546 IVD65541:IVE65546 JEZ65541:JFA65546 JOV65541:JOW65546 JYR65541:JYS65546 KIN65541:KIO65546 KSJ65541:KSK65546 LCF65541:LCG65546 LMB65541:LMC65546 LVX65541:LVY65546 MFT65541:MFU65546 MPP65541:MPQ65546 MZL65541:MZM65546 NJH65541:NJI65546 NTD65541:NTE65546 OCZ65541:ODA65546 OMV65541:OMW65546 OWR65541:OWS65546 PGN65541:PGO65546 PQJ65541:PQK65546 QAF65541:QAG65546 QKB65541:QKC65546 QTX65541:QTY65546 RDT65541:RDU65546 RNP65541:RNQ65546 RXL65541:RXM65546 SHH65541:SHI65546 SRD65541:SRE65546 TAZ65541:TBA65546 TKV65541:TKW65546 TUR65541:TUS65546 UEN65541:UEO65546 UOJ65541:UOK65546 UYF65541:UYG65546 VIB65541:VIC65546 VRX65541:VRY65546 WBT65541:WBU65546 WLP65541:WLQ65546 WVL65541:WVM65546 D131077:E131082 IZ131077:JA131082 SV131077:SW131082 ACR131077:ACS131082 AMN131077:AMO131082 AWJ131077:AWK131082 BGF131077:BGG131082 BQB131077:BQC131082 BZX131077:BZY131082 CJT131077:CJU131082 CTP131077:CTQ131082 DDL131077:DDM131082 DNH131077:DNI131082 DXD131077:DXE131082 EGZ131077:EHA131082 EQV131077:EQW131082 FAR131077:FAS131082 FKN131077:FKO131082 FUJ131077:FUK131082 GEF131077:GEG131082 GOB131077:GOC131082 GXX131077:GXY131082 HHT131077:HHU131082 HRP131077:HRQ131082 IBL131077:IBM131082 ILH131077:ILI131082 IVD131077:IVE131082 JEZ131077:JFA131082 JOV131077:JOW131082 JYR131077:JYS131082 KIN131077:KIO131082 KSJ131077:KSK131082 LCF131077:LCG131082 LMB131077:LMC131082 LVX131077:LVY131082 MFT131077:MFU131082 MPP131077:MPQ131082 MZL131077:MZM131082 NJH131077:NJI131082 NTD131077:NTE131082 OCZ131077:ODA131082 OMV131077:OMW131082 OWR131077:OWS131082 PGN131077:PGO131082 PQJ131077:PQK131082 QAF131077:QAG131082 QKB131077:QKC131082 QTX131077:QTY131082 RDT131077:RDU131082 RNP131077:RNQ131082 RXL131077:RXM131082 SHH131077:SHI131082 SRD131077:SRE131082 TAZ131077:TBA131082 TKV131077:TKW131082 TUR131077:TUS131082 UEN131077:UEO131082 UOJ131077:UOK131082 UYF131077:UYG131082 VIB131077:VIC131082 VRX131077:VRY131082 WBT131077:WBU131082 WLP131077:WLQ131082 WVL131077:WVM131082 D196613:E196618 IZ196613:JA196618 SV196613:SW196618 ACR196613:ACS196618 AMN196613:AMO196618 AWJ196613:AWK196618 BGF196613:BGG196618 BQB196613:BQC196618 BZX196613:BZY196618 CJT196613:CJU196618 CTP196613:CTQ196618 DDL196613:DDM196618 DNH196613:DNI196618 DXD196613:DXE196618 EGZ196613:EHA196618 EQV196613:EQW196618 FAR196613:FAS196618 FKN196613:FKO196618 FUJ196613:FUK196618 GEF196613:GEG196618 GOB196613:GOC196618 GXX196613:GXY196618 HHT196613:HHU196618 HRP196613:HRQ196618 IBL196613:IBM196618 ILH196613:ILI196618 IVD196613:IVE196618 JEZ196613:JFA196618 JOV196613:JOW196618 JYR196613:JYS196618 KIN196613:KIO196618 KSJ196613:KSK196618 LCF196613:LCG196618 LMB196613:LMC196618 LVX196613:LVY196618 MFT196613:MFU196618 MPP196613:MPQ196618 MZL196613:MZM196618 NJH196613:NJI196618 NTD196613:NTE196618 OCZ196613:ODA196618 OMV196613:OMW196618 OWR196613:OWS196618 PGN196613:PGO196618 PQJ196613:PQK196618 QAF196613:QAG196618 QKB196613:QKC196618 QTX196613:QTY196618 RDT196613:RDU196618 RNP196613:RNQ196618 RXL196613:RXM196618 SHH196613:SHI196618 SRD196613:SRE196618 TAZ196613:TBA196618 TKV196613:TKW196618 TUR196613:TUS196618 UEN196613:UEO196618 UOJ196613:UOK196618 UYF196613:UYG196618 VIB196613:VIC196618 VRX196613:VRY196618 WBT196613:WBU196618 WLP196613:WLQ196618 WVL196613:WVM196618 D262149:E262154 IZ262149:JA262154 SV262149:SW262154 ACR262149:ACS262154 AMN262149:AMO262154 AWJ262149:AWK262154 BGF262149:BGG262154 BQB262149:BQC262154 BZX262149:BZY262154 CJT262149:CJU262154 CTP262149:CTQ262154 DDL262149:DDM262154 DNH262149:DNI262154 DXD262149:DXE262154 EGZ262149:EHA262154 EQV262149:EQW262154 FAR262149:FAS262154 FKN262149:FKO262154 FUJ262149:FUK262154 GEF262149:GEG262154 GOB262149:GOC262154 GXX262149:GXY262154 HHT262149:HHU262154 HRP262149:HRQ262154 IBL262149:IBM262154 ILH262149:ILI262154 IVD262149:IVE262154 JEZ262149:JFA262154 JOV262149:JOW262154 JYR262149:JYS262154 KIN262149:KIO262154 KSJ262149:KSK262154 LCF262149:LCG262154 LMB262149:LMC262154 LVX262149:LVY262154 MFT262149:MFU262154 MPP262149:MPQ262154 MZL262149:MZM262154 NJH262149:NJI262154 NTD262149:NTE262154 OCZ262149:ODA262154 OMV262149:OMW262154 OWR262149:OWS262154 PGN262149:PGO262154 PQJ262149:PQK262154 QAF262149:QAG262154 QKB262149:QKC262154 QTX262149:QTY262154 RDT262149:RDU262154 RNP262149:RNQ262154 RXL262149:RXM262154 SHH262149:SHI262154 SRD262149:SRE262154 TAZ262149:TBA262154 TKV262149:TKW262154 TUR262149:TUS262154 UEN262149:UEO262154 UOJ262149:UOK262154 UYF262149:UYG262154 VIB262149:VIC262154 VRX262149:VRY262154 WBT262149:WBU262154 WLP262149:WLQ262154 WVL262149:WVM262154 D327685:E327690 IZ327685:JA327690 SV327685:SW327690 ACR327685:ACS327690 AMN327685:AMO327690 AWJ327685:AWK327690 BGF327685:BGG327690 BQB327685:BQC327690 BZX327685:BZY327690 CJT327685:CJU327690 CTP327685:CTQ327690 DDL327685:DDM327690 DNH327685:DNI327690 DXD327685:DXE327690 EGZ327685:EHA327690 EQV327685:EQW327690 FAR327685:FAS327690 FKN327685:FKO327690 FUJ327685:FUK327690 GEF327685:GEG327690 GOB327685:GOC327690 GXX327685:GXY327690 HHT327685:HHU327690 HRP327685:HRQ327690 IBL327685:IBM327690 ILH327685:ILI327690 IVD327685:IVE327690 JEZ327685:JFA327690 JOV327685:JOW327690 JYR327685:JYS327690 KIN327685:KIO327690 KSJ327685:KSK327690 LCF327685:LCG327690 LMB327685:LMC327690 LVX327685:LVY327690 MFT327685:MFU327690 MPP327685:MPQ327690 MZL327685:MZM327690 NJH327685:NJI327690 NTD327685:NTE327690 OCZ327685:ODA327690 OMV327685:OMW327690 OWR327685:OWS327690 PGN327685:PGO327690 PQJ327685:PQK327690 QAF327685:QAG327690 QKB327685:QKC327690 QTX327685:QTY327690 RDT327685:RDU327690 RNP327685:RNQ327690 RXL327685:RXM327690 SHH327685:SHI327690 SRD327685:SRE327690 TAZ327685:TBA327690 TKV327685:TKW327690 TUR327685:TUS327690 UEN327685:UEO327690 UOJ327685:UOK327690 UYF327685:UYG327690 VIB327685:VIC327690 VRX327685:VRY327690 WBT327685:WBU327690 WLP327685:WLQ327690 WVL327685:WVM327690 D393221:E393226 IZ393221:JA393226 SV393221:SW393226 ACR393221:ACS393226 AMN393221:AMO393226 AWJ393221:AWK393226 BGF393221:BGG393226 BQB393221:BQC393226 BZX393221:BZY393226 CJT393221:CJU393226 CTP393221:CTQ393226 DDL393221:DDM393226 DNH393221:DNI393226 DXD393221:DXE393226 EGZ393221:EHA393226 EQV393221:EQW393226 FAR393221:FAS393226 FKN393221:FKO393226 FUJ393221:FUK393226 GEF393221:GEG393226 GOB393221:GOC393226 GXX393221:GXY393226 HHT393221:HHU393226 HRP393221:HRQ393226 IBL393221:IBM393226 ILH393221:ILI393226 IVD393221:IVE393226 JEZ393221:JFA393226 JOV393221:JOW393226 JYR393221:JYS393226 KIN393221:KIO393226 KSJ393221:KSK393226 LCF393221:LCG393226 LMB393221:LMC393226 LVX393221:LVY393226 MFT393221:MFU393226 MPP393221:MPQ393226 MZL393221:MZM393226 NJH393221:NJI393226 NTD393221:NTE393226 OCZ393221:ODA393226 OMV393221:OMW393226 OWR393221:OWS393226 PGN393221:PGO393226 PQJ393221:PQK393226 QAF393221:QAG393226 QKB393221:QKC393226 QTX393221:QTY393226 RDT393221:RDU393226 RNP393221:RNQ393226 RXL393221:RXM393226 SHH393221:SHI393226 SRD393221:SRE393226 TAZ393221:TBA393226 TKV393221:TKW393226 TUR393221:TUS393226 UEN393221:UEO393226 UOJ393221:UOK393226 UYF393221:UYG393226 VIB393221:VIC393226 VRX393221:VRY393226 WBT393221:WBU393226 WLP393221:WLQ393226 WVL393221:WVM393226 D458757:E458762 IZ458757:JA458762 SV458757:SW458762 ACR458757:ACS458762 AMN458757:AMO458762 AWJ458757:AWK458762 BGF458757:BGG458762 BQB458757:BQC458762 BZX458757:BZY458762 CJT458757:CJU458762 CTP458757:CTQ458762 DDL458757:DDM458762 DNH458757:DNI458762 DXD458757:DXE458762 EGZ458757:EHA458762 EQV458757:EQW458762 FAR458757:FAS458762 FKN458757:FKO458762 FUJ458757:FUK458762 GEF458757:GEG458762 GOB458757:GOC458762 GXX458757:GXY458762 HHT458757:HHU458762 HRP458757:HRQ458762 IBL458757:IBM458762 ILH458757:ILI458762 IVD458757:IVE458762 JEZ458757:JFA458762 JOV458757:JOW458762 JYR458757:JYS458762 KIN458757:KIO458762 KSJ458757:KSK458762 LCF458757:LCG458762 LMB458757:LMC458762 LVX458757:LVY458762 MFT458757:MFU458762 MPP458757:MPQ458762 MZL458757:MZM458762 NJH458757:NJI458762 NTD458757:NTE458762 OCZ458757:ODA458762 OMV458757:OMW458762 OWR458757:OWS458762 PGN458757:PGO458762 PQJ458757:PQK458762 QAF458757:QAG458762 QKB458757:QKC458762 QTX458757:QTY458762 RDT458757:RDU458762 RNP458757:RNQ458762 RXL458757:RXM458762 SHH458757:SHI458762 SRD458757:SRE458762 TAZ458757:TBA458762 TKV458757:TKW458762 TUR458757:TUS458762 UEN458757:UEO458762 UOJ458757:UOK458762 UYF458757:UYG458762 VIB458757:VIC458762 VRX458757:VRY458762 WBT458757:WBU458762 WLP458757:WLQ458762 WVL458757:WVM458762 D524293:E524298 IZ524293:JA524298 SV524293:SW524298 ACR524293:ACS524298 AMN524293:AMO524298 AWJ524293:AWK524298 BGF524293:BGG524298 BQB524293:BQC524298 BZX524293:BZY524298 CJT524293:CJU524298 CTP524293:CTQ524298 DDL524293:DDM524298 DNH524293:DNI524298 DXD524293:DXE524298 EGZ524293:EHA524298 EQV524293:EQW524298 FAR524293:FAS524298 FKN524293:FKO524298 FUJ524293:FUK524298 GEF524293:GEG524298 GOB524293:GOC524298 GXX524293:GXY524298 HHT524293:HHU524298 HRP524293:HRQ524298 IBL524293:IBM524298 ILH524293:ILI524298 IVD524293:IVE524298 JEZ524293:JFA524298 JOV524293:JOW524298 JYR524293:JYS524298 KIN524293:KIO524298 KSJ524293:KSK524298 LCF524293:LCG524298 LMB524293:LMC524298 LVX524293:LVY524298 MFT524293:MFU524298 MPP524293:MPQ524298 MZL524293:MZM524298 NJH524293:NJI524298 NTD524293:NTE524298 OCZ524293:ODA524298 OMV524293:OMW524298 OWR524293:OWS524298 PGN524293:PGO524298 PQJ524293:PQK524298 QAF524293:QAG524298 QKB524293:QKC524298 QTX524293:QTY524298 RDT524293:RDU524298 RNP524293:RNQ524298 RXL524293:RXM524298 SHH524293:SHI524298 SRD524293:SRE524298 TAZ524293:TBA524298 TKV524293:TKW524298 TUR524293:TUS524298 UEN524293:UEO524298 UOJ524293:UOK524298 UYF524293:UYG524298 VIB524293:VIC524298 VRX524293:VRY524298 WBT524293:WBU524298 WLP524293:WLQ524298 WVL524293:WVM524298 D589829:E589834 IZ589829:JA589834 SV589829:SW589834 ACR589829:ACS589834 AMN589829:AMO589834 AWJ589829:AWK589834 BGF589829:BGG589834 BQB589829:BQC589834 BZX589829:BZY589834 CJT589829:CJU589834 CTP589829:CTQ589834 DDL589829:DDM589834 DNH589829:DNI589834 DXD589829:DXE589834 EGZ589829:EHA589834 EQV589829:EQW589834 FAR589829:FAS589834 FKN589829:FKO589834 FUJ589829:FUK589834 GEF589829:GEG589834 GOB589829:GOC589834 GXX589829:GXY589834 HHT589829:HHU589834 HRP589829:HRQ589834 IBL589829:IBM589834 ILH589829:ILI589834 IVD589829:IVE589834 JEZ589829:JFA589834 JOV589829:JOW589834 JYR589829:JYS589834 KIN589829:KIO589834 KSJ589829:KSK589834 LCF589829:LCG589834 LMB589829:LMC589834 LVX589829:LVY589834 MFT589829:MFU589834 MPP589829:MPQ589834 MZL589829:MZM589834 NJH589829:NJI589834 NTD589829:NTE589834 OCZ589829:ODA589834 OMV589829:OMW589834 OWR589829:OWS589834 PGN589829:PGO589834 PQJ589829:PQK589834 QAF589829:QAG589834 QKB589829:QKC589834 QTX589829:QTY589834 RDT589829:RDU589834 RNP589829:RNQ589834 RXL589829:RXM589834 SHH589829:SHI589834 SRD589829:SRE589834 TAZ589829:TBA589834 TKV589829:TKW589834 TUR589829:TUS589834 UEN589829:UEO589834 UOJ589829:UOK589834 UYF589829:UYG589834 VIB589829:VIC589834 VRX589829:VRY589834 WBT589829:WBU589834 WLP589829:WLQ589834 WVL589829:WVM589834 D655365:E655370 IZ655365:JA655370 SV655365:SW655370 ACR655365:ACS655370 AMN655365:AMO655370 AWJ655365:AWK655370 BGF655365:BGG655370 BQB655365:BQC655370 BZX655365:BZY655370 CJT655365:CJU655370 CTP655365:CTQ655370 DDL655365:DDM655370 DNH655365:DNI655370 DXD655365:DXE655370 EGZ655365:EHA655370 EQV655365:EQW655370 FAR655365:FAS655370 FKN655365:FKO655370 FUJ655365:FUK655370 GEF655365:GEG655370 GOB655365:GOC655370 GXX655365:GXY655370 HHT655365:HHU655370 HRP655365:HRQ655370 IBL655365:IBM655370 ILH655365:ILI655370 IVD655365:IVE655370 JEZ655365:JFA655370 JOV655365:JOW655370 JYR655365:JYS655370 KIN655365:KIO655370 KSJ655365:KSK655370 LCF655365:LCG655370 LMB655365:LMC655370 LVX655365:LVY655370 MFT655365:MFU655370 MPP655365:MPQ655370 MZL655365:MZM655370 NJH655365:NJI655370 NTD655365:NTE655370 OCZ655365:ODA655370 OMV655365:OMW655370 OWR655365:OWS655370 PGN655365:PGO655370 PQJ655365:PQK655370 QAF655365:QAG655370 QKB655365:QKC655370 QTX655365:QTY655370 RDT655365:RDU655370 RNP655365:RNQ655370 RXL655365:RXM655370 SHH655365:SHI655370 SRD655365:SRE655370 TAZ655365:TBA655370 TKV655365:TKW655370 TUR655365:TUS655370 UEN655365:UEO655370 UOJ655365:UOK655370 UYF655365:UYG655370 VIB655365:VIC655370 VRX655365:VRY655370 WBT655365:WBU655370 WLP655365:WLQ655370 WVL655365:WVM655370 D720901:E720906 IZ720901:JA720906 SV720901:SW720906 ACR720901:ACS720906 AMN720901:AMO720906 AWJ720901:AWK720906 BGF720901:BGG720906 BQB720901:BQC720906 BZX720901:BZY720906 CJT720901:CJU720906 CTP720901:CTQ720906 DDL720901:DDM720906 DNH720901:DNI720906 DXD720901:DXE720906 EGZ720901:EHA720906 EQV720901:EQW720906 FAR720901:FAS720906 FKN720901:FKO720906 FUJ720901:FUK720906 GEF720901:GEG720906 GOB720901:GOC720906 GXX720901:GXY720906 HHT720901:HHU720906 HRP720901:HRQ720906 IBL720901:IBM720906 ILH720901:ILI720906 IVD720901:IVE720906 JEZ720901:JFA720906 JOV720901:JOW720906 JYR720901:JYS720906 KIN720901:KIO720906 KSJ720901:KSK720906 LCF720901:LCG720906 LMB720901:LMC720906 LVX720901:LVY720906 MFT720901:MFU720906 MPP720901:MPQ720906 MZL720901:MZM720906 NJH720901:NJI720906 NTD720901:NTE720906 OCZ720901:ODA720906 OMV720901:OMW720906 OWR720901:OWS720906 PGN720901:PGO720906 PQJ720901:PQK720906 QAF720901:QAG720906 QKB720901:QKC720906 QTX720901:QTY720906 RDT720901:RDU720906 RNP720901:RNQ720906 RXL720901:RXM720906 SHH720901:SHI720906 SRD720901:SRE720906 TAZ720901:TBA720906 TKV720901:TKW720906 TUR720901:TUS720906 UEN720901:UEO720906 UOJ720901:UOK720906 UYF720901:UYG720906 VIB720901:VIC720906 VRX720901:VRY720906 WBT720901:WBU720906 WLP720901:WLQ720906 WVL720901:WVM720906 D786437:E786442 IZ786437:JA786442 SV786437:SW786442 ACR786437:ACS786442 AMN786437:AMO786442 AWJ786437:AWK786442 BGF786437:BGG786442 BQB786437:BQC786442 BZX786437:BZY786442 CJT786437:CJU786442 CTP786437:CTQ786442 DDL786437:DDM786442 DNH786437:DNI786442 DXD786437:DXE786442 EGZ786437:EHA786442 EQV786437:EQW786442 FAR786437:FAS786442 FKN786437:FKO786442 FUJ786437:FUK786442 GEF786437:GEG786442 GOB786437:GOC786442 GXX786437:GXY786442 HHT786437:HHU786442 HRP786437:HRQ786442 IBL786437:IBM786442 ILH786437:ILI786442 IVD786437:IVE786442 JEZ786437:JFA786442 JOV786437:JOW786442 JYR786437:JYS786442 KIN786437:KIO786442 KSJ786437:KSK786442 LCF786437:LCG786442 LMB786437:LMC786442 LVX786437:LVY786442 MFT786437:MFU786442 MPP786437:MPQ786442 MZL786437:MZM786442 NJH786437:NJI786442 NTD786437:NTE786442 OCZ786437:ODA786442 OMV786437:OMW786442 OWR786437:OWS786442 PGN786437:PGO786442 PQJ786437:PQK786442 QAF786437:QAG786442 QKB786437:QKC786442 QTX786437:QTY786442 RDT786437:RDU786442 RNP786437:RNQ786442 RXL786437:RXM786442 SHH786437:SHI786442 SRD786437:SRE786442 TAZ786437:TBA786442 TKV786437:TKW786442 TUR786437:TUS786442 UEN786437:UEO786442 UOJ786437:UOK786442 UYF786437:UYG786442 VIB786437:VIC786442 VRX786437:VRY786442 WBT786437:WBU786442 WLP786437:WLQ786442 WVL786437:WVM786442 D851973:E851978 IZ851973:JA851978 SV851973:SW851978 ACR851973:ACS851978 AMN851973:AMO851978 AWJ851973:AWK851978 BGF851973:BGG851978 BQB851973:BQC851978 BZX851973:BZY851978 CJT851973:CJU851978 CTP851973:CTQ851978 DDL851973:DDM851978 DNH851973:DNI851978 DXD851973:DXE851978 EGZ851973:EHA851978 EQV851973:EQW851978 FAR851973:FAS851978 FKN851973:FKO851978 FUJ851973:FUK851978 GEF851973:GEG851978 GOB851973:GOC851978 GXX851973:GXY851978 HHT851973:HHU851978 HRP851973:HRQ851978 IBL851973:IBM851978 ILH851973:ILI851978 IVD851973:IVE851978 JEZ851973:JFA851978 JOV851973:JOW851978 JYR851973:JYS851978 KIN851973:KIO851978 KSJ851973:KSK851978 LCF851973:LCG851978 LMB851973:LMC851978 LVX851973:LVY851978 MFT851973:MFU851978 MPP851973:MPQ851978 MZL851973:MZM851978 NJH851973:NJI851978 NTD851973:NTE851978 OCZ851973:ODA851978 OMV851973:OMW851978 OWR851973:OWS851978 PGN851973:PGO851978 PQJ851973:PQK851978 QAF851973:QAG851978 QKB851973:QKC851978 QTX851973:QTY851978 RDT851973:RDU851978 RNP851973:RNQ851978 RXL851973:RXM851978 SHH851973:SHI851978 SRD851973:SRE851978 TAZ851973:TBA851978 TKV851973:TKW851978 TUR851973:TUS851978 UEN851973:UEO851978 UOJ851973:UOK851978 UYF851973:UYG851978 VIB851973:VIC851978 VRX851973:VRY851978 WBT851973:WBU851978 WLP851973:WLQ851978 WVL851973:WVM851978 D917509:E917514 IZ917509:JA917514 SV917509:SW917514 ACR917509:ACS917514 AMN917509:AMO917514 AWJ917509:AWK917514 BGF917509:BGG917514 BQB917509:BQC917514 BZX917509:BZY917514 CJT917509:CJU917514 CTP917509:CTQ917514 DDL917509:DDM917514 DNH917509:DNI917514 DXD917509:DXE917514 EGZ917509:EHA917514 EQV917509:EQW917514 FAR917509:FAS917514 FKN917509:FKO917514 FUJ917509:FUK917514 GEF917509:GEG917514 GOB917509:GOC917514 GXX917509:GXY917514 HHT917509:HHU917514 HRP917509:HRQ917514 IBL917509:IBM917514 ILH917509:ILI917514 IVD917509:IVE917514 JEZ917509:JFA917514 JOV917509:JOW917514 JYR917509:JYS917514 KIN917509:KIO917514 KSJ917509:KSK917514 LCF917509:LCG917514 LMB917509:LMC917514 LVX917509:LVY917514 MFT917509:MFU917514 MPP917509:MPQ917514 MZL917509:MZM917514 NJH917509:NJI917514 NTD917509:NTE917514 OCZ917509:ODA917514 OMV917509:OMW917514 OWR917509:OWS917514 PGN917509:PGO917514 PQJ917509:PQK917514 QAF917509:QAG917514 QKB917509:QKC917514 QTX917509:QTY917514 RDT917509:RDU917514 RNP917509:RNQ917514 RXL917509:RXM917514 SHH917509:SHI917514 SRD917509:SRE917514 TAZ917509:TBA917514 TKV917509:TKW917514 TUR917509:TUS917514 UEN917509:UEO917514 UOJ917509:UOK917514 UYF917509:UYG917514 VIB917509:VIC917514 VRX917509:VRY917514 WBT917509:WBU917514 WLP917509:WLQ917514 WVL917509:WVM917514 D983045:E983050 IZ983045:JA983050 SV983045:SW983050 ACR983045:ACS983050 AMN983045:AMO983050 AWJ983045:AWK983050 BGF983045:BGG983050 BQB983045:BQC983050 BZX983045:BZY983050 CJT983045:CJU983050 CTP983045:CTQ983050 DDL983045:DDM983050 DNH983045:DNI983050 DXD983045:DXE983050 EGZ983045:EHA983050 EQV983045:EQW983050 FAR983045:FAS983050 FKN983045:FKO983050 FUJ983045:FUK983050 GEF983045:GEG983050 GOB983045:GOC983050 GXX983045:GXY983050 HHT983045:HHU983050 HRP983045:HRQ983050 IBL983045:IBM983050 ILH983045:ILI983050 IVD983045:IVE983050 JEZ983045:JFA983050 JOV983045:JOW983050 JYR983045:JYS983050 KIN983045:KIO983050 KSJ983045:KSK983050 LCF983045:LCG983050 LMB983045:LMC983050 LVX983045:LVY983050 MFT983045:MFU983050 MPP983045:MPQ983050 MZL983045:MZM983050 NJH983045:NJI983050 NTD983045:NTE983050 OCZ983045:ODA983050 OMV983045:OMW983050 OWR983045:OWS983050 PGN983045:PGO983050 PQJ983045:PQK983050 QAF983045:QAG983050 QKB983045:QKC983050 QTX983045:QTY983050 RDT983045:RDU983050 RNP983045:RNQ983050 RXL983045:RXM983050 SHH983045:SHI983050 SRD983045:SRE983050 TAZ983045:TBA983050 TKV983045:TKW983050 TUR983045:TUS983050 UEN983045:UEO983050 UOJ983045:UOK983050 UYF983045:UYG983050 VIB983045:VIC983050 VRX983045:VRY983050 WBT983045:WBU983050 WLP983045:WLQ983050 WVL983045:WVM983050">
      <formula1>0</formula1>
      <formula2>33</formula2>
    </dataValidation>
    <dataValidation type="decimal" allowBlank="1" showInputMessage="1" showErrorMessage="1" sqref="JA27:JB37 SW27:SX37 ACS27:ACT37 AMO27:AMP37 AWK27:AWL37 BGG27:BGH37 BQC27:BQD37 BZY27:BZZ37 CJU27:CJV37 CTQ27:CTR37 DDM27:DDN37 DNI27:DNJ37 DXE27:DXF37 EHA27:EHB37 EQW27:EQX37 FAS27:FAT37 FKO27:FKP37 FUK27:FUL37 GEG27:GEH37 GOC27:GOD37 GXY27:GXZ37 HHU27:HHV37 HRQ27:HRR37 IBM27:IBN37 ILI27:ILJ37 IVE27:IVF37 JFA27:JFB37 JOW27:JOX37 JYS27:JYT37 KIO27:KIP37 KSK27:KSL37 LCG27:LCH37 LMC27:LMD37 LVY27:LVZ37 MFU27:MFV37 MPQ27:MPR37 MZM27:MZN37 NJI27:NJJ37 NTE27:NTF37 ODA27:ODB37 OMW27:OMX37 OWS27:OWT37 PGO27:PGP37 PQK27:PQL37 QAG27:QAH37 QKC27:QKD37 QTY27:QTZ37 RDU27:RDV37 RNQ27:RNR37 RXM27:RXN37 SHI27:SHJ37 SRE27:SRF37 TBA27:TBB37 TKW27:TKX37 TUS27:TUT37 UEO27:UEP37 UOK27:UOL37 UYG27:UYH37 VIC27:VID37 VRY27:VRZ37 WBU27:WBV37 WLQ27:WLR37 WVM27:WVN37 E65563:F65573 JA65563:JB65573 SW65563:SX65573 ACS65563:ACT65573 AMO65563:AMP65573 AWK65563:AWL65573 BGG65563:BGH65573 BQC65563:BQD65573 BZY65563:BZZ65573 CJU65563:CJV65573 CTQ65563:CTR65573 DDM65563:DDN65573 DNI65563:DNJ65573 DXE65563:DXF65573 EHA65563:EHB65573 EQW65563:EQX65573 FAS65563:FAT65573 FKO65563:FKP65573 FUK65563:FUL65573 GEG65563:GEH65573 GOC65563:GOD65573 GXY65563:GXZ65573 HHU65563:HHV65573 HRQ65563:HRR65573 IBM65563:IBN65573 ILI65563:ILJ65573 IVE65563:IVF65573 JFA65563:JFB65573 JOW65563:JOX65573 JYS65563:JYT65573 KIO65563:KIP65573 KSK65563:KSL65573 LCG65563:LCH65573 LMC65563:LMD65573 LVY65563:LVZ65573 MFU65563:MFV65573 MPQ65563:MPR65573 MZM65563:MZN65573 NJI65563:NJJ65573 NTE65563:NTF65573 ODA65563:ODB65573 OMW65563:OMX65573 OWS65563:OWT65573 PGO65563:PGP65573 PQK65563:PQL65573 QAG65563:QAH65573 QKC65563:QKD65573 QTY65563:QTZ65573 RDU65563:RDV65573 RNQ65563:RNR65573 RXM65563:RXN65573 SHI65563:SHJ65573 SRE65563:SRF65573 TBA65563:TBB65573 TKW65563:TKX65573 TUS65563:TUT65573 UEO65563:UEP65573 UOK65563:UOL65573 UYG65563:UYH65573 VIC65563:VID65573 VRY65563:VRZ65573 WBU65563:WBV65573 WLQ65563:WLR65573 WVM65563:WVN65573 E131099:F131109 JA131099:JB131109 SW131099:SX131109 ACS131099:ACT131109 AMO131099:AMP131109 AWK131099:AWL131109 BGG131099:BGH131109 BQC131099:BQD131109 BZY131099:BZZ131109 CJU131099:CJV131109 CTQ131099:CTR131109 DDM131099:DDN131109 DNI131099:DNJ131109 DXE131099:DXF131109 EHA131099:EHB131109 EQW131099:EQX131109 FAS131099:FAT131109 FKO131099:FKP131109 FUK131099:FUL131109 GEG131099:GEH131109 GOC131099:GOD131109 GXY131099:GXZ131109 HHU131099:HHV131109 HRQ131099:HRR131109 IBM131099:IBN131109 ILI131099:ILJ131109 IVE131099:IVF131109 JFA131099:JFB131109 JOW131099:JOX131109 JYS131099:JYT131109 KIO131099:KIP131109 KSK131099:KSL131109 LCG131099:LCH131109 LMC131099:LMD131109 LVY131099:LVZ131109 MFU131099:MFV131109 MPQ131099:MPR131109 MZM131099:MZN131109 NJI131099:NJJ131109 NTE131099:NTF131109 ODA131099:ODB131109 OMW131099:OMX131109 OWS131099:OWT131109 PGO131099:PGP131109 PQK131099:PQL131109 QAG131099:QAH131109 QKC131099:QKD131109 QTY131099:QTZ131109 RDU131099:RDV131109 RNQ131099:RNR131109 RXM131099:RXN131109 SHI131099:SHJ131109 SRE131099:SRF131109 TBA131099:TBB131109 TKW131099:TKX131109 TUS131099:TUT131109 UEO131099:UEP131109 UOK131099:UOL131109 UYG131099:UYH131109 VIC131099:VID131109 VRY131099:VRZ131109 WBU131099:WBV131109 WLQ131099:WLR131109 WVM131099:WVN131109 E196635:F196645 JA196635:JB196645 SW196635:SX196645 ACS196635:ACT196645 AMO196635:AMP196645 AWK196635:AWL196645 BGG196635:BGH196645 BQC196635:BQD196645 BZY196635:BZZ196645 CJU196635:CJV196645 CTQ196635:CTR196645 DDM196635:DDN196645 DNI196635:DNJ196645 DXE196635:DXF196645 EHA196635:EHB196645 EQW196635:EQX196645 FAS196635:FAT196645 FKO196635:FKP196645 FUK196635:FUL196645 GEG196635:GEH196645 GOC196635:GOD196645 GXY196635:GXZ196645 HHU196635:HHV196645 HRQ196635:HRR196645 IBM196635:IBN196645 ILI196635:ILJ196645 IVE196635:IVF196645 JFA196635:JFB196645 JOW196635:JOX196645 JYS196635:JYT196645 KIO196635:KIP196645 KSK196635:KSL196645 LCG196635:LCH196645 LMC196635:LMD196645 LVY196635:LVZ196645 MFU196635:MFV196645 MPQ196635:MPR196645 MZM196635:MZN196645 NJI196635:NJJ196645 NTE196635:NTF196645 ODA196635:ODB196645 OMW196635:OMX196645 OWS196635:OWT196645 PGO196635:PGP196645 PQK196635:PQL196645 QAG196635:QAH196645 QKC196635:QKD196645 QTY196635:QTZ196645 RDU196635:RDV196645 RNQ196635:RNR196645 RXM196635:RXN196645 SHI196635:SHJ196645 SRE196635:SRF196645 TBA196635:TBB196645 TKW196635:TKX196645 TUS196635:TUT196645 UEO196635:UEP196645 UOK196635:UOL196645 UYG196635:UYH196645 VIC196635:VID196645 VRY196635:VRZ196645 WBU196635:WBV196645 WLQ196635:WLR196645 WVM196635:WVN196645 E262171:F262181 JA262171:JB262181 SW262171:SX262181 ACS262171:ACT262181 AMO262171:AMP262181 AWK262171:AWL262181 BGG262171:BGH262181 BQC262171:BQD262181 BZY262171:BZZ262181 CJU262171:CJV262181 CTQ262171:CTR262181 DDM262171:DDN262181 DNI262171:DNJ262181 DXE262171:DXF262181 EHA262171:EHB262181 EQW262171:EQX262181 FAS262171:FAT262181 FKO262171:FKP262181 FUK262171:FUL262181 GEG262171:GEH262181 GOC262171:GOD262181 GXY262171:GXZ262181 HHU262171:HHV262181 HRQ262171:HRR262181 IBM262171:IBN262181 ILI262171:ILJ262181 IVE262171:IVF262181 JFA262171:JFB262181 JOW262171:JOX262181 JYS262171:JYT262181 KIO262171:KIP262181 KSK262171:KSL262181 LCG262171:LCH262181 LMC262171:LMD262181 LVY262171:LVZ262181 MFU262171:MFV262181 MPQ262171:MPR262181 MZM262171:MZN262181 NJI262171:NJJ262181 NTE262171:NTF262181 ODA262171:ODB262181 OMW262171:OMX262181 OWS262171:OWT262181 PGO262171:PGP262181 PQK262171:PQL262181 QAG262171:QAH262181 QKC262171:QKD262181 QTY262171:QTZ262181 RDU262171:RDV262181 RNQ262171:RNR262181 RXM262171:RXN262181 SHI262171:SHJ262181 SRE262171:SRF262181 TBA262171:TBB262181 TKW262171:TKX262181 TUS262171:TUT262181 UEO262171:UEP262181 UOK262171:UOL262181 UYG262171:UYH262181 VIC262171:VID262181 VRY262171:VRZ262181 WBU262171:WBV262181 WLQ262171:WLR262181 WVM262171:WVN262181 E327707:F327717 JA327707:JB327717 SW327707:SX327717 ACS327707:ACT327717 AMO327707:AMP327717 AWK327707:AWL327717 BGG327707:BGH327717 BQC327707:BQD327717 BZY327707:BZZ327717 CJU327707:CJV327717 CTQ327707:CTR327717 DDM327707:DDN327717 DNI327707:DNJ327717 DXE327707:DXF327717 EHA327707:EHB327717 EQW327707:EQX327717 FAS327707:FAT327717 FKO327707:FKP327717 FUK327707:FUL327717 GEG327707:GEH327717 GOC327707:GOD327717 GXY327707:GXZ327717 HHU327707:HHV327717 HRQ327707:HRR327717 IBM327707:IBN327717 ILI327707:ILJ327717 IVE327707:IVF327717 JFA327707:JFB327717 JOW327707:JOX327717 JYS327707:JYT327717 KIO327707:KIP327717 KSK327707:KSL327717 LCG327707:LCH327717 LMC327707:LMD327717 LVY327707:LVZ327717 MFU327707:MFV327717 MPQ327707:MPR327717 MZM327707:MZN327717 NJI327707:NJJ327717 NTE327707:NTF327717 ODA327707:ODB327717 OMW327707:OMX327717 OWS327707:OWT327717 PGO327707:PGP327717 PQK327707:PQL327717 QAG327707:QAH327717 QKC327707:QKD327717 QTY327707:QTZ327717 RDU327707:RDV327717 RNQ327707:RNR327717 RXM327707:RXN327717 SHI327707:SHJ327717 SRE327707:SRF327717 TBA327707:TBB327717 TKW327707:TKX327717 TUS327707:TUT327717 UEO327707:UEP327717 UOK327707:UOL327717 UYG327707:UYH327717 VIC327707:VID327717 VRY327707:VRZ327717 WBU327707:WBV327717 WLQ327707:WLR327717 WVM327707:WVN327717 E393243:F393253 JA393243:JB393253 SW393243:SX393253 ACS393243:ACT393253 AMO393243:AMP393253 AWK393243:AWL393253 BGG393243:BGH393253 BQC393243:BQD393253 BZY393243:BZZ393253 CJU393243:CJV393253 CTQ393243:CTR393253 DDM393243:DDN393253 DNI393243:DNJ393253 DXE393243:DXF393253 EHA393243:EHB393253 EQW393243:EQX393253 FAS393243:FAT393253 FKO393243:FKP393253 FUK393243:FUL393253 GEG393243:GEH393253 GOC393243:GOD393253 GXY393243:GXZ393253 HHU393243:HHV393253 HRQ393243:HRR393253 IBM393243:IBN393253 ILI393243:ILJ393253 IVE393243:IVF393253 JFA393243:JFB393253 JOW393243:JOX393253 JYS393243:JYT393253 KIO393243:KIP393253 KSK393243:KSL393253 LCG393243:LCH393253 LMC393243:LMD393253 LVY393243:LVZ393253 MFU393243:MFV393253 MPQ393243:MPR393253 MZM393243:MZN393253 NJI393243:NJJ393253 NTE393243:NTF393253 ODA393243:ODB393253 OMW393243:OMX393253 OWS393243:OWT393253 PGO393243:PGP393253 PQK393243:PQL393253 QAG393243:QAH393253 QKC393243:QKD393253 QTY393243:QTZ393253 RDU393243:RDV393253 RNQ393243:RNR393253 RXM393243:RXN393253 SHI393243:SHJ393253 SRE393243:SRF393253 TBA393243:TBB393253 TKW393243:TKX393253 TUS393243:TUT393253 UEO393243:UEP393253 UOK393243:UOL393253 UYG393243:UYH393253 VIC393243:VID393253 VRY393243:VRZ393253 WBU393243:WBV393253 WLQ393243:WLR393253 WVM393243:WVN393253 E458779:F458789 JA458779:JB458789 SW458779:SX458789 ACS458779:ACT458789 AMO458779:AMP458789 AWK458779:AWL458789 BGG458779:BGH458789 BQC458779:BQD458789 BZY458779:BZZ458789 CJU458779:CJV458789 CTQ458779:CTR458789 DDM458779:DDN458789 DNI458779:DNJ458789 DXE458779:DXF458789 EHA458779:EHB458789 EQW458779:EQX458789 FAS458779:FAT458789 FKO458779:FKP458789 FUK458779:FUL458789 GEG458779:GEH458789 GOC458779:GOD458789 GXY458779:GXZ458789 HHU458779:HHV458789 HRQ458779:HRR458789 IBM458779:IBN458789 ILI458779:ILJ458789 IVE458779:IVF458789 JFA458779:JFB458789 JOW458779:JOX458789 JYS458779:JYT458789 KIO458779:KIP458789 KSK458779:KSL458789 LCG458779:LCH458789 LMC458779:LMD458789 LVY458779:LVZ458789 MFU458779:MFV458789 MPQ458779:MPR458789 MZM458779:MZN458789 NJI458779:NJJ458789 NTE458779:NTF458789 ODA458779:ODB458789 OMW458779:OMX458789 OWS458779:OWT458789 PGO458779:PGP458789 PQK458779:PQL458789 QAG458779:QAH458789 QKC458779:QKD458789 QTY458779:QTZ458789 RDU458779:RDV458789 RNQ458779:RNR458789 RXM458779:RXN458789 SHI458779:SHJ458789 SRE458779:SRF458789 TBA458779:TBB458789 TKW458779:TKX458789 TUS458779:TUT458789 UEO458779:UEP458789 UOK458779:UOL458789 UYG458779:UYH458789 VIC458779:VID458789 VRY458779:VRZ458789 WBU458779:WBV458789 WLQ458779:WLR458789 WVM458779:WVN458789 E524315:F524325 JA524315:JB524325 SW524315:SX524325 ACS524315:ACT524325 AMO524315:AMP524325 AWK524315:AWL524325 BGG524315:BGH524325 BQC524315:BQD524325 BZY524315:BZZ524325 CJU524315:CJV524325 CTQ524315:CTR524325 DDM524315:DDN524325 DNI524315:DNJ524325 DXE524315:DXF524325 EHA524315:EHB524325 EQW524315:EQX524325 FAS524315:FAT524325 FKO524315:FKP524325 FUK524315:FUL524325 GEG524315:GEH524325 GOC524315:GOD524325 GXY524315:GXZ524325 HHU524315:HHV524325 HRQ524315:HRR524325 IBM524315:IBN524325 ILI524315:ILJ524325 IVE524315:IVF524325 JFA524315:JFB524325 JOW524315:JOX524325 JYS524315:JYT524325 KIO524315:KIP524325 KSK524315:KSL524325 LCG524315:LCH524325 LMC524315:LMD524325 LVY524315:LVZ524325 MFU524315:MFV524325 MPQ524315:MPR524325 MZM524315:MZN524325 NJI524315:NJJ524325 NTE524315:NTF524325 ODA524315:ODB524325 OMW524315:OMX524325 OWS524315:OWT524325 PGO524315:PGP524325 PQK524315:PQL524325 QAG524315:QAH524325 QKC524315:QKD524325 QTY524315:QTZ524325 RDU524315:RDV524325 RNQ524315:RNR524325 RXM524315:RXN524325 SHI524315:SHJ524325 SRE524315:SRF524325 TBA524315:TBB524325 TKW524315:TKX524325 TUS524315:TUT524325 UEO524315:UEP524325 UOK524315:UOL524325 UYG524315:UYH524325 VIC524315:VID524325 VRY524315:VRZ524325 WBU524315:WBV524325 WLQ524315:WLR524325 WVM524315:WVN524325 E589851:F589861 JA589851:JB589861 SW589851:SX589861 ACS589851:ACT589861 AMO589851:AMP589861 AWK589851:AWL589861 BGG589851:BGH589861 BQC589851:BQD589861 BZY589851:BZZ589861 CJU589851:CJV589861 CTQ589851:CTR589861 DDM589851:DDN589861 DNI589851:DNJ589861 DXE589851:DXF589861 EHA589851:EHB589861 EQW589851:EQX589861 FAS589851:FAT589861 FKO589851:FKP589861 FUK589851:FUL589861 GEG589851:GEH589861 GOC589851:GOD589861 GXY589851:GXZ589861 HHU589851:HHV589861 HRQ589851:HRR589861 IBM589851:IBN589861 ILI589851:ILJ589861 IVE589851:IVF589861 JFA589851:JFB589861 JOW589851:JOX589861 JYS589851:JYT589861 KIO589851:KIP589861 KSK589851:KSL589861 LCG589851:LCH589861 LMC589851:LMD589861 LVY589851:LVZ589861 MFU589851:MFV589861 MPQ589851:MPR589861 MZM589851:MZN589861 NJI589851:NJJ589861 NTE589851:NTF589861 ODA589851:ODB589861 OMW589851:OMX589861 OWS589851:OWT589861 PGO589851:PGP589861 PQK589851:PQL589861 QAG589851:QAH589861 QKC589851:QKD589861 QTY589851:QTZ589861 RDU589851:RDV589861 RNQ589851:RNR589861 RXM589851:RXN589861 SHI589851:SHJ589861 SRE589851:SRF589861 TBA589851:TBB589861 TKW589851:TKX589861 TUS589851:TUT589861 UEO589851:UEP589861 UOK589851:UOL589861 UYG589851:UYH589861 VIC589851:VID589861 VRY589851:VRZ589861 WBU589851:WBV589861 WLQ589851:WLR589861 WVM589851:WVN589861 E655387:F655397 JA655387:JB655397 SW655387:SX655397 ACS655387:ACT655397 AMO655387:AMP655397 AWK655387:AWL655397 BGG655387:BGH655397 BQC655387:BQD655397 BZY655387:BZZ655397 CJU655387:CJV655397 CTQ655387:CTR655397 DDM655387:DDN655397 DNI655387:DNJ655397 DXE655387:DXF655397 EHA655387:EHB655397 EQW655387:EQX655397 FAS655387:FAT655397 FKO655387:FKP655397 FUK655387:FUL655397 GEG655387:GEH655397 GOC655387:GOD655397 GXY655387:GXZ655397 HHU655387:HHV655397 HRQ655387:HRR655397 IBM655387:IBN655397 ILI655387:ILJ655397 IVE655387:IVF655397 JFA655387:JFB655397 JOW655387:JOX655397 JYS655387:JYT655397 KIO655387:KIP655397 KSK655387:KSL655397 LCG655387:LCH655397 LMC655387:LMD655397 LVY655387:LVZ655397 MFU655387:MFV655397 MPQ655387:MPR655397 MZM655387:MZN655397 NJI655387:NJJ655397 NTE655387:NTF655397 ODA655387:ODB655397 OMW655387:OMX655397 OWS655387:OWT655397 PGO655387:PGP655397 PQK655387:PQL655397 QAG655387:QAH655397 QKC655387:QKD655397 QTY655387:QTZ655397 RDU655387:RDV655397 RNQ655387:RNR655397 RXM655387:RXN655397 SHI655387:SHJ655397 SRE655387:SRF655397 TBA655387:TBB655397 TKW655387:TKX655397 TUS655387:TUT655397 UEO655387:UEP655397 UOK655387:UOL655397 UYG655387:UYH655397 VIC655387:VID655397 VRY655387:VRZ655397 WBU655387:WBV655397 WLQ655387:WLR655397 WVM655387:WVN655397 E720923:F720933 JA720923:JB720933 SW720923:SX720933 ACS720923:ACT720933 AMO720923:AMP720933 AWK720923:AWL720933 BGG720923:BGH720933 BQC720923:BQD720933 BZY720923:BZZ720933 CJU720923:CJV720933 CTQ720923:CTR720933 DDM720923:DDN720933 DNI720923:DNJ720933 DXE720923:DXF720933 EHA720923:EHB720933 EQW720923:EQX720933 FAS720923:FAT720933 FKO720923:FKP720933 FUK720923:FUL720933 GEG720923:GEH720933 GOC720923:GOD720933 GXY720923:GXZ720933 HHU720923:HHV720933 HRQ720923:HRR720933 IBM720923:IBN720933 ILI720923:ILJ720933 IVE720923:IVF720933 JFA720923:JFB720933 JOW720923:JOX720933 JYS720923:JYT720933 KIO720923:KIP720933 KSK720923:KSL720933 LCG720923:LCH720933 LMC720923:LMD720933 LVY720923:LVZ720933 MFU720923:MFV720933 MPQ720923:MPR720933 MZM720923:MZN720933 NJI720923:NJJ720933 NTE720923:NTF720933 ODA720923:ODB720933 OMW720923:OMX720933 OWS720923:OWT720933 PGO720923:PGP720933 PQK720923:PQL720933 QAG720923:QAH720933 QKC720923:QKD720933 QTY720923:QTZ720933 RDU720923:RDV720933 RNQ720923:RNR720933 RXM720923:RXN720933 SHI720923:SHJ720933 SRE720923:SRF720933 TBA720923:TBB720933 TKW720923:TKX720933 TUS720923:TUT720933 UEO720923:UEP720933 UOK720923:UOL720933 UYG720923:UYH720933 VIC720923:VID720933 VRY720923:VRZ720933 WBU720923:WBV720933 WLQ720923:WLR720933 WVM720923:WVN720933 E786459:F786469 JA786459:JB786469 SW786459:SX786469 ACS786459:ACT786469 AMO786459:AMP786469 AWK786459:AWL786469 BGG786459:BGH786469 BQC786459:BQD786469 BZY786459:BZZ786469 CJU786459:CJV786469 CTQ786459:CTR786469 DDM786459:DDN786469 DNI786459:DNJ786469 DXE786459:DXF786469 EHA786459:EHB786469 EQW786459:EQX786469 FAS786459:FAT786469 FKO786459:FKP786469 FUK786459:FUL786469 GEG786459:GEH786469 GOC786459:GOD786469 GXY786459:GXZ786469 HHU786459:HHV786469 HRQ786459:HRR786469 IBM786459:IBN786469 ILI786459:ILJ786469 IVE786459:IVF786469 JFA786459:JFB786469 JOW786459:JOX786469 JYS786459:JYT786469 KIO786459:KIP786469 KSK786459:KSL786469 LCG786459:LCH786469 LMC786459:LMD786469 LVY786459:LVZ786469 MFU786459:MFV786469 MPQ786459:MPR786469 MZM786459:MZN786469 NJI786459:NJJ786469 NTE786459:NTF786469 ODA786459:ODB786469 OMW786459:OMX786469 OWS786459:OWT786469 PGO786459:PGP786469 PQK786459:PQL786469 QAG786459:QAH786469 QKC786459:QKD786469 QTY786459:QTZ786469 RDU786459:RDV786469 RNQ786459:RNR786469 RXM786459:RXN786469 SHI786459:SHJ786469 SRE786459:SRF786469 TBA786459:TBB786469 TKW786459:TKX786469 TUS786459:TUT786469 UEO786459:UEP786469 UOK786459:UOL786469 UYG786459:UYH786469 VIC786459:VID786469 VRY786459:VRZ786469 WBU786459:WBV786469 WLQ786459:WLR786469 WVM786459:WVN786469 E851995:F852005 JA851995:JB852005 SW851995:SX852005 ACS851995:ACT852005 AMO851995:AMP852005 AWK851995:AWL852005 BGG851995:BGH852005 BQC851995:BQD852005 BZY851995:BZZ852005 CJU851995:CJV852005 CTQ851995:CTR852005 DDM851995:DDN852005 DNI851995:DNJ852005 DXE851995:DXF852005 EHA851995:EHB852005 EQW851995:EQX852005 FAS851995:FAT852005 FKO851995:FKP852005 FUK851995:FUL852005 GEG851995:GEH852005 GOC851995:GOD852005 GXY851995:GXZ852005 HHU851995:HHV852005 HRQ851995:HRR852005 IBM851995:IBN852005 ILI851995:ILJ852005 IVE851995:IVF852005 JFA851995:JFB852005 JOW851995:JOX852005 JYS851995:JYT852005 KIO851995:KIP852005 KSK851995:KSL852005 LCG851995:LCH852005 LMC851995:LMD852005 LVY851995:LVZ852005 MFU851995:MFV852005 MPQ851995:MPR852005 MZM851995:MZN852005 NJI851995:NJJ852005 NTE851995:NTF852005 ODA851995:ODB852005 OMW851995:OMX852005 OWS851995:OWT852005 PGO851995:PGP852005 PQK851995:PQL852005 QAG851995:QAH852005 QKC851995:QKD852005 QTY851995:QTZ852005 RDU851995:RDV852005 RNQ851995:RNR852005 RXM851995:RXN852005 SHI851995:SHJ852005 SRE851995:SRF852005 TBA851995:TBB852005 TKW851995:TKX852005 TUS851995:TUT852005 UEO851995:UEP852005 UOK851995:UOL852005 UYG851995:UYH852005 VIC851995:VID852005 VRY851995:VRZ852005 WBU851995:WBV852005 WLQ851995:WLR852005 WVM851995:WVN852005 E917531:F917541 JA917531:JB917541 SW917531:SX917541 ACS917531:ACT917541 AMO917531:AMP917541 AWK917531:AWL917541 BGG917531:BGH917541 BQC917531:BQD917541 BZY917531:BZZ917541 CJU917531:CJV917541 CTQ917531:CTR917541 DDM917531:DDN917541 DNI917531:DNJ917541 DXE917531:DXF917541 EHA917531:EHB917541 EQW917531:EQX917541 FAS917531:FAT917541 FKO917531:FKP917541 FUK917531:FUL917541 GEG917531:GEH917541 GOC917531:GOD917541 GXY917531:GXZ917541 HHU917531:HHV917541 HRQ917531:HRR917541 IBM917531:IBN917541 ILI917531:ILJ917541 IVE917531:IVF917541 JFA917531:JFB917541 JOW917531:JOX917541 JYS917531:JYT917541 KIO917531:KIP917541 KSK917531:KSL917541 LCG917531:LCH917541 LMC917531:LMD917541 LVY917531:LVZ917541 MFU917531:MFV917541 MPQ917531:MPR917541 MZM917531:MZN917541 NJI917531:NJJ917541 NTE917531:NTF917541 ODA917531:ODB917541 OMW917531:OMX917541 OWS917531:OWT917541 PGO917531:PGP917541 PQK917531:PQL917541 QAG917531:QAH917541 QKC917531:QKD917541 QTY917531:QTZ917541 RDU917531:RDV917541 RNQ917531:RNR917541 RXM917531:RXN917541 SHI917531:SHJ917541 SRE917531:SRF917541 TBA917531:TBB917541 TKW917531:TKX917541 TUS917531:TUT917541 UEO917531:UEP917541 UOK917531:UOL917541 UYG917531:UYH917541 VIC917531:VID917541 VRY917531:VRZ917541 WBU917531:WBV917541 WLQ917531:WLR917541 WVM917531:WVN917541 E983067:F983077 JA983067:JB983077 SW983067:SX983077 ACS983067:ACT983077 AMO983067:AMP983077 AWK983067:AWL983077 BGG983067:BGH983077 BQC983067:BQD983077 BZY983067:BZZ983077 CJU983067:CJV983077 CTQ983067:CTR983077 DDM983067:DDN983077 DNI983067:DNJ983077 DXE983067:DXF983077 EHA983067:EHB983077 EQW983067:EQX983077 FAS983067:FAT983077 FKO983067:FKP983077 FUK983067:FUL983077 GEG983067:GEH983077 GOC983067:GOD983077 GXY983067:GXZ983077 HHU983067:HHV983077 HRQ983067:HRR983077 IBM983067:IBN983077 ILI983067:ILJ983077 IVE983067:IVF983077 JFA983067:JFB983077 JOW983067:JOX983077 JYS983067:JYT983077 KIO983067:KIP983077 KSK983067:KSL983077 LCG983067:LCH983077 LMC983067:LMD983077 LVY983067:LVZ983077 MFU983067:MFV983077 MPQ983067:MPR983077 MZM983067:MZN983077 NJI983067:NJJ983077 NTE983067:NTF983077 ODA983067:ODB983077 OMW983067:OMX983077 OWS983067:OWT983077 PGO983067:PGP983077 PQK983067:PQL983077 QAG983067:QAH983077 QKC983067:QKD983077 QTY983067:QTZ983077 RDU983067:RDV983077 RNQ983067:RNR983077 RXM983067:RXN983077 SHI983067:SHJ983077 SRE983067:SRF983077 TBA983067:TBB983077 TKW983067:TKX983077 TUS983067:TUT983077 UEO983067:UEP983077 UOK983067:UOL983077 UYG983067:UYH983077 VIC983067:VID983077 VRY983067:VRZ983077 WBU983067:WBV983077 WLQ983067:WLR983077 WVM983067:WVN983077 E27:E37 G27:G37 I27:J37">
      <formula1>0</formula1>
      <formula2>33</formula2>
    </dataValidation>
  </dataValidations>
  <printOptions gridLinesSet="0"/>
  <pageMargins left="0.59055118110236227" right="0.39370078740157483" top="0.39370078740157483" bottom="0.31496062992125984" header="0.31496062992125984" footer="0.51181102362204722"/>
  <pageSetup paperSize="9" scale="63" orientation="portrait" r:id="rId1"/>
  <headerFooter alignWithMargins="0">
    <oddFooter>&amp;C&amp;5                                                             &amp;A von:  &amp;F</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BasisP</vt:lpstr>
      <vt:lpstr>Konti_PTS</vt:lpstr>
      <vt:lpstr>GTS</vt:lpstr>
      <vt:lpstr>Assistenz</vt:lpstr>
      <vt:lpstr>Erstsprache</vt:lpstr>
      <vt:lpstr>Lehrpersonen</vt:lpstr>
      <vt:lpstr>Bedarf</vt:lpstr>
      <vt:lpstr>Assistenz!Druckbereich</vt:lpstr>
      <vt:lpstr>BasisP!Druckbereich</vt:lpstr>
      <vt:lpstr>Bedarf!Druckbereich</vt:lpstr>
      <vt:lpstr>CI!Druckbereich</vt:lpstr>
      <vt:lpstr>GTS!Druckbereich</vt:lpstr>
      <vt:lpstr>Konti_PTS!Druckbereich</vt:lpstr>
      <vt:lpstr>Lehrpersonen!Druckbereich</vt:lpstr>
      <vt:lpstr>LP_intern!Druckbereich</vt:lpstr>
      <vt:lpstr>Konti_PTS!Drucktitel</vt:lpstr>
      <vt:lpstr>Lehrpersonen!Drucktitel</vt:lpstr>
      <vt:lpstr>LP_intern!Drucktitel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Präs/3</dc:creator>
  <cp:lastModifiedBy>Grabher Markus</cp:lastModifiedBy>
  <cp:lastPrinted>2024-02-28T10:05:25Z</cp:lastPrinted>
  <dcterms:created xsi:type="dcterms:W3CDTF">2022-01-26T08:31:30Z</dcterms:created>
  <dcterms:modified xsi:type="dcterms:W3CDTF">2024-03-15T12:00:27Z</dcterms:modified>
</cp:coreProperties>
</file>