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abt2a\Ressourcen\Stundenberech_Excel\2024'25\Bed\"/>
    </mc:Choice>
  </mc:AlternateContent>
  <bookViews>
    <workbookView xWindow="16035" yWindow="525" windowWidth="18450" windowHeight="19020" tabRatio="531" firstSheet="1" activeTab="1"/>
  </bookViews>
  <sheets>
    <sheet name="CI" sheetId="2" state="veryHidden" r:id="rId1"/>
    <sheet name="BasisV" sheetId="4" r:id="rId2"/>
    <sheet name="Konti_VS" sheetId="1" r:id="rId3"/>
    <sheet name="GTS" sheetId="14" r:id="rId4"/>
    <sheet name="Assistenz" sheetId="6" r:id="rId5"/>
    <sheet name="Religion" sheetId="7" r:id="rId6"/>
    <sheet name="Erstsprache" sheetId="9" r:id="rId7"/>
    <sheet name="Lehrpersonen" sheetId="10" r:id="rId8"/>
    <sheet name="LP_intern" sheetId="13" state="veryHidden" r:id="rId9"/>
    <sheet name="Bedarf" sheetId="11" r:id="rId10"/>
    <sheet name="Beschreib" sheetId="8" state="veryHidden" r:id="rId11"/>
  </sheets>
  <definedNames>
    <definedName name="_xlnm._FilterDatabase" localSheetId="0" hidden="1">CI!$A$2:$O$2</definedName>
    <definedName name="_xlnm.Print_Area" localSheetId="4">Assistenz!$A$1:$M$80</definedName>
    <definedName name="_xlnm.Print_Area" localSheetId="1">BasisV!$B:$P</definedName>
    <definedName name="_xlnm.Print_Area" localSheetId="9">Bedarf!$A$1:$J$100</definedName>
    <definedName name="_xlnm.Print_Area" localSheetId="0">CI!$B$1:$G$223</definedName>
    <definedName name="_xlnm.Print_Area" localSheetId="3">GTS!$A$1:$AF$46</definedName>
    <definedName name="_xlnm.Print_Area" localSheetId="2">Konti_VS!$B:$J</definedName>
    <definedName name="_xlnm.Print_Area" localSheetId="7">Lehrpersonen!$A$1:$Q$85</definedName>
    <definedName name="_xlnm.Print_Area" localSheetId="8">LP_intern!$A$1:$O$89</definedName>
    <definedName name="_xlnm.Print_Area" localSheetId="5">Religion!$A$1:$J$40</definedName>
    <definedName name="_xlnm.Print_Titles" localSheetId="2">Konti_VS!$7:$8</definedName>
    <definedName name="_xlnm.Print_Titles" localSheetId="7">Lehrpersonen!$4:$4</definedName>
    <definedName name="_xlnm.Print_Titles" localSheetId="8">LP_intern!$1:$4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3" i="13" l="1"/>
  <c r="A3" i="11" l="1"/>
  <c r="AE24" i="14" l="1"/>
  <c r="Y24" i="14"/>
  <c r="S24" i="14"/>
  <c r="M24" i="14"/>
  <c r="D5" i="13" l="1"/>
  <c r="H87" i="10"/>
  <c r="AF1" i="14" l="1"/>
  <c r="AS45" i="14" l="1"/>
  <c r="AS40" i="14"/>
  <c r="AR40" i="14"/>
  <c r="AQ40" i="14"/>
  <c r="AP40" i="14"/>
  <c r="AO40" i="14"/>
  <c r="AN40" i="14"/>
  <c r="AM40" i="14"/>
  <c r="AL40" i="14"/>
  <c r="AK40" i="14"/>
  <c r="AJ40" i="14"/>
  <c r="AS39" i="14"/>
  <c r="AR39" i="14"/>
  <c r="AQ39" i="14"/>
  <c r="AP39" i="14"/>
  <c r="AO39" i="14"/>
  <c r="AN39" i="14"/>
  <c r="AM39" i="14"/>
  <c r="AL39" i="14"/>
  <c r="AK39" i="14"/>
  <c r="AJ39" i="14"/>
  <c r="AS38" i="14"/>
  <c r="AR38" i="14"/>
  <c r="AQ38" i="14"/>
  <c r="AP38" i="14"/>
  <c r="AO38" i="14"/>
  <c r="AN38" i="14"/>
  <c r="AM38" i="14"/>
  <c r="AL38" i="14"/>
  <c r="AK38" i="14"/>
  <c r="AJ38" i="14"/>
  <c r="AS37" i="14"/>
  <c r="AR37" i="14"/>
  <c r="AQ37" i="14"/>
  <c r="AP37" i="14"/>
  <c r="AO37" i="14"/>
  <c r="AN37" i="14"/>
  <c r="AM37" i="14"/>
  <c r="AL37" i="14"/>
  <c r="AK37" i="14"/>
  <c r="AJ37" i="14"/>
  <c r="AS36" i="14"/>
  <c r="AR36" i="14"/>
  <c r="AQ36" i="14"/>
  <c r="AP36" i="14"/>
  <c r="AO36" i="14"/>
  <c r="AN36" i="14"/>
  <c r="AM36" i="14"/>
  <c r="AL36" i="14"/>
  <c r="AK36" i="14"/>
  <c r="AJ36" i="14"/>
  <c r="AS35" i="14"/>
  <c r="AR35" i="14"/>
  <c r="AQ35" i="14"/>
  <c r="AP35" i="14"/>
  <c r="AO35" i="14"/>
  <c r="AN35" i="14"/>
  <c r="AM35" i="14"/>
  <c r="AL35" i="14"/>
  <c r="AK35" i="14"/>
  <c r="AJ35" i="14"/>
  <c r="AS34" i="14"/>
  <c r="AR34" i="14"/>
  <c r="AQ34" i="14"/>
  <c r="AP34" i="14"/>
  <c r="AO34" i="14"/>
  <c r="AN34" i="14"/>
  <c r="AM34" i="14"/>
  <c r="AL34" i="14"/>
  <c r="AK34" i="14"/>
  <c r="AJ34" i="14"/>
  <c r="AS33" i="14"/>
  <c r="AQ33" i="14"/>
  <c r="AO33" i="14"/>
  <c r="AM33" i="14"/>
  <c r="AK33" i="14"/>
  <c r="AS32" i="14"/>
  <c r="AQ32" i="14"/>
  <c r="AO32" i="14"/>
  <c r="AM32" i="14"/>
  <c r="AK32" i="14"/>
  <c r="AS31" i="14"/>
  <c r="AQ31" i="14"/>
  <c r="AO31" i="14"/>
  <c r="AM31" i="14"/>
  <c r="AK31" i="14"/>
  <c r="AD28" i="14"/>
  <c r="AD25" i="14"/>
  <c r="AC25" i="14"/>
  <c r="AD26" i="14" s="1"/>
  <c r="X25" i="14"/>
  <c r="W25" i="14"/>
  <c r="X26" i="14" s="1"/>
  <c r="R25" i="14"/>
  <c r="Q25" i="14"/>
  <c r="R26" i="14" s="1"/>
  <c r="L25" i="14"/>
  <c r="AK25" i="14" s="1"/>
  <c r="K25" i="14"/>
  <c r="F25" i="14"/>
  <c r="E25" i="14"/>
  <c r="BM23" i="14"/>
  <c r="BI23" i="14"/>
  <c r="BE23" i="14"/>
  <c r="BC23" i="14"/>
  <c r="AF23" i="14" s="1"/>
  <c r="BB23" i="14"/>
  <c r="BA23" i="14"/>
  <c r="AZ23" i="14"/>
  <c r="AY23" i="14"/>
  <c r="T23" i="14" s="1"/>
  <c r="AX23" i="14"/>
  <c r="AW23" i="14"/>
  <c r="AV23" i="14"/>
  <c r="AU23" i="14"/>
  <c r="H23" i="14" s="1"/>
  <c r="AT23" i="14"/>
  <c r="AE23" i="14"/>
  <c r="BL23" i="14" s="1"/>
  <c r="Z23" i="14"/>
  <c r="BK23" i="14" s="1"/>
  <c r="Y23" i="14"/>
  <c r="BJ23" i="14" s="1"/>
  <c r="S23" i="14"/>
  <c r="BH23" i="14" s="1"/>
  <c r="N23" i="14"/>
  <c r="BG23" i="14" s="1"/>
  <c r="M23" i="14"/>
  <c r="BF23" i="14" s="1"/>
  <c r="G23" i="14"/>
  <c r="BD23" i="14" s="1"/>
  <c r="BC22" i="14"/>
  <c r="BB22" i="14"/>
  <c r="AE22" i="14" s="1"/>
  <c r="BA22" i="14"/>
  <c r="AZ22" i="14"/>
  <c r="Y22" i="14" s="1"/>
  <c r="AY22" i="14"/>
  <c r="AX22" i="14"/>
  <c r="S22" i="14" s="1"/>
  <c r="AW22" i="14"/>
  <c r="AV22" i="14"/>
  <c r="M22" i="14" s="1"/>
  <c r="AU22" i="14"/>
  <c r="AT22" i="14"/>
  <c r="G22" i="14" s="1"/>
  <c r="AF22" i="14"/>
  <c r="BM22" i="14" s="1"/>
  <c r="Z22" i="14"/>
  <c r="BK22" i="14" s="1"/>
  <c r="T22" i="14"/>
  <c r="BI22" i="14" s="1"/>
  <c r="N22" i="14"/>
  <c r="BG22" i="14" s="1"/>
  <c r="H22" i="14"/>
  <c r="BE22" i="14" s="1"/>
  <c r="BC21" i="14"/>
  <c r="BB21" i="14"/>
  <c r="AE21" i="14" s="1"/>
  <c r="BA21" i="14"/>
  <c r="AZ21" i="14"/>
  <c r="Y21" i="14" s="1"/>
  <c r="AY21" i="14"/>
  <c r="AX21" i="14"/>
  <c r="S21" i="14" s="1"/>
  <c r="AW21" i="14"/>
  <c r="AV21" i="14"/>
  <c r="M21" i="14" s="1"/>
  <c r="AU21" i="14"/>
  <c r="AT21" i="14"/>
  <c r="G21" i="14" s="1"/>
  <c r="BD21" i="14" s="1"/>
  <c r="AF21" i="14"/>
  <c r="BM21" i="14" s="1"/>
  <c r="Z21" i="14"/>
  <c r="BK21" i="14" s="1"/>
  <c r="T21" i="14"/>
  <c r="BI21" i="14" s="1"/>
  <c r="N21" i="14"/>
  <c r="BG21" i="14" s="1"/>
  <c r="H21" i="14"/>
  <c r="BE21" i="14" s="1"/>
  <c r="BC20" i="14"/>
  <c r="BB20" i="14"/>
  <c r="AE20" i="14" s="1"/>
  <c r="BA20" i="14"/>
  <c r="AZ20" i="14"/>
  <c r="Y20" i="14" s="1"/>
  <c r="AY20" i="14"/>
  <c r="AX20" i="14"/>
  <c r="S20" i="14" s="1"/>
  <c r="BH20" i="14" s="1"/>
  <c r="AW20" i="14"/>
  <c r="AV20" i="14"/>
  <c r="M20" i="14" s="1"/>
  <c r="AU20" i="14"/>
  <c r="AT20" i="14"/>
  <c r="G20" i="14" s="1"/>
  <c r="AF20" i="14"/>
  <c r="BM20" i="14" s="1"/>
  <c r="Z20" i="14"/>
  <c r="BK20" i="14" s="1"/>
  <c r="T20" i="14"/>
  <c r="BI20" i="14" s="1"/>
  <c r="N20" i="14"/>
  <c r="BG20" i="14" s="1"/>
  <c r="H20" i="14"/>
  <c r="BE20" i="14" s="1"/>
  <c r="BC19" i="14"/>
  <c r="BB19" i="14"/>
  <c r="AE19" i="14" s="1"/>
  <c r="BA19" i="14"/>
  <c r="AZ19" i="14"/>
  <c r="Y19" i="14" s="1"/>
  <c r="AY19" i="14"/>
  <c r="AX19" i="14"/>
  <c r="S19" i="14" s="1"/>
  <c r="AW19" i="14"/>
  <c r="AV19" i="14"/>
  <c r="M19" i="14" s="1"/>
  <c r="AU19" i="14"/>
  <c r="AT19" i="14"/>
  <c r="G19" i="14" s="1"/>
  <c r="AF19" i="14"/>
  <c r="BM19" i="14" s="1"/>
  <c r="Z19" i="14"/>
  <c r="BK19" i="14" s="1"/>
  <c r="T19" i="14"/>
  <c r="BI19" i="14" s="1"/>
  <c r="N19" i="14"/>
  <c r="BG19" i="14" s="1"/>
  <c r="H19" i="14"/>
  <c r="BE19" i="14" s="1"/>
  <c r="BC18" i="14"/>
  <c r="BB18" i="14"/>
  <c r="AE18" i="14" s="1"/>
  <c r="BA18" i="14"/>
  <c r="AZ18" i="14"/>
  <c r="Y18" i="14" s="1"/>
  <c r="AY18" i="14"/>
  <c r="AX18" i="14"/>
  <c r="S18" i="14" s="1"/>
  <c r="AW18" i="14"/>
  <c r="AV18" i="14"/>
  <c r="M18" i="14" s="1"/>
  <c r="AU18" i="14"/>
  <c r="AT18" i="14"/>
  <c r="G18" i="14" s="1"/>
  <c r="AF18" i="14"/>
  <c r="BM18" i="14" s="1"/>
  <c r="Z18" i="14"/>
  <c r="BK18" i="14" s="1"/>
  <c r="T18" i="14"/>
  <c r="BI18" i="14" s="1"/>
  <c r="N18" i="14"/>
  <c r="BG18" i="14" s="1"/>
  <c r="H18" i="14"/>
  <c r="BE18" i="14" s="1"/>
  <c r="BC17" i="14"/>
  <c r="BB17" i="14"/>
  <c r="AE17" i="14" s="1"/>
  <c r="BA17" i="14"/>
  <c r="AZ17" i="14"/>
  <c r="Y17" i="14" s="1"/>
  <c r="AY17" i="14"/>
  <c r="AX17" i="14"/>
  <c r="S17" i="14" s="1"/>
  <c r="AW17" i="14"/>
  <c r="AV17" i="14"/>
  <c r="M17" i="14" s="1"/>
  <c r="AU17" i="14"/>
  <c r="AT17" i="14"/>
  <c r="G17" i="14" s="1"/>
  <c r="AF17" i="14"/>
  <c r="BM17" i="14" s="1"/>
  <c r="Z17" i="14"/>
  <c r="BK17" i="14" s="1"/>
  <c r="T17" i="14"/>
  <c r="BI17" i="14" s="1"/>
  <c r="N17" i="14"/>
  <c r="BG17" i="14" s="1"/>
  <c r="H17" i="14"/>
  <c r="BE17" i="14" s="1"/>
  <c r="BC16" i="14"/>
  <c r="BB16" i="14"/>
  <c r="AE16" i="14" s="1"/>
  <c r="BA16" i="14"/>
  <c r="AZ16" i="14"/>
  <c r="Y16" i="14" s="1"/>
  <c r="AY16" i="14"/>
  <c r="AX16" i="14"/>
  <c r="S16" i="14" s="1"/>
  <c r="BH16" i="14" s="1"/>
  <c r="AW16" i="14"/>
  <c r="AV16" i="14"/>
  <c r="M16" i="14" s="1"/>
  <c r="AU16" i="14"/>
  <c r="AT16" i="14"/>
  <c r="G16" i="14" s="1"/>
  <c r="AF16" i="14"/>
  <c r="BM16" i="14" s="1"/>
  <c r="Z16" i="14"/>
  <c r="BK16" i="14" s="1"/>
  <c r="T16" i="14"/>
  <c r="BI16" i="14" s="1"/>
  <c r="N16" i="14"/>
  <c r="BG16" i="14" s="1"/>
  <c r="H16" i="14"/>
  <c r="BE16" i="14" s="1"/>
  <c r="BC15" i="14"/>
  <c r="AF15" i="14" s="1"/>
  <c r="BM15" i="14" s="1"/>
  <c r="BB15" i="14"/>
  <c r="AE15" i="14" s="1"/>
  <c r="BA15" i="14"/>
  <c r="AZ15" i="14"/>
  <c r="AY15" i="14"/>
  <c r="T15" i="14" s="1"/>
  <c r="BI15" i="14" s="1"/>
  <c r="AX15" i="14"/>
  <c r="S15" i="14" s="1"/>
  <c r="BH15" i="14" s="1"/>
  <c r="AW15" i="14"/>
  <c r="AV15" i="14"/>
  <c r="M15" i="14" s="1"/>
  <c r="BF15" i="14" s="1"/>
  <c r="AU15" i="14"/>
  <c r="H15" i="14" s="1"/>
  <c r="BE15" i="14" s="1"/>
  <c r="AT15" i="14"/>
  <c r="G15" i="14" s="1"/>
  <c r="Z15" i="14"/>
  <c r="BK15" i="14" s="1"/>
  <c r="Y15" i="14"/>
  <c r="BJ15" i="14" s="1"/>
  <c r="N15" i="14"/>
  <c r="BG15" i="14" s="1"/>
  <c r="BC14" i="14"/>
  <c r="AF14" i="14" s="1"/>
  <c r="BB14" i="14"/>
  <c r="AE14" i="14" s="1"/>
  <c r="BA14" i="14"/>
  <c r="AZ14" i="14"/>
  <c r="Y14" i="14" s="1"/>
  <c r="AY14" i="14"/>
  <c r="T14" i="14" s="1"/>
  <c r="AX14" i="14"/>
  <c r="S14" i="14" s="1"/>
  <c r="AW14" i="14"/>
  <c r="AV14" i="14"/>
  <c r="M14" i="14" s="1"/>
  <c r="AU14" i="14"/>
  <c r="AT26" i="14" s="1"/>
  <c r="AT14" i="14"/>
  <c r="G14" i="14" s="1"/>
  <c r="Z14" i="14"/>
  <c r="AQ44" i="14" s="1"/>
  <c r="N14" i="14"/>
  <c r="N25" i="14" s="1"/>
  <c r="B14" i="14"/>
  <c r="C6" i="14"/>
  <c r="H52" i="1" s="1"/>
  <c r="S5" i="14"/>
  <c r="N5" i="14"/>
  <c r="AO3" i="14"/>
  <c r="AO8" i="14" s="1"/>
  <c r="G24" i="14" l="1"/>
  <c r="AO7" i="14"/>
  <c r="C14" i="14"/>
  <c r="AJ31" i="14" s="1"/>
  <c r="A15" i="14"/>
  <c r="AP31" i="14"/>
  <c r="AL31" i="14"/>
  <c r="AR31" i="14"/>
  <c r="AP7" i="14"/>
  <c r="BD15" i="14"/>
  <c r="AK29" i="14"/>
  <c r="AM29" i="14"/>
  <c r="AQ29" i="14"/>
  <c r="AS29" i="14"/>
  <c r="BN14" i="14"/>
  <c r="D14" i="14"/>
  <c r="AO10" i="14"/>
  <c r="AO11" i="14"/>
  <c r="AO9" i="14"/>
  <c r="T7" i="14"/>
  <c r="R7" i="14"/>
  <c r="V6" i="14"/>
  <c r="S6" i="14"/>
  <c r="Q6" i="14"/>
  <c r="Q7" i="14"/>
  <c r="P6" i="14"/>
  <c r="S7" i="14"/>
  <c r="T6" i="14"/>
  <c r="R6" i="14"/>
  <c r="BF17" i="14"/>
  <c r="BJ17" i="14"/>
  <c r="BF19" i="14"/>
  <c r="BJ19" i="14"/>
  <c r="BF21" i="14"/>
  <c r="BJ21" i="14"/>
  <c r="AO44" i="14"/>
  <c r="T25" i="14"/>
  <c r="BI14" i="14"/>
  <c r="BI25" i="14" s="1"/>
  <c r="AS44" i="14"/>
  <c r="AF25" i="14"/>
  <c r="BM14" i="14"/>
  <c r="BM25" i="14" s="1"/>
  <c r="BF16" i="14"/>
  <c r="BJ16" i="14"/>
  <c r="BF18" i="14"/>
  <c r="BJ18" i="14"/>
  <c r="BF20" i="14"/>
  <c r="BJ20" i="14"/>
  <c r="BF22" i="14"/>
  <c r="BJ22" i="14"/>
  <c r="G25" i="14"/>
  <c r="U14" i="14"/>
  <c r="AE25" i="14"/>
  <c r="AG14" i="14"/>
  <c r="AK14" i="14"/>
  <c r="AM14" i="14"/>
  <c r="AO14" i="14"/>
  <c r="AQ14" i="14"/>
  <c r="AS14" i="14"/>
  <c r="BG14" i="14"/>
  <c r="BG25" i="14" s="1"/>
  <c r="BK14" i="14"/>
  <c r="BK25" i="14" s="1"/>
  <c r="BL15" i="14"/>
  <c r="BD17" i="14"/>
  <c r="BH18" i="14"/>
  <c r="BH19" i="14"/>
  <c r="BL22" i="14"/>
  <c r="Z25" i="14"/>
  <c r="AM44" i="14"/>
  <c r="BD16" i="14"/>
  <c r="BL16" i="14"/>
  <c r="BH17" i="14"/>
  <c r="BL17" i="14"/>
  <c r="BD18" i="14"/>
  <c r="BL18" i="14"/>
  <c r="BD19" i="14"/>
  <c r="BL19" i="14"/>
  <c r="BD20" i="14"/>
  <c r="BL20" i="14"/>
  <c r="BH21" i="14"/>
  <c r="BL21" i="14"/>
  <c r="BD22" i="14"/>
  <c r="BH22" i="14"/>
  <c r="AO29" i="14"/>
  <c r="H14" i="14"/>
  <c r="I14" i="14" s="1"/>
  <c r="M25" i="14"/>
  <c r="O14" i="14"/>
  <c r="Y25" i="14"/>
  <c r="AA14" i="14"/>
  <c r="AJ14" i="14"/>
  <c r="AL14" i="14"/>
  <c r="AN14" i="14"/>
  <c r="AP14" i="14"/>
  <c r="AR14" i="14"/>
  <c r="AT25" i="14"/>
  <c r="BD14" i="14"/>
  <c r="BF14" i="14"/>
  <c r="BF25" i="14" s="1"/>
  <c r="BH14" i="14"/>
  <c r="BH25" i="14" s="1"/>
  <c r="BJ14" i="14"/>
  <c r="BJ25" i="14" s="1"/>
  <c r="BL14" i="14"/>
  <c r="B15" i="14"/>
  <c r="S25" i="14"/>
  <c r="F26" i="14"/>
  <c r="AJ25" i="14"/>
  <c r="L26" i="14"/>
  <c r="BL25" i="14" l="1"/>
  <c r="AN31" i="14"/>
  <c r="AK26" i="14"/>
  <c r="BD26" i="14"/>
  <c r="BD25" i="14"/>
  <c r="A16" i="14"/>
  <c r="B16" i="14" s="1"/>
  <c r="C15" i="14"/>
  <c r="AK44" i="14"/>
  <c r="AM45" i="14" s="1"/>
  <c r="H25" i="14"/>
  <c r="AM25" i="14" s="1"/>
  <c r="BE14" i="14"/>
  <c r="D15" i="14" l="1"/>
  <c r="AR32" i="14"/>
  <c r="AN32" i="14"/>
  <c r="AP32" i="14"/>
  <c r="AL32" i="14"/>
  <c r="AJ32" i="14"/>
  <c r="D28" i="14"/>
  <c r="BE25" i="14"/>
  <c r="BD27" i="14"/>
  <c r="BN15" i="14"/>
  <c r="AR15" i="14"/>
  <c r="AP15" i="14"/>
  <c r="AN15" i="14"/>
  <c r="AL15" i="14"/>
  <c r="AJ15" i="14"/>
  <c r="AQ15" i="14"/>
  <c r="AM15" i="14"/>
  <c r="AS15" i="14"/>
  <c r="AO15" i="14"/>
  <c r="AK15" i="14"/>
  <c r="U15" i="14"/>
  <c r="AA15" i="14"/>
  <c r="AG15" i="14"/>
  <c r="I15" i="14"/>
  <c r="O15" i="14"/>
  <c r="A17" i="14" l="1"/>
  <c r="C16" i="14"/>
  <c r="D16" i="14" l="1"/>
  <c r="AL33" i="14"/>
  <c r="AJ33" i="14"/>
  <c r="AR33" i="14"/>
  <c r="AR43" i="14"/>
  <c r="AN43" i="14"/>
  <c r="AP33" i="14"/>
  <c r="AN33" i="14"/>
  <c r="AJ43" i="14"/>
  <c r="AL43" i="14"/>
  <c r="AP43" i="14"/>
  <c r="AS16" i="14"/>
  <c r="AQ16" i="14"/>
  <c r="AO16" i="14"/>
  <c r="AM16" i="14"/>
  <c r="AK16" i="14"/>
  <c r="BN16" i="14"/>
  <c r="AR16" i="14"/>
  <c r="AN16" i="14"/>
  <c r="AJ16" i="14"/>
  <c r="AP16" i="14"/>
  <c r="AL16" i="14"/>
  <c r="AG16" i="14"/>
  <c r="U16" i="14"/>
  <c r="O16" i="14"/>
  <c r="AA16" i="14"/>
  <c r="I16" i="14"/>
  <c r="D17" i="14"/>
  <c r="B17" i="14"/>
  <c r="AO42" i="14" l="1"/>
  <c r="AN29" i="14"/>
  <c r="AR29" i="14"/>
  <c r="AS42" i="14"/>
  <c r="AL29" i="14"/>
  <c r="AM42" i="14"/>
  <c r="AK45" i="14"/>
  <c r="AO45" i="14" s="1"/>
  <c r="AQ45" i="14" s="1"/>
  <c r="AR45" i="14" s="1"/>
  <c r="AQ42" i="14"/>
  <c r="AP29" i="14"/>
  <c r="AJ29" i="14"/>
  <c r="AI27" i="14"/>
  <c r="AK42" i="14"/>
  <c r="A18" i="14"/>
  <c r="C17" i="14"/>
  <c r="AJ42" i="14" l="1"/>
  <c r="AI42" i="14" s="1"/>
  <c r="AK28" i="14"/>
  <c r="G26" i="14"/>
  <c r="AO28" i="14"/>
  <c r="S26" i="14"/>
  <c r="Y26" i="14"/>
  <c r="AQ28" i="14"/>
  <c r="AM28" i="14"/>
  <c r="M26" i="14"/>
  <c r="AE26" i="14"/>
  <c r="AS28" i="14"/>
  <c r="AS17" i="14"/>
  <c r="AQ17" i="14"/>
  <c r="AO17" i="14"/>
  <c r="AM17" i="14"/>
  <c r="AK17" i="14"/>
  <c r="BN17" i="14"/>
  <c r="AR17" i="14"/>
  <c r="AN17" i="14"/>
  <c r="AJ17" i="14"/>
  <c r="AP17" i="14"/>
  <c r="AL17" i="14"/>
  <c r="O17" i="14"/>
  <c r="AA17" i="14"/>
  <c r="U17" i="14"/>
  <c r="I17" i="14"/>
  <c r="AG17" i="14"/>
  <c r="D18" i="14"/>
  <c r="B18" i="14"/>
  <c r="AL26" i="14" l="1"/>
  <c r="AL27" i="14"/>
  <c r="AN7" i="14" s="1"/>
  <c r="A19" i="14"/>
  <c r="C18" i="14"/>
  <c r="AK27" i="14" l="1"/>
  <c r="K27" i="14"/>
  <c r="AS18" i="14"/>
  <c r="AQ18" i="14"/>
  <c r="AO18" i="14"/>
  <c r="AM18" i="14"/>
  <c r="AK18" i="14"/>
  <c r="BN18" i="14"/>
  <c r="AR18" i="14"/>
  <c r="AN18" i="14"/>
  <c r="AJ18" i="14"/>
  <c r="AL18" i="14"/>
  <c r="AP18" i="14"/>
  <c r="U18" i="14"/>
  <c r="I18" i="14"/>
  <c r="O18" i="14"/>
  <c r="AA18" i="14"/>
  <c r="AG18" i="14"/>
  <c r="D19" i="14"/>
  <c r="B19" i="14"/>
  <c r="A20" i="14" l="1"/>
  <c r="C19" i="14"/>
  <c r="AS19" i="14" l="1"/>
  <c r="AQ19" i="14"/>
  <c r="AO19" i="14"/>
  <c r="AM19" i="14"/>
  <c r="AK19" i="14"/>
  <c r="BN19" i="14"/>
  <c r="AR19" i="14"/>
  <c r="AN19" i="14"/>
  <c r="AJ19" i="14"/>
  <c r="AP19" i="14"/>
  <c r="AL19" i="14"/>
  <c r="O19" i="14"/>
  <c r="AA19" i="14"/>
  <c r="U19" i="14"/>
  <c r="I19" i="14"/>
  <c r="AG19" i="14"/>
  <c r="D20" i="14"/>
  <c r="B20" i="14"/>
  <c r="A21" i="14" l="1"/>
  <c r="C20" i="14"/>
  <c r="AS20" i="14" l="1"/>
  <c r="AQ20" i="14"/>
  <c r="AO20" i="14"/>
  <c r="AM20" i="14"/>
  <c r="AK20" i="14"/>
  <c r="BN20" i="14"/>
  <c r="AR20" i="14"/>
  <c r="AN20" i="14"/>
  <c r="AJ20" i="14"/>
  <c r="AP20" i="14"/>
  <c r="AL20" i="14"/>
  <c r="AG20" i="14"/>
  <c r="I20" i="14"/>
  <c r="O20" i="14"/>
  <c r="AA20" i="14"/>
  <c r="U20" i="14"/>
  <c r="D21" i="14"/>
  <c r="B21" i="14"/>
  <c r="A22" i="14" l="1"/>
  <c r="C21" i="14"/>
  <c r="AS21" i="14" l="1"/>
  <c r="AQ21" i="14"/>
  <c r="AO21" i="14"/>
  <c r="AM21" i="14"/>
  <c r="AK21" i="14"/>
  <c r="BN21" i="14"/>
  <c r="AR21" i="14"/>
  <c r="AN21" i="14"/>
  <c r="AJ21" i="14"/>
  <c r="AP21" i="14"/>
  <c r="AL21" i="14"/>
  <c r="O21" i="14"/>
  <c r="AA21" i="14"/>
  <c r="I21" i="14"/>
  <c r="AG21" i="14"/>
  <c r="U21" i="14"/>
  <c r="D22" i="14"/>
  <c r="B22" i="14"/>
  <c r="A23" i="14" l="1"/>
  <c r="C22" i="14"/>
  <c r="AS22" i="14" l="1"/>
  <c r="AQ22" i="14"/>
  <c r="AO22" i="14"/>
  <c r="AM22" i="14"/>
  <c r="AK22" i="14"/>
  <c r="BN22" i="14"/>
  <c r="AR22" i="14"/>
  <c r="AN22" i="14"/>
  <c r="AJ22" i="14"/>
  <c r="AL22" i="14"/>
  <c r="AP22" i="14"/>
  <c r="U22" i="14"/>
  <c r="O22" i="14"/>
  <c r="AA22" i="14"/>
  <c r="AG22" i="14"/>
  <c r="I22" i="14"/>
  <c r="D23" i="14"/>
  <c r="B23" i="14"/>
  <c r="C23" i="14" s="1"/>
  <c r="BN23" i="14" l="1"/>
  <c r="BN25" i="14" s="1"/>
  <c r="N27" i="14" s="1"/>
  <c r="AR23" i="14"/>
  <c r="AP23" i="14"/>
  <c r="AN23" i="14"/>
  <c r="AL23" i="14"/>
  <c r="AJ23" i="14"/>
  <c r="AS23" i="14"/>
  <c r="AO23" i="14"/>
  <c r="AK23" i="14"/>
  <c r="AQ23" i="14"/>
  <c r="AG23" i="14"/>
  <c r="AG25" i="14" s="1"/>
  <c r="U23" i="14"/>
  <c r="U25" i="14" s="1"/>
  <c r="I23" i="14"/>
  <c r="I25" i="14" s="1"/>
  <c r="AM23" i="14"/>
  <c r="O23" i="14"/>
  <c r="O25" i="14" s="1"/>
  <c r="AA23" i="14"/>
  <c r="AA25" i="14" s="1"/>
  <c r="AL25" i="14" l="1"/>
  <c r="AN25" i="14" l="1"/>
  <c r="S28" i="14" l="1"/>
  <c r="L27" i="14"/>
  <c r="AO25" i="14"/>
  <c r="A28" i="14" l="1"/>
  <c r="AP25" i="14"/>
  <c r="AQ25" i="14" s="1"/>
  <c r="A27" i="14"/>
  <c r="A29" i="14" l="1"/>
  <c r="AF27" i="14"/>
  <c r="A30" i="14" l="1"/>
  <c r="D30" i="14"/>
  <c r="D29" i="14"/>
  <c r="E38" i="1" l="1"/>
  <c r="F38" i="1" s="1"/>
  <c r="D38" i="1"/>
  <c r="E52" i="1"/>
  <c r="N87" i="13" l="1"/>
  <c r="J87" i="13"/>
  <c r="I87" i="13"/>
  <c r="A6" i="13"/>
  <c r="B6" i="13"/>
  <c r="C6" i="13"/>
  <c r="D6" i="13"/>
  <c r="A7" i="13"/>
  <c r="B7" i="13"/>
  <c r="C7" i="13"/>
  <c r="D7" i="13"/>
  <c r="A8" i="13"/>
  <c r="B8" i="13"/>
  <c r="C8" i="13"/>
  <c r="D8" i="13"/>
  <c r="A9" i="13"/>
  <c r="B9" i="13"/>
  <c r="C9" i="13"/>
  <c r="D9" i="13"/>
  <c r="A10" i="13"/>
  <c r="B10" i="13"/>
  <c r="C10" i="13"/>
  <c r="D10" i="13"/>
  <c r="A11" i="13"/>
  <c r="B11" i="13"/>
  <c r="C11" i="13"/>
  <c r="D11" i="13"/>
  <c r="A12" i="13"/>
  <c r="B12" i="13"/>
  <c r="C12" i="13"/>
  <c r="D12" i="13"/>
  <c r="A13" i="13"/>
  <c r="B13" i="13"/>
  <c r="C13" i="13"/>
  <c r="D13" i="13"/>
  <c r="A14" i="13"/>
  <c r="B14" i="13"/>
  <c r="C14" i="13"/>
  <c r="D14" i="13"/>
  <c r="A15" i="13"/>
  <c r="B15" i="13"/>
  <c r="C15" i="13"/>
  <c r="D15" i="13"/>
  <c r="A16" i="13"/>
  <c r="B16" i="13"/>
  <c r="C16" i="13"/>
  <c r="D16" i="13"/>
  <c r="A17" i="13"/>
  <c r="B17" i="13"/>
  <c r="C17" i="13"/>
  <c r="D17" i="13"/>
  <c r="A18" i="13"/>
  <c r="B18" i="13"/>
  <c r="C18" i="13"/>
  <c r="D18" i="13"/>
  <c r="A19" i="13"/>
  <c r="B19" i="13"/>
  <c r="C19" i="13"/>
  <c r="D19" i="13"/>
  <c r="A20" i="13"/>
  <c r="B20" i="13"/>
  <c r="C20" i="13"/>
  <c r="D20" i="13"/>
  <c r="A21" i="13"/>
  <c r="B21" i="13"/>
  <c r="C21" i="13"/>
  <c r="D21" i="13"/>
  <c r="A22" i="13"/>
  <c r="B22" i="13"/>
  <c r="C22" i="13"/>
  <c r="D22" i="13"/>
  <c r="A23" i="13"/>
  <c r="B23" i="13"/>
  <c r="C23" i="13"/>
  <c r="D23" i="13"/>
  <c r="A24" i="13"/>
  <c r="B24" i="13"/>
  <c r="C24" i="13"/>
  <c r="D24" i="13"/>
  <c r="A25" i="13"/>
  <c r="B25" i="13"/>
  <c r="C25" i="13"/>
  <c r="D25" i="13"/>
  <c r="A26" i="13"/>
  <c r="B26" i="13"/>
  <c r="C26" i="13"/>
  <c r="D26" i="13"/>
  <c r="A27" i="13"/>
  <c r="B27" i="13"/>
  <c r="C27" i="13"/>
  <c r="D27" i="13"/>
  <c r="A28" i="13"/>
  <c r="B28" i="13"/>
  <c r="C28" i="13"/>
  <c r="D28" i="13"/>
  <c r="A29" i="13"/>
  <c r="B29" i="13"/>
  <c r="C29" i="13"/>
  <c r="D29" i="13"/>
  <c r="A30" i="13"/>
  <c r="B30" i="13"/>
  <c r="C30" i="13"/>
  <c r="D30" i="13"/>
  <c r="A31" i="13"/>
  <c r="B31" i="13"/>
  <c r="C31" i="13"/>
  <c r="D31" i="13"/>
  <c r="A32" i="13"/>
  <c r="B32" i="13"/>
  <c r="C32" i="13"/>
  <c r="D32" i="13"/>
  <c r="A33" i="13"/>
  <c r="B33" i="13"/>
  <c r="C33" i="13"/>
  <c r="D33" i="13"/>
  <c r="A34" i="13"/>
  <c r="B34" i="13"/>
  <c r="C34" i="13"/>
  <c r="D34" i="13"/>
  <c r="A35" i="13"/>
  <c r="B35" i="13"/>
  <c r="C35" i="13"/>
  <c r="D35" i="13"/>
  <c r="A36" i="13"/>
  <c r="B36" i="13"/>
  <c r="C36" i="13"/>
  <c r="D36" i="13"/>
  <c r="A37" i="13"/>
  <c r="B37" i="13"/>
  <c r="C37" i="13"/>
  <c r="D37" i="13"/>
  <c r="A38" i="13"/>
  <c r="B38" i="13"/>
  <c r="C38" i="13"/>
  <c r="D38" i="13"/>
  <c r="A39" i="13"/>
  <c r="B39" i="13"/>
  <c r="C39" i="13"/>
  <c r="D39" i="13"/>
  <c r="A40" i="13"/>
  <c r="B40" i="13"/>
  <c r="C40" i="13"/>
  <c r="D40" i="13"/>
  <c r="A41" i="13"/>
  <c r="B41" i="13"/>
  <c r="C41" i="13"/>
  <c r="D41" i="13"/>
  <c r="A42" i="13"/>
  <c r="B42" i="13"/>
  <c r="C42" i="13"/>
  <c r="D42" i="13"/>
  <c r="A43" i="13"/>
  <c r="B43" i="13"/>
  <c r="C43" i="13"/>
  <c r="D43" i="13"/>
  <c r="A44" i="13"/>
  <c r="B44" i="13"/>
  <c r="C44" i="13"/>
  <c r="D44" i="13"/>
  <c r="A45" i="13"/>
  <c r="B45" i="13"/>
  <c r="C45" i="13"/>
  <c r="D45" i="13"/>
  <c r="A46" i="13"/>
  <c r="B46" i="13"/>
  <c r="C46" i="13"/>
  <c r="D46" i="13"/>
  <c r="A47" i="13"/>
  <c r="B47" i="13"/>
  <c r="C47" i="13"/>
  <c r="D47" i="13"/>
  <c r="A48" i="13"/>
  <c r="B48" i="13"/>
  <c r="C48" i="13"/>
  <c r="D48" i="13"/>
  <c r="A49" i="13"/>
  <c r="B49" i="13"/>
  <c r="C49" i="13"/>
  <c r="D49" i="13"/>
  <c r="A50" i="13"/>
  <c r="B50" i="13"/>
  <c r="C50" i="13"/>
  <c r="D50" i="13"/>
  <c r="A51" i="13"/>
  <c r="B51" i="13"/>
  <c r="C51" i="13"/>
  <c r="D51" i="13"/>
  <c r="A52" i="13"/>
  <c r="B52" i="13"/>
  <c r="C52" i="13"/>
  <c r="D52" i="13"/>
  <c r="A53" i="13"/>
  <c r="B53" i="13"/>
  <c r="C53" i="13"/>
  <c r="D53" i="13"/>
  <c r="A54" i="13"/>
  <c r="B54" i="13"/>
  <c r="C54" i="13"/>
  <c r="D54" i="13"/>
  <c r="A55" i="13"/>
  <c r="B55" i="13"/>
  <c r="C55" i="13"/>
  <c r="D55" i="13"/>
  <c r="A56" i="13"/>
  <c r="B56" i="13"/>
  <c r="C56" i="13"/>
  <c r="D56" i="13"/>
  <c r="A57" i="13"/>
  <c r="B57" i="13"/>
  <c r="C57" i="13"/>
  <c r="D57" i="13"/>
  <c r="A58" i="13"/>
  <c r="B58" i="13"/>
  <c r="C58" i="13"/>
  <c r="D58" i="13"/>
  <c r="A59" i="13"/>
  <c r="B59" i="13"/>
  <c r="C59" i="13"/>
  <c r="D59" i="13"/>
  <c r="A60" i="13"/>
  <c r="B60" i="13"/>
  <c r="C60" i="13"/>
  <c r="D60" i="13"/>
  <c r="A61" i="13"/>
  <c r="B61" i="13"/>
  <c r="C61" i="13"/>
  <c r="D61" i="13"/>
  <c r="A62" i="13"/>
  <c r="B62" i="13"/>
  <c r="C62" i="13"/>
  <c r="D62" i="13"/>
  <c r="A63" i="13"/>
  <c r="B63" i="13"/>
  <c r="C63" i="13"/>
  <c r="D63" i="13"/>
  <c r="A64" i="13"/>
  <c r="B64" i="13"/>
  <c r="C64" i="13"/>
  <c r="D64" i="13"/>
  <c r="A65" i="13"/>
  <c r="B65" i="13"/>
  <c r="C65" i="13"/>
  <c r="D65" i="13"/>
  <c r="A66" i="13"/>
  <c r="B66" i="13"/>
  <c r="C66" i="13"/>
  <c r="D66" i="13"/>
  <c r="A67" i="13"/>
  <c r="B67" i="13"/>
  <c r="C67" i="13"/>
  <c r="D67" i="13"/>
  <c r="A68" i="13"/>
  <c r="B68" i="13"/>
  <c r="C68" i="13"/>
  <c r="D68" i="13"/>
  <c r="A69" i="13"/>
  <c r="B69" i="13"/>
  <c r="C69" i="13"/>
  <c r="D69" i="13"/>
  <c r="A70" i="13"/>
  <c r="B70" i="13"/>
  <c r="C70" i="13"/>
  <c r="D70" i="13"/>
  <c r="A71" i="13"/>
  <c r="B71" i="13"/>
  <c r="C71" i="13"/>
  <c r="D71" i="13"/>
  <c r="A72" i="13"/>
  <c r="B72" i="13"/>
  <c r="C72" i="13"/>
  <c r="D72" i="13"/>
  <c r="A73" i="13"/>
  <c r="B73" i="13"/>
  <c r="C73" i="13"/>
  <c r="D73" i="13"/>
  <c r="A74" i="13"/>
  <c r="B74" i="13"/>
  <c r="C74" i="13"/>
  <c r="D74" i="13"/>
  <c r="A75" i="13"/>
  <c r="B75" i="13"/>
  <c r="C75" i="13"/>
  <c r="D75" i="13"/>
  <c r="A76" i="13"/>
  <c r="B76" i="13"/>
  <c r="C76" i="13"/>
  <c r="D76" i="13"/>
  <c r="A77" i="13"/>
  <c r="B77" i="13"/>
  <c r="C77" i="13"/>
  <c r="D77" i="13"/>
  <c r="A78" i="13"/>
  <c r="B78" i="13"/>
  <c r="C78" i="13"/>
  <c r="D78" i="13"/>
  <c r="A79" i="13"/>
  <c r="B79" i="13"/>
  <c r="C79" i="13"/>
  <c r="D79" i="13"/>
  <c r="A80" i="13"/>
  <c r="B80" i="13"/>
  <c r="C80" i="13"/>
  <c r="D80" i="13"/>
  <c r="A81" i="13"/>
  <c r="B81" i="13"/>
  <c r="C81" i="13"/>
  <c r="D81" i="13"/>
  <c r="A82" i="13"/>
  <c r="B82" i="13"/>
  <c r="C82" i="13"/>
  <c r="D82" i="13"/>
  <c r="A83" i="13"/>
  <c r="B83" i="13"/>
  <c r="C83" i="13"/>
  <c r="D83" i="13"/>
  <c r="A84" i="13"/>
  <c r="B84" i="13"/>
  <c r="C84" i="13"/>
  <c r="D84" i="13"/>
  <c r="C5" i="13"/>
  <c r="G6" i="13" l="1"/>
  <c r="H6" i="13"/>
  <c r="I6" i="13"/>
  <c r="J6" i="13"/>
  <c r="K6" i="13"/>
  <c r="L6" i="13"/>
  <c r="M6" i="13"/>
  <c r="N6" i="13"/>
  <c r="O6" i="13"/>
  <c r="G7" i="13"/>
  <c r="H7" i="13"/>
  <c r="I7" i="13"/>
  <c r="J7" i="13"/>
  <c r="K7" i="13"/>
  <c r="L7" i="13"/>
  <c r="M7" i="13"/>
  <c r="N7" i="13"/>
  <c r="O7" i="13"/>
  <c r="F8" i="13"/>
  <c r="G8" i="13"/>
  <c r="H8" i="13"/>
  <c r="I8" i="13"/>
  <c r="J8" i="13"/>
  <c r="K8" i="13"/>
  <c r="L8" i="13"/>
  <c r="M8" i="13"/>
  <c r="N8" i="13"/>
  <c r="O8" i="13"/>
  <c r="F9" i="13"/>
  <c r="G9" i="13"/>
  <c r="H9" i="13"/>
  <c r="I9" i="13"/>
  <c r="J9" i="13"/>
  <c r="K9" i="13"/>
  <c r="L9" i="13"/>
  <c r="M9" i="13"/>
  <c r="N9" i="13"/>
  <c r="O9" i="13"/>
  <c r="F10" i="13"/>
  <c r="G10" i="13"/>
  <c r="H10" i="13"/>
  <c r="I10" i="13"/>
  <c r="J10" i="13"/>
  <c r="K10" i="13"/>
  <c r="L10" i="13"/>
  <c r="M10" i="13"/>
  <c r="N10" i="13"/>
  <c r="O10" i="13"/>
  <c r="F11" i="13"/>
  <c r="G11" i="13"/>
  <c r="H11" i="13"/>
  <c r="I11" i="13"/>
  <c r="J11" i="13"/>
  <c r="K11" i="13"/>
  <c r="L11" i="13"/>
  <c r="M11" i="13"/>
  <c r="N11" i="13"/>
  <c r="O11" i="13"/>
  <c r="F12" i="13"/>
  <c r="G12" i="13"/>
  <c r="H12" i="13"/>
  <c r="I12" i="13"/>
  <c r="J12" i="13"/>
  <c r="K12" i="13"/>
  <c r="L12" i="13"/>
  <c r="M12" i="13"/>
  <c r="N12" i="13"/>
  <c r="O12" i="13"/>
  <c r="F13" i="13"/>
  <c r="G13" i="13"/>
  <c r="H13" i="13"/>
  <c r="I13" i="13"/>
  <c r="J13" i="13"/>
  <c r="K13" i="13"/>
  <c r="L13" i="13"/>
  <c r="M13" i="13"/>
  <c r="N13" i="13"/>
  <c r="O13" i="13"/>
  <c r="F14" i="13"/>
  <c r="G14" i="13"/>
  <c r="H14" i="13"/>
  <c r="I14" i="13"/>
  <c r="J14" i="13"/>
  <c r="K14" i="13"/>
  <c r="L14" i="13"/>
  <c r="M14" i="13"/>
  <c r="N14" i="13"/>
  <c r="O14" i="13"/>
  <c r="F15" i="13"/>
  <c r="G15" i="13"/>
  <c r="H15" i="13"/>
  <c r="I15" i="13"/>
  <c r="J15" i="13"/>
  <c r="K15" i="13"/>
  <c r="L15" i="13"/>
  <c r="M15" i="13"/>
  <c r="N15" i="13"/>
  <c r="O15" i="13"/>
  <c r="F16" i="13"/>
  <c r="G16" i="13"/>
  <c r="H16" i="13"/>
  <c r="I16" i="13"/>
  <c r="J16" i="13"/>
  <c r="K16" i="13"/>
  <c r="L16" i="13"/>
  <c r="M16" i="13"/>
  <c r="N16" i="13"/>
  <c r="O16" i="13"/>
  <c r="F17" i="13"/>
  <c r="G17" i="13"/>
  <c r="H17" i="13"/>
  <c r="I17" i="13"/>
  <c r="J17" i="13"/>
  <c r="K17" i="13"/>
  <c r="L17" i="13"/>
  <c r="M17" i="13"/>
  <c r="N17" i="13"/>
  <c r="O17" i="13"/>
  <c r="F18" i="13"/>
  <c r="G18" i="13"/>
  <c r="H18" i="13"/>
  <c r="I18" i="13"/>
  <c r="J18" i="13"/>
  <c r="K18" i="13"/>
  <c r="L18" i="13"/>
  <c r="M18" i="13"/>
  <c r="N18" i="13"/>
  <c r="O18" i="13"/>
  <c r="F19" i="13"/>
  <c r="G19" i="13"/>
  <c r="H19" i="13"/>
  <c r="I19" i="13"/>
  <c r="J19" i="13"/>
  <c r="K19" i="13"/>
  <c r="L19" i="13"/>
  <c r="M19" i="13"/>
  <c r="N19" i="13"/>
  <c r="O19" i="13"/>
  <c r="F20" i="13"/>
  <c r="G20" i="13"/>
  <c r="H20" i="13"/>
  <c r="I20" i="13"/>
  <c r="J20" i="13"/>
  <c r="K20" i="13"/>
  <c r="L20" i="13"/>
  <c r="M20" i="13"/>
  <c r="N20" i="13"/>
  <c r="O20" i="13"/>
  <c r="F21" i="13"/>
  <c r="G21" i="13"/>
  <c r="H21" i="13"/>
  <c r="I21" i="13"/>
  <c r="J21" i="13"/>
  <c r="K21" i="13"/>
  <c r="L21" i="13"/>
  <c r="M21" i="13"/>
  <c r="N21" i="13"/>
  <c r="O21" i="13"/>
  <c r="F22" i="13"/>
  <c r="G22" i="13"/>
  <c r="H22" i="13"/>
  <c r="I22" i="13"/>
  <c r="J22" i="13"/>
  <c r="K22" i="13"/>
  <c r="L22" i="13"/>
  <c r="M22" i="13"/>
  <c r="N22" i="13"/>
  <c r="O22" i="13"/>
  <c r="F23" i="13"/>
  <c r="G23" i="13"/>
  <c r="H23" i="13"/>
  <c r="I23" i="13"/>
  <c r="J23" i="13"/>
  <c r="K23" i="13"/>
  <c r="L23" i="13"/>
  <c r="M23" i="13"/>
  <c r="N23" i="13"/>
  <c r="O23" i="13"/>
  <c r="F24" i="13"/>
  <c r="G24" i="13"/>
  <c r="H24" i="13"/>
  <c r="I24" i="13"/>
  <c r="J24" i="13"/>
  <c r="K24" i="13"/>
  <c r="L24" i="13"/>
  <c r="M24" i="13"/>
  <c r="N24" i="13"/>
  <c r="O24" i="13"/>
  <c r="F25" i="13"/>
  <c r="G25" i="13"/>
  <c r="H25" i="13"/>
  <c r="I25" i="13"/>
  <c r="J25" i="13"/>
  <c r="K25" i="13"/>
  <c r="L25" i="13"/>
  <c r="M25" i="13"/>
  <c r="N25" i="13"/>
  <c r="O25" i="13"/>
  <c r="F26" i="13"/>
  <c r="G26" i="13"/>
  <c r="H26" i="13"/>
  <c r="I26" i="13"/>
  <c r="J26" i="13"/>
  <c r="K26" i="13"/>
  <c r="L26" i="13"/>
  <c r="M26" i="13"/>
  <c r="N26" i="13"/>
  <c r="O26" i="13"/>
  <c r="F27" i="13"/>
  <c r="G27" i="13"/>
  <c r="H27" i="13"/>
  <c r="I27" i="13"/>
  <c r="J27" i="13"/>
  <c r="K27" i="13"/>
  <c r="L27" i="13"/>
  <c r="M27" i="13"/>
  <c r="N27" i="13"/>
  <c r="O27" i="13"/>
  <c r="F28" i="13"/>
  <c r="G28" i="13"/>
  <c r="H28" i="13"/>
  <c r="I28" i="13"/>
  <c r="J28" i="13"/>
  <c r="K28" i="13"/>
  <c r="L28" i="13"/>
  <c r="M28" i="13"/>
  <c r="N28" i="13"/>
  <c r="O28" i="13"/>
  <c r="F29" i="13"/>
  <c r="G29" i="13"/>
  <c r="H29" i="13"/>
  <c r="I29" i="13"/>
  <c r="J29" i="13"/>
  <c r="K29" i="13"/>
  <c r="L29" i="13"/>
  <c r="M29" i="13"/>
  <c r="N29" i="13"/>
  <c r="O29" i="13"/>
  <c r="F30" i="13"/>
  <c r="G30" i="13"/>
  <c r="H30" i="13"/>
  <c r="I30" i="13"/>
  <c r="J30" i="13"/>
  <c r="K30" i="13"/>
  <c r="L30" i="13"/>
  <c r="M30" i="13"/>
  <c r="N30" i="13"/>
  <c r="O30" i="13"/>
  <c r="F31" i="13"/>
  <c r="G31" i="13"/>
  <c r="H31" i="13"/>
  <c r="I31" i="13"/>
  <c r="J31" i="13"/>
  <c r="K31" i="13"/>
  <c r="L31" i="13"/>
  <c r="M31" i="13"/>
  <c r="N31" i="13"/>
  <c r="O31" i="13"/>
  <c r="F32" i="13"/>
  <c r="G32" i="13"/>
  <c r="H32" i="13"/>
  <c r="I32" i="13"/>
  <c r="J32" i="13"/>
  <c r="K32" i="13"/>
  <c r="L32" i="13"/>
  <c r="M32" i="13"/>
  <c r="N32" i="13"/>
  <c r="O32" i="13"/>
  <c r="F33" i="13"/>
  <c r="G33" i="13"/>
  <c r="H33" i="13"/>
  <c r="I33" i="13"/>
  <c r="J33" i="13"/>
  <c r="K33" i="13"/>
  <c r="L33" i="13"/>
  <c r="M33" i="13"/>
  <c r="N33" i="13"/>
  <c r="O33" i="13"/>
  <c r="F34" i="13"/>
  <c r="G34" i="13"/>
  <c r="H34" i="13"/>
  <c r="I34" i="13"/>
  <c r="J34" i="13"/>
  <c r="K34" i="13"/>
  <c r="L34" i="13"/>
  <c r="M34" i="13"/>
  <c r="N34" i="13"/>
  <c r="O34" i="13"/>
  <c r="F35" i="13"/>
  <c r="G35" i="13"/>
  <c r="H35" i="13"/>
  <c r="I35" i="13"/>
  <c r="J35" i="13"/>
  <c r="K35" i="13"/>
  <c r="L35" i="13"/>
  <c r="M35" i="13"/>
  <c r="N35" i="13"/>
  <c r="O35" i="13"/>
  <c r="F36" i="13"/>
  <c r="G36" i="13"/>
  <c r="H36" i="13"/>
  <c r="I36" i="13"/>
  <c r="J36" i="13"/>
  <c r="K36" i="13"/>
  <c r="L36" i="13"/>
  <c r="M36" i="13"/>
  <c r="N36" i="13"/>
  <c r="O36" i="13"/>
  <c r="F37" i="13"/>
  <c r="G37" i="13"/>
  <c r="H37" i="13"/>
  <c r="I37" i="13"/>
  <c r="J37" i="13"/>
  <c r="K37" i="13"/>
  <c r="L37" i="13"/>
  <c r="M37" i="13"/>
  <c r="N37" i="13"/>
  <c r="O37" i="13"/>
  <c r="F38" i="13"/>
  <c r="G38" i="13"/>
  <c r="H38" i="13"/>
  <c r="I38" i="13"/>
  <c r="J38" i="13"/>
  <c r="K38" i="13"/>
  <c r="L38" i="13"/>
  <c r="M38" i="13"/>
  <c r="N38" i="13"/>
  <c r="O38" i="13"/>
  <c r="F39" i="13"/>
  <c r="G39" i="13"/>
  <c r="H39" i="13"/>
  <c r="I39" i="13"/>
  <c r="J39" i="13"/>
  <c r="K39" i="13"/>
  <c r="L39" i="13"/>
  <c r="M39" i="13"/>
  <c r="N39" i="13"/>
  <c r="O39" i="13"/>
  <c r="F40" i="13"/>
  <c r="G40" i="13"/>
  <c r="H40" i="13"/>
  <c r="I40" i="13"/>
  <c r="J40" i="13"/>
  <c r="K40" i="13"/>
  <c r="L40" i="13"/>
  <c r="M40" i="13"/>
  <c r="N40" i="13"/>
  <c r="O40" i="13"/>
  <c r="F41" i="13"/>
  <c r="G41" i="13"/>
  <c r="H41" i="13"/>
  <c r="I41" i="13"/>
  <c r="J41" i="13"/>
  <c r="K41" i="13"/>
  <c r="L41" i="13"/>
  <c r="M41" i="13"/>
  <c r="N41" i="13"/>
  <c r="O41" i="13"/>
  <c r="F42" i="13"/>
  <c r="G42" i="13"/>
  <c r="H42" i="13"/>
  <c r="I42" i="13"/>
  <c r="J42" i="13"/>
  <c r="K42" i="13"/>
  <c r="L42" i="13"/>
  <c r="M42" i="13"/>
  <c r="N42" i="13"/>
  <c r="O42" i="13"/>
  <c r="F43" i="13"/>
  <c r="G43" i="13"/>
  <c r="H43" i="13"/>
  <c r="I43" i="13"/>
  <c r="J43" i="13"/>
  <c r="K43" i="13"/>
  <c r="L43" i="13"/>
  <c r="M43" i="13"/>
  <c r="N43" i="13"/>
  <c r="O43" i="13"/>
  <c r="F44" i="13"/>
  <c r="G44" i="13"/>
  <c r="H44" i="13"/>
  <c r="I44" i="13"/>
  <c r="J44" i="13"/>
  <c r="K44" i="13"/>
  <c r="L44" i="13"/>
  <c r="M44" i="13"/>
  <c r="N44" i="13"/>
  <c r="O44" i="13"/>
  <c r="F45" i="13"/>
  <c r="G45" i="13"/>
  <c r="H45" i="13"/>
  <c r="I45" i="13"/>
  <c r="J45" i="13"/>
  <c r="K45" i="13"/>
  <c r="L45" i="13"/>
  <c r="M45" i="13"/>
  <c r="N45" i="13"/>
  <c r="O45" i="13"/>
  <c r="F46" i="13"/>
  <c r="G46" i="13"/>
  <c r="H46" i="13"/>
  <c r="I46" i="13"/>
  <c r="J46" i="13"/>
  <c r="K46" i="13"/>
  <c r="L46" i="13"/>
  <c r="M46" i="13"/>
  <c r="N46" i="13"/>
  <c r="O46" i="13"/>
  <c r="F47" i="13"/>
  <c r="G47" i="13"/>
  <c r="H47" i="13"/>
  <c r="I47" i="13"/>
  <c r="J47" i="13"/>
  <c r="K47" i="13"/>
  <c r="L47" i="13"/>
  <c r="M47" i="13"/>
  <c r="N47" i="13"/>
  <c r="O47" i="13"/>
  <c r="F48" i="13"/>
  <c r="G48" i="13"/>
  <c r="H48" i="13"/>
  <c r="I48" i="13"/>
  <c r="J48" i="13"/>
  <c r="K48" i="13"/>
  <c r="L48" i="13"/>
  <c r="M48" i="13"/>
  <c r="N48" i="13"/>
  <c r="O48" i="13"/>
  <c r="F49" i="13"/>
  <c r="G49" i="13"/>
  <c r="H49" i="13"/>
  <c r="I49" i="13"/>
  <c r="J49" i="13"/>
  <c r="K49" i="13"/>
  <c r="L49" i="13"/>
  <c r="M49" i="13"/>
  <c r="N49" i="13"/>
  <c r="O49" i="13"/>
  <c r="F50" i="13"/>
  <c r="G50" i="13"/>
  <c r="H50" i="13"/>
  <c r="I50" i="13"/>
  <c r="J50" i="13"/>
  <c r="K50" i="13"/>
  <c r="L50" i="13"/>
  <c r="M50" i="13"/>
  <c r="N50" i="13"/>
  <c r="O50" i="13"/>
  <c r="F51" i="13"/>
  <c r="G51" i="13"/>
  <c r="H51" i="13"/>
  <c r="I51" i="13"/>
  <c r="J51" i="13"/>
  <c r="K51" i="13"/>
  <c r="L51" i="13"/>
  <c r="M51" i="13"/>
  <c r="N51" i="13"/>
  <c r="O51" i="13"/>
  <c r="F52" i="13"/>
  <c r="G52" i="13"/>
  <c r="H52" i="13"/>
  <c r="I52" i="13"/>
  <c r="J52" i="13"/>
  <c r="K52" i="13"/>
  <c r="L52" i="13"/>
  <c r="M52" i="13"/>
  <c r="N52" i="13"/>
  <c r="O52" i="13"/>
  <c r="F53" i="13"/>
  <c r="G53" i="13"/>
  <c r="H53" i="13"/>
  <c r="I53" i="13"/>
  <c r="J53" i="13"/>
  <c r="K53" i="13"/>
  <c r="L53" i="13"/>
  <c r="M53" i="13"/>
  <c r="N53" i="13"/>
  <c r="O53" i="13"/>
  <c r="F54" i="13"/>
  <c r="G54" i="13"/>
  <c r="H54" i="13"/>
  <c r="I54" i="13"/>
  <c r="J54" i="13"/>
  <c r="K54" i="13"/>
  <c r="L54" i="13"/>
  <c r="M54" i="13"/>
  <c r="N54" i="13"/>
  <c r="O54" i="13"/>
  <c r="F55" i="13"/>
  <c r="G55" i="13"/>
  <c r="H55" i="13"/>
  <c r="I55" i="13"/>
  <c r="J55" i="13"/>
  <c r="K55" i="13"/>
  <c r="L55" i="13"/>
  <c r="M55" i="13"/>
  <c r="N55" i="13"/>
  <c r="O55" i="13"/>
  <c r="F56" i="13"/>
  <c r="G56" i="13"/>
  <c r="H56" i="13"/>
  <c r="I56" i="13"/>
  <c r="J56" i="13"/>
  <c r="K56" i="13"/>
  <c r="L56" i="13"/>
  <c r="M56" i="13"/>
  <c r="N56" i="13"/>
  <c r="O56" i="13"/>
  <c r="F57" i="13"/>
  <c r="G57" i="13"/>
  <c r="H57" i="13"/>
  <c r="I57" i="13"/>
  <c r="J57" i="13"/>
  <c r="K57" i="13"/>
  <c r="L57" i="13"/>
  <c r="M57" i="13"/>
  <c r="N57" i="13"/>
  <c r="O57" i="13"/>
  <c r="F58" i="13"/>
  <c r="G58" i="13"/>
  <c r="H58" i="13"/>
  <c r="I58" i="13"/>
  <c r="J58" i="13"/>
  <c r="K58" i="13"/>
  <c r="L58" i="13"/>
  <c r="M58" i="13"/>
  <c r="N58" i="13"/>
  <c r="O58" i="13"/>
  <c r="F59" i="13"/>
  <c r="G59" i="13"/>
  <c r="H59" i="13"/>
  <c r="I59" i="13"/>
  <c r="J59" i="13"/>
  <c r="K59" i="13"/>
  <c r="L59" i="13"/>
  <c r="M59" i="13"/>
  <c r="N59" i="13"/>
  <c r="O59" i="13"/>
  <c r="F60" i="13"/>
  <c r="G60" i="13"/>
  <c r="H60" i="13"/>
  <c r="I60" i="13"/>
  <c r="J60" i="13"/>
  <c r="K60" i="13"/>
  <c r="L60" i="13"/>
  <c r="M60" i="13"/>
  <c r="N60" i="13"/>
  <c r="O60" i="13"/>
  <c r="F61" i="13"/>
  <c r="G61" i="13"/>
  <c r="H61" i="13"/>
  <c r="I61" i="13"/>
  <c r="J61" i="13"/>
  <c r="K61" i="13"/>
  <c r="L61" i="13"/>
  <c r="M61" i="13"/>
  <c r="N61" i="13"/>
  <c r="O61" i="13"/>
  <c r="F62" i="13"/>
  <c r="G62" i="13"/>
  <c r="H62" i="13"/>
  <c r="I62" i="13"/>
  <c r="J62" i="13"/>
  <c r="K62" i="13"/>
  <c r="L62" i="13"/>
  <c r="M62" i="13"/>
  <c r="N62" i="13"/>
  <c r="O62" i="13"/>
  <c r="F63" i="13"/>
  <c r="G63" i="13"/>
  <c r="H63" i="13"/>
  <c r="I63" i="13"/>
  <c r="J63" i="13"/>
  <c r="K63" i="13"/>
  <c r="L63" i="13"/>
  <c r="M63" i="13"/>
  <c r="N63" i="13"/>
  <c r="O63" i="13"/>
  <c r="F64" i="13"/>
  <c r="G64" i="13"/>
  <c r="H64" i="13"/>
  <c r="I64" i="13"/>
  <c r="J64" i="13"/>
  <c r="K64" i="13"/>
  <c r="L64" i="13"/>
  <c r="M64" i="13"/>
  <c r="N64" i="13"/>
  <c r="O64" i="13"/>
  <c r="F65" i="13"/>
  <c r="G65" i="13"/>
  <c r="H65" i="13"/>
  <c r="I65" i="13"/>
  <c r="J65" i="13"/>
  <c r="K65" i="13"/>
  <c r="L65" i="13"/>
  <c r="M65" i="13"/>
  <c r="N65" i="13"/>
  <c r="O65" i="13"/>
  <c r="F66" i="13"/>
  <c r="G66" i="13"/>
  <c r="H66" i="13"/>
  <c r="I66" i="13"/>
  <c r="J66" i="13"/>
  <c r="K66" i="13"/>
  <c r="L66" i="13"/>
  <c r="M66" i="13"/>
  <c r="N66" i="13"/>
  <c r="O66" i="13"/>
  <c r="F67" i="13"/>
  <c r="G67" i="13"/>
  <c r="H67" i="13"/>
  <c r="I67" i="13"/>
  <c r="J67" i="13"/>
  <c r="K67" i="13"/>
  <c r="L67" i="13"/>
  <c r="M67" i="13"/>
  <c r="N67" i="13"/>
  <c r="O67" i="13"/>
  <c r="F68" i="13"/>
  <c r="G68" i="13"/>
  <c r="H68" i="13"/>
  <c r="I68" i="13"/>
  <c r="J68" i="13"/>
  <c r="K68" i="13"/>
  <c r="L68" i="13"/>
  <c r="M68" i="13"/>
  <c r="N68" i="13"/>
  <c r="O68" i="13"/>
  <c r="F69" i="13"/>
  <c r="G69" i="13"/>
  <c r="H69" i="13"/>
  <c r="I69" i="13"/>
  <c r="J69" i="13"/>
  <c r="K69" i="13"/>
  <c r="L69" i="13"/>
  <c r="M69" i="13"/>
  <c r="N69" i="13"/>
  <c r="O69" i="13"/>
  <c r="F70" i="13"/>
  <c r="G70" i="13"/>
  <c r="H70" i="13"/>
  <c r="I70" i="13"/>
  <c r="J70" i="13"/>
  <c r="K70" i="13"/>
  <c r="L70" i="13"/>
  <c r="M70" i="13"/>
  <c r="N70" i="13"/>
  <c r="O70" i="13"/>
  <c r="F71" i="13"/>
  <c r="G71" i="13"/>
  <c r="H71" i="13"/>
  <c r="I71" i="13"/>
  <c r="J71" i="13"/>
  <c r="K71" i="13"/>
  <c r="L71" i="13"/>
  <c r="M71" i="13"/>
  <c r="N71" i="13"/>
  <c r="O71" i="13"/>
  <c r="F72" i="13"/>
  <c r="G72" i="13"/>
  <c r="H72" i="13"/>
  <c r="I72" i="13"/>
  <c r="J72" i="13"/>
  <c r="K72" i="13"/>
  <c r="L72" i="13"/>
  <c r="M72" i="13"/>
  <c r="N72" i="13"/>
  <c r="O72" i="13"/>
  <c r="F73" i="13"/>
  <c r="G73" i="13"/>
  <c r="H73" i="13"/>
  <c r="I73" i="13"/>
  <c r="J73" i="13"/>
  <c r="K73" i="13"/>
  <c r="L73" i="13"/>
  <c r="M73" i="13"/>
  <c r="N73" i="13"/>
  <c r="O73" i="13"/>
  <c r="F74" i="13"/>
  <c r="G74" i="13"/>
  <c r="H74" i="13"/>
  <c r="I74" i="13"/>
  <c r="J74" i="13"/>
  <c r="K74" i="13"/>
  <c r="L74" i="13"/>
  <c r="M74" i="13"/>
  <c r="N74" i="13"/>
  <c r="O74" i="13"/>
  <c r="F75" i="13"/>
  <c r="G75" i="13"/>
  <c r="H75" i="13"/>
  <c r="I75" i="13"/>
  <c r="J75" i="13"/>
  <c r="K75" i="13"/>
  <c r="L75" i="13"/>
  <c r="M75" i="13"/>
  <c r="N75" i="13"/>
  <c r="O75" i="13"/>
  <c r="F76" i="13"/>
  <c r="G76" i="13"/>
  <c r="H76" i="13"/>
  <c r="I76" i="13"/>
  <c r="J76" i="13"/>
  <c r="K76" i="13"/>
  <c r="L76" i="13"/>
  <c r="M76" i="13"/>
  <c r="N76" i="13"/>
  <c r="O76" i="13"/>
  <c r="F77" i="13"/>
  <c r="G77" i="13"/>
  <c r="H77" i="13"/>
  <c r="I77" i="13"/>
  <c r="J77" i="13"/>
  <c r="K77" i="13"/>
  <c r="L77" i="13"/>
  <c r="M77" i="13"/>
  <c r="N77" i="13"/>
  <c r="O77" i="13"/>
  <c r="F78" i="13"/>
  <c r="G78" i="13"/>
  <c r="H78" i="13"/>
  <c r="I78" i="13"/>
  <c r="J78" i="13"/>
  <c r="K78" i="13"/>
  <c r="L78" i="13"/>
  <c r="M78" i="13"/>
  <c r="N78" i="13"/>
  <c r="O78" i="13"/>
  <c r="F79" i="13"/>
  <c r="G79" i="13"/>
  <c r="H79" i="13"/>
  <c r="I79" i="13"/>
  <c r="J79" i="13"/>
  <c r="K79" i="13"/>
  <c r="L79" i="13"/>
  <c r="M79" i="13"/>
  <c r="N79" i="13"/>
  <c r="O79" i="13"/>
  <c r="F80" i="13"/>
  <c r="G80" i="13"/>
  <c r="H80" i="13"/>
  <c r="I80" i="13"/>
  <c r="J80" i="13"/>
  <c r="K80" i="13"/>
  <c r="L80" i="13"/>
  <c r="M80" i="13"/>
  <c r="N80" i="13"/>
  <c r="O80" i="13"/>
  <c r="F81" i="13"/>
  <c r="G81" i="13"/>
  <c r="H81" i="13"/>
  <c r="I81" i="13"/>
  <c r="J81" i="13"/>
  <c r="K81" i="13"/>
  <c r="L81" i="13"/>
  <c r="M81" i="13"/>
  <c r="N81" i="13"/>
  <c r="O81" i="13"/>
  <c r="F82" i="13"/>
  <c r="G82" i="13"/>
  <c r="H82" i="13"/>
  <c r="I82" i="13"/>
  <c r="J82" i="13"/>
  <c r="K82" i="13"/>
  <c r="L82" i="13"/>
  <c r="M82" i="13"/>
  <c r="N82" i="13"/>
  <c r="O82" i="13"/>
  <c r="F83" i="13"/>
  <c r="G83" i="13"/>
  <c r="H83" i="13"/>
  <c r="I83" i="13"/>
  <c r="J83" i="13"/>
  <c r="K83" i="13"/>
  <c r="L83" i="13"/>
  <c r="M83" i="13"/>
  <c r="N83" i="13"/>
  <c r="O83" i="13"/>
  <c r="F84" i="13"/>
  <c r="G84" i="13"/>
  <c r="H84" i="13"/>
  <c r="I84" i="13"/>
  <c r="J84" i="13"/>
  <c r="K84" i="13"/>
  <c r="L84" i="13"/>
  <c r="M84" i="13"/>
  <c r="N84" i="13"/>
  <c r="O84" i="13"/>
  <c r="E85" i="10" l="1"/>
  <c r="G85" i="13" s="1"/>
  <c r="L63" i="1" l="1"/>
  <c r="M63" i="1" s="1"/>
  <c r="O85" i="10"/>
  <c r="M85" i="13" s="1"/>
  <c r="L85" i="10"/>
  <c r="K85" i="13" s="1"/>
  <c r="I85" i="10"/>
  <c r="N85" i="13" s="1"/>
  <c r="H85" i="10"/>
  <c r="H85" i="13" s="1"/>
  <c r="L60" i="1" l="1"/>
  <c r="E3" i="1"/>
  <c r="A1" i="13"/>
  <c r="R4" i="13" l="1"/>
  <c r="B5" i="13" l="1"/>
  <c r="G5" i="13"/>
  <c r="E5" i="13"/>
  <c r="O5" i="13"/>
  <c r="H5" i="13"/>
  <c r="N5" i="13"/>
  <c r="J5" i="13"/>
  <c r="I5" i="13"/>
  <c r="K5" i="13"/>
  <c r="L5" i="13"/>
  <c r="M5" i="13"/>
  <c r="A5" i="13"/>
  <c r="O2" i="13"/>
  <c r="N85" i="10"/>
  <c r="M85" i="10"/>
  <c r="L85" i="13" s="1"/>
  <c r="K85" i="10"/>
  <c r="I85" i="13" s="1"/>
  <c r="J85" i="10"/>
  <c r="J85" i="13" s="1"/>
  <c r="G85" i="10"/>
  <c r="O85" i="13" s="1"/>
  <c r="R2" i="13" l="1"/>
  <c r="R3" i="13"/>
  <c r="R6" i="13"/>
  <c r="R5" i="13"/>
  <c r="R1" i="13"/>
  <c r="AD1" i="13"/>
  <c r="Q5" i="10"/>
  <c r="Q84" i="10"/>
  <c r="F5" i="13" l="1"/>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Q67" i="10"/>
  <c r="Q68" i="10"/>
  <c r="Q69" i="10"/>
  <c r="Q70" i="10"/>
  <c r="Q71" i="10"/>
  <c r="Q72" i="10"/>
  <c r="Q73" i="10"/>
  <c r="Q74" i="10"/>
  <c r="Q75" i="10"/>
  <c r="Q76" i="10"/>
  <c r="Q77" i="10"/>
  <c r="Q78" i="10"/>
  <c r="Q79" i="10"/>
  <c r="Q80" i="10"/>
  <c r="Q81" i="10"/>
  <c r="Q82" i="10"/>
  <c r="Q83" i="10"/>
  <c r="Q7" i="10"/>
  <c r="F7" i="13" s="1"/>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6" i="10"/>
  <c r="F6" i="13" s="1"/>
  <c r="C5" i="9"/>
  <c r="C26" i="9"/>
  <c r="Q85" i="10" l="1"/>
  <c r="F85" i="13" s="1"/>
  <c r="Q2" i="10"/>
  <c r="C20" i="9"/>
  <c r="J1" i="11" l="1"/>
  <c r="J2" i="9"/>
  <c r="C19" i="9"/>
  <c r="G46" i="1" l="1"/>
  <c r="I82" i="1" l="1"/>
  <c r="F22" i="1" l="1"/>
  <c r="M28" i="1" l="1"/>
  <c r="E91" i="1" l="1"/>
  <c r="I71" i="6"/>
  <c r="H70" i="6"/>
  <c r="E92" i="1" l="1"/>
  <c r="D92" i="1"/>
  <c r="L87" i="10" s="1"/>
  <c r="D91" i="1"/>
  <c r="K87" i="13" l="1"/>
  <c r="L89" i="10"/>
  <c r="K89" i="13" s="1"/>
  <c r="M1" i="6"/>
  <c r="M67" i="1" l="1"/>
  <c r="D4" i="6" l="1"/>
  <c r="J2" i="7" l="1"/>
  <c r="L9" i="1" l="1"/>
  <c r="L39" i="1" l="1"/>
  <c r="A39" i="7" l="1"/>
  <c r="G97" i="1" s="1"/>
  <c r="L10" i="7" l="1"/>
  <c r="F10" i="7" s="1"/>
  <c r="L11" i="7"/>
  <c r="F11" i="7" s="1"/>
  <c r="M11" i="7" s="1"/>
  <c r="H11" i="7" s="1"/>
  <c r="L12" i="7"/>
  <c r="F12" i="7" s="1"/>
  <c r="M12" i="7" s="1"/>
  <c r="H12" i="7" s="1"/>
  <c r="L13" i="7"/>
  <c r="F13" i="7" s="1"/>
  <c r="M13" i="7" s="1"/>
  <c r="H13" i="7" s="1"/>
  <c r="L14" i="7"/>
  <c r="F14" i="7" s="1"/>
  <c r="M14" i="7" s="1"/>
  <c r="H14" i="7" s="1"/>
  <c r="L15" i="7"/>
  <c r="F15" i="7" s="1"/>
  <c r="M15" i="7" s="1"/>
  <c r="H15" i="7" s="1"/>
  <c r="L16" i="7"/>
  <c r="F16" i="7" s="1"/>
  <c r="M16" i="7" s="1"/>
  <c r="H16" i="7" s="1"/>
  <c r="L17" i="7"/>
  <c r="F17" i="7" s="1"/>
  <c r="M17" i="7" s="1"/>
  <c r="H17" i="7" s="1"/>
  <c r="L18" i="7"/>
  <c r="F18" i="7" s="1"/>
  <c r="M18" i="7" s="1"/>
  <c r="H18" i="7" s="1"/>
  <c r="L19" i="7"/>
  <c r="F19" i="7" s="1"/>
  <c r="M19" i="7" s="1"/>
  <c r="H19" i="7" s="1"/>
  <c r="L20" i="7"/>
  <c r="F20" i="7" s="1"/>
  <c r="M20" i="7" s="1"/>
  <c r="H20" i="7" s="1"/>
  <c r="L21" i="7"/>
  <c r="F21" i="7" s="1"/>
  <c r="M21" i="7" s="1"/>
  <c r="H21" i="7" s="1"/>
  <c r="L22" i="7"/>
  <c r="F22" i="7" s="1"/>
  <c r="M22" i="7" s="1"/>
  <c r="H22" i="7" s="1"/>
  <c r="L23" i="7"/>
  <c r="F23" i="7" s="1"/>
  <c r="M23" i="7" s="1"/>
  <c r="H23" i="7" s="1"/>
  <c r="L24" i="7"/>
  <c r="F24" i="7" s="1"/>
  <c r="M24" i="7" s="1"/>
  <c r="H24" i="7" s="1"/>
  <c r="L25" i="7"/>
  <c r="F25" i="7" s="1"/>
  <c r="M25" i="7" s="1"/>
  <c r="H25" i="7" s="1"/>
  <c r="L26" i="7"/>
  <c r="F26" i="7" s="1"/>
  <c r="M26" i="7" s="1"/>
  <c r="H26" i="7" s="1"/>
  <c r="L27" i="7"/>
  <c r="F27" i="7" s="1"/>
  <c r="M27" i="7" s="1"/>
  <c r="H27" i="7" s="1"/>
  <c r="L28" i="7"/>
  <c r="F28" i="7" s="1"/>
  <c r="M28" i="7" s="1"/>
  <c r="H28" i="7" s="1"/>
  <c r="L29" i="7"/>
  <c r="F29" i="7" s="1"/>
  <c r="M29" i="7" s="1"/>
  <c r="H29" i="7" s="1"/>
  <c r="L30" i="7"/>
  <c r="F30" i="7" s="1"/>
  <c r="M30" i="7" s="1"/>
  <c r="H30" i="7" s="1"/>
  <c r="L31" i="7"/>
  <c r="F31" i="7" s="1"/>
  <c r="M31" i="7" s="1"/>
  <c r="H31" i="7" s="1"/>
  <c r="L32" i="7"/>
  <c r="F32" i="7" s="1"/>
  <c r="M32" i="7" s="1"/>
  <c r="H32" i="7" s="1"/>
  <c r="L33" i="7"/>
  <c r="F33" i="7" s="1"/>
  <c r="M33" i="7" s="1"/>
  <c r="H33" i="7" s="1"/>
  <c r="L34" i="7"/>
  <c r="F34" i="7" s="1"/>
  <c r="M34" i="7" s="1"/>
  <c r="H34" i="7" s="1"/>
  <c r="L35" i="7"/>
  <c r="F35" i="7" s="1"/>
  <c r="M35" i="7" s="1"/>
  <c r="H35" i="7" s="1"/>
  <c r="L36" i="7"/>
  <c r="F36" i="7" s="1"/>
  <c r="M36" i="7" s="1"/>
  <c r="H36" i="7" s="1"/>
  <c r="B37" i="7"/>
  <c r="C37" i="7"/>
  <c r="D37" i="7"/>
  <c r="E37" i="7"/>
  <c r="E40" i="7"/>
  <c r="M10" i="7" l="1"/>
  <c r="H10" i="7" s="1"/>
  <c r="H37" i="7" s="1"/>
  <c r="D97" i="1" s="1"/>
  <c r="F37" i="7"/>
  <c r="H89" i="10" l="1"/>
  <c r="H89" i="13" s="1"/>
  <c r="H87" i="13"/>
  <c r="I66" i="1"/>
  <c r="O67" i="1" l="1"/>
  <c r="K71" i="6" l="1"/>
  <c r="O69" i="1" l="1"/>
  <c r="E70" i="1" s="1"/>
  <c r="N67" i="1" l="1"/>
  <c r="L5" i="1"/>
  <c r="F73" i="1" l="1"/>
  <c r="F72" i="1"/>
  <c r="F70" i="1"/>
  <c r="F69" i="1"/>
  <c r="L69" i="1" s="1"/>
  <c r="D70" i="1"/>
  <c r="B93" i="13" l="1"/>
  <c r="G73" i="1"/>
  <c r="G74" i="1" s="1"/>
  <c r="G64" i="1" l="1"/>
  <c r="E61" i="1" l="1"/>
  <c r="M68" i="6" l="1"/>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9" i="6"/>
  <c r="M10" i="6" s="1"/>
  <c r="C6" i="6"/>
  <c r="F5" i="6"/>
  <c r="L72" i="6" l="1"/>
  <c r="K74" i="6" s="1"/>
  <c r="M11" i="6"/>
  <c r="M69" i="6" s="1"/>
  <c r="M12" i="4"/>
  <c r="M13" i="4"/>
  <c r="M14" i="4"/>
  <c r="M15" i="4"/>
  <c r="H62" i="1" s="1"/>
  <c r="M16" i="4"/>
  <c r="M17" i="4"/>
  <c r="M18" i="4"/>
  <c r="M19" i="4"/>
  <c r="M20" i="4"/>
  <c r="M21" i="4"/>
  <c r="M22" i="4"/>
  <c r="M23" i="4"/>
  <c r="M24" i="4"/>
  <c r="M11" i="4"/>
  <c r="G72" i="6" l="1"/>
  <c r="K73" i="6"/>
  <c r="D90" i="1"/>
  <c r="D93" i="1" s="1"/>
  <c r="L61" i="1"/>
  <c r="M62" i="1" s="1"/>
  <c r="G62" i="1"/>
  <c r="F61" i="1"/>
  <c r="F72" i="6"/>
  <c r="E90" i="1" l="1"/>
  <c r="I62" i="1"/>
  <c r="L62" i="1"/>
  <c r="M9" i="1"/>
  <c r="G33" i="1" l="1"/>
  <c r="H32" i="1"/>
  <c r="O8" i="1"/>
  <c r="C17" i="1" l="1"/>
  <c r="C8" i="1" s="1"/>
  <c r="D5" i="6" l="1"/>
  <c r="D6" i="6" s="1"/>
  <c r="D73" i="1"/>
  <c r="L64" i="1"/>
  <c r="G7" i="1"/>
  <c r="E39" i="1" s="1"/>
  <c r="H64" i="1" l="1"/>
  <c r="C64" i="1" s="1"/>
  <c r="H33" i="1"/>
  <c r="I64" i="1" l="1"/>
  <c r="L67" i="1"/>
  <c r="B26" i="1"/>
  <c r="B25" i="1"/>
  <c r="B24" i="1"/>
  <c r="B23" i="1"/>
  <c r="B13" i="1"/>
  <c r="I67" i="1" l="1"/>
  <c r="M87" i="10"/>
  <c r="B16" i="1"/>
  <c r="B15" i="1"/>
  <c r="B14" i="1"/>
  <c r="M89" i="10" l="1"/>
  <c r="L89" i="13" s="1"/>
  <c r="L87" i="13"/>
  <c r="L19" i="1"/>
  <c r="J29" i="1" l="1"/>
  <c r="G28" i="1"/>
  <c r="J17" i="1" l="1"/>
  <c r="H31" i="14" s="1"/>
  <c r="I31" i="14" l="1"/>
  <c r="BD28" i="14"/>
  <c r="BD29" i="14" s="1"/>
  <c r="D40" i="14"/>
  <c r="G31" i="14"/>
  <c r="A3" i="4"/>
  <c r="A4" i="4"/>
  <c r="A5" i="4"/>
  <c r="A6" i="4"/>
  <c r="A7" i="4"/>
  <c r="A8" i="4"/>
  <c r="A9" i="4"/>
  <c r="A10" i="4"/>
  <c r="A11" i="4"/>
  <c r="A12" i="4"/>
  <c r="A13" i="4"/>
  <c r="A14" i="4"/>
  <c r="A15" i="4"/>
  <c r="A16" i="4"/>
  <c r="A17" i="4"/>
  <c r="A18" i="4"/>
  <c r="BD31" i="14" l="1"/>
  <c r="AC40" i="14" s="1"/>
  <c r="BD30" i="14"/>
  <c r="L33" i="1"/>
  <c r="F30" i="1"/>
  <c r="E28" i="1"/>
  <c r="F28" i="1"/>
  <c r="L56" i="1"/>
  <c r="S27" i="14" l="1"/>
  <c r="AF43" i="14"/>
  <c r="AB40" i="14"/>
  <c r="AF41" i="14"/>
  <c r="H73" i="1"/>
  <c r="H74" i="1" s="1"/>
  <c r="L35" i="1"/>
  <c r="E37" i="1"/>
  <c r="C33" i="1"/>
  <c r="L13" i="1"/>
  <c r="C22" i="1" s="1"/>
  <c r="L16" i="1" l="1"/>
  <c r="L15" i="1"/>
  <c r="L14" i="1"/>
  <c r="M13" i="1" s="1"/>
  <c r="M16" i="1"/>
  <c r="M14" i="1"/>
  <c r="M15" i="1" l="1"/>
  <c r="O15" i="1" s="1"/>
  <c r="O14" i="1"/>
  <c r="O13" i="1"/>
  <c r="O16" i="1" l="1"/>
  <c r="F26" i="1" l="1"/>
  <c r="F25" i="1"/>
  <c r="F24" i="1"/>
  <c r="E41" i="1" l="1"/>
  <c r="F41" i="1" s="1"/>
  <c r="D18" i="4"/>
  <c r="D17" i="4"/>
  <c r="D16" i="4"/>
  <c r="D15" i="4"/>
  <c r="D14" i="4"/>
  <c r="D13" i="4"/>
  <c r="D12" i="4"/>
  <c r="D11" i="4"/>
  <c r="D10" i="4"/>
  <c r="D9" i="4"/>
  <c r="D8" i="4"/>
  <c r="D7" i="4"/>
  <c r="D6" i="4"/>
  <c r="D5" i="4"/>
  <c r="D4" i="4"/>
  <c r="D3" i="4"/>
  <c r="J2" i="4"/>
  <c r="J3" i="4" s="1"/>
  <c r="J4" i="4" s="1"/>
  <c r="J5" i="4" s="1"/>
  <c r="J6" i="4" s="1"/>
  <c r="J7" i="4" s="1"/>
  <c r="J8" i="4" s="1"/>
  <c r="J9" i="4" s="1"/>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F2" i="4"/>
  <c r="F3" i="4" s="1"/>
  <c r="F4" i="4" s="1"/>
  <c r="F5" i="4" s="1"/>
  <c r="F6" i="4" s="1"/>
  <c r="F7" i="4" s="1"/>
  <c r="F8" i="4" s="1"/>
  <c r="F9" i="4" s="1"/>
  <c r="F10" i="4" s="1"/>
  <c r="F11" i="4" s="1"/>
  <c r="F12" i="4" s="1"/>
  <c r="F13" i="4" s="1"/>
  <c r="F14" i="4" s="1"/>
  <c r="F15" i="4" s="1"/>
  <c r="F16" i="4" s="1"/>
  <c r="F17" i="4" s="1"/>
  <c r="F18" i="4" s="1"/>
  <c r="F19" i="4" s="1"/>
  <c r="F20" i="4" s="1"/>
  <c r="F21" i="4" s="1"/>
  <c r="F22" i="4" s="1"/>
  <c r="F23" i="4" s="1"/>
  <c r="F24" i="4" s="1"/>
  <c r="F25" i="4" s="1"/>
  <c r="F26" i="4" s="1"/>
  <c r="F27" i="4" s="1"/>
  <c r="F28" i="4" s="1"/>
  <c r="F29" i="4" s="1"/>
  <c r="F30" i="4" s="1"/>
  <c r="F31" i="4" s="1"/>
  <c r="F32" i="4" s="1"/>
  <c r="F33" i="4" s="1"/>
  <c r="F34" i="4" s="1"/>
  <c r="F35" i="4" s="1"/>
  <c r="F36" i="4" s="1"/>
  <c r="F37" i="4" s="1"/>
  <c r="F38" i="4" s="1"/>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F66" i="4" s="1"/>
  <c r="F67" i="4" s="1"/>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F91" i="4" s="1"/>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F116" i="4" s="1"/>
  <c r="F117" i="4" s="1"/>
  <c r="F118" i="4" s="1"/>
  <c r="F119" i="4" s="1"/>
  <c r="F120" i="4" s="1"/>
  <c r="F121" i="4" s="1"/>
  <c r="F122" i="4" s="1"/>
  <c r="F123" i="4" s="1"/>
  <c r="F124" i="4" s="1"/>
  <c r="F125" i="4" s="1"/>
  <c r="F126" i="4" s="1"/>
  <c r="F127" i="4" s="1"/>
  <c r="F128" i="4" s="1"/>
  <c r="F129" i="4" s="1"/>
  <c r="F130" i="4" s="1"/>
  <c r="F131" i="4" s="1"/>
  <c r="F132" i="4" s="1"/>
  <c r="F133" i="4" s="1"/>
  <c r="F134" i="4" s="1"/>
  <c r="F135" i="4" s="1"/>
  <c r="F136" i="4" s="1"/>
  <c r="F137" i="4" s="1"/>
  <c r="F138" i="4" s="1"/>
  <c r="F139" i="4" s="1"/>
  <c r="F140" i="4" s="1"/>
  <c r="F141" i="4" s="1"/>
  <c r="F142" i="4" s="1"/>
  <c r="F143" i="4" s="1"/>
  <c r="F144" i="4" s="1"/>
  <c r="F145" i="4" s="1"/>
  <c r="F146" i="4" s="1"/>
  <c r="F147" i="4" s="1"/>
  <c r="F148" i="4" s="1"/>
  <c r="F149" i="4" s="1"/>
  <c r="F150" i="4" s="1"/>
  <c r="F151" i="4" s="1"/>
  <c r="F152" i="4" s="1"/>
  <c r="F153" i="4" s="1"/>
  <c r="F154" i="4" s="1"/>
  <c r="F155" i="4" s="1"/>
  <c r="F156" i="4" s="1"/>
  <c r="F157" i="4" s="1"/>
  <c r="F158" i="4" s="1"/>
  <c r="F159" i="4" s="1"/>
  <c r="F160" i="4" s="1"/>
  <c r="F161" i="4" s="1"/>
  <c r="F162" i="4" s="1"/>
  <c r="F163" i="4" s="1"/>
  <c r="F164" i="4" s="1"/>
  <c r="F165" i="4" s="1"/>
  <c r="F166" i="4" s="1"/>
  <c r="F167" i="4" s="1"/>
  <c r="F168" i="4" s="1"/>
  <c r="F169" i="4" s="1"/>
  <c r="F170" i="4" s="1"/>
  <c r="F171" i="4" s="1"/>
  <c r="F172" i="4" s="1"/>
  <c r="F173" i="4" s="1"/>
  <c r="F174" i="4" s="1"/>
  <c r="F175" i="4" s="1"/>
  <c r="F176" i="4" s="1"/>
  <c r="F177" i="4" s="1"/>
  <c r="F178" i="4" s="1"/>
  <c r="F179" i="4" s="1"/>
  <c r="F180" i="4" s="1"/>
  <c r="F181" i="4" s="1"/>
  <c r="F182" i="4" s="1"/>
  <c r="F183" i="4" s="1"/>
  <c r="F184" i="4" s="1"/>
  <c r="F185" i="4" s="1"/>
  <c r="F186" i="4" s="1"/>
  <c r="F187" i="4" s="1"/>
  <c r="F188" i="4" s="1"/>
  <c r="F189" i="4" s="1"/>
  <c r="F190" i="4" s="1"/>
  <c r="F191" i="4" s="1"/>
  <c r="F192" i="4" s="1"/>
  <c r="F193" i="4" s="1"/>
  <c r="F194" i="4" s="1"/>
  <c r="F195" i="4" s="1"/>
  <c r="F196" i="4" s="1"/>
  <c r="F197" i="4" s="1"/>
  <c r="F198" i="4" s="1"/>
  <c r="F199" i="4" s="1"/>
  <c r="F200" i="4" s="1"/>
  <c r="F201" i="4" s="1"/>
  <c r="F202" i="4" s="1"/>
  <c r="F203" i="4" s="1"/>
  <c r="F204" i="4" s="1"/>
  <c r="F205" i="4" s="1"/>
  <c r="F206" i="4" s="1"/>
  <c r="F207" i="4" s="1"/>
  <c r="F208" i="4" s="1"/>
  <c r="F209" i="4" s="1"/>
  <c r="F210" i="4" s="1"/>
  <c r="F211" i="4" s="1"/>
  <c r="F212" i="4" s="1"/>
  <c r="F213" i="4" s="1"/>
  <c r="F214" i="4" s="1"/>
  <c r="F215" i="4" s="1"/>
  <c r="F216" i="4" s="1"/>
  <c r="F217" i="4" s="1"/>
  <c r="F218" i="4" s="1"/>
  <c r="F219" i="4" s="1"/>
  <c r="F220" i="4" s="1"/>
  <c r="F221" i="4" s="1"/>
  <c r="F222" i="4" s="1"/>
  <c r="F223" i="4" s="1"/>
  <c r="F224" i="4" s="1"/>
  <c r="F225" i="4" s="1"/>
  <c r="F226" i="4" s="1"/>
  <c r="F227" i="4" s="1"/>
  <c r="F228" i="4" s="1"/>
  <c r="F229" i="4" s="1"/>
  <c r="F230" i="4" s="1"/>
  <c r="F231" i="4" s="1"/>
  <c r="F232" i="4" s="1"/>
  <c r="F233" i="4" s="1"/>
  <c r="F234" i="4" s="1"/>
  <c r="F235" i="4" s="1"/>
  <c r="F236" i="4" s="1"/>
  <c r="F237" i="4" s="1"/>
  <c r="F238" i="4" s="1"/>
  <c r="F239" i="4" s="1"/>
  <c r="F240" i="4" s="1"/>
  <c r="F241" i="4" s="1"/>
  <c r="F242" i="4" s="1"/>
  <c r="F243" i="4" s="1"/>
  <c r="F244" i="4" s="1"/>
  <c r="F245" i="4" s="1"/>
  <c r="F246" i="4" s="1"/>
  <c r="F247" i="4" s="1"/>
  <c r="F248" i="4" s="1"/>
  <c r="F249" i="4" s="1"/>
  <c r="F250" i="4" s="1"/>
  <c r="F251" i="4" s="1"/>
  <c r="F252" i="4" s="1"/>
  <c r="F253" i="4" s="1"/>
  <c r="F254" i="4" s="1"/>
  <c r="F255" i="4" s="1"/>
  <c r="F256" i="4" s="1"/>
  <c r="F257" i="4" s="1"/>
  <c r="F258" i="4" s="1"/>
  <c r="F259" i="4" s="1"/>
  <c r="F260" i="4" s="1"/>
  <c r="F261" i="4" s="1"/>
  <c r="F262" i="4" s="1"/>
  <c r="F263" i="4" s="1"/>
  <c r="F264" i="4" s="1"/>
  <c r="F265" i="4" s="1"/>
  <c r="F266" i="4" s="1"/>
  <c r="F267" i="4" s="1"/>
  <c r="F268" i="4" s="1"/>
  <c r="F269" i="4" s="1"/>
  <c r="F270" i="4" s="1"/>
  <c r="F271" i="4" s="1"/>
  <c r="F272" i="4" s="1"/>
  <c r="F273" i="4" s="1"/>
  <c r="F274" i="4" s="1"/>
  <c r="F275" i="4" s="1"/>
  <c r="F276" i="4" s="1"/>
  <c r="F277" i="4" s="1"/>
  <c r="F278" i="4" s="1"/>
  <c r="F279" i="4" s="1"/>
  <c r="F280" i="4" s="1"/>
  <c r="F281" i="4" s="1"/>
  <c r="F282" i="4" s="1"/>
  <c r="F283" i="4" s="1"/>
  <c r="F284" i="4" s="1"/>
  <c r="F285" i="4" s="1"/>
  <c r="F286" i="4" s="1"/>
  <c r="F287" i="4" s="1"/>
  <c r="F288" i="4" s="1"/>
  <c r="F289" i="4" s="1"/>
  <c r="F290" i="4" s="1"/>
  <c r="F291" i="4" s="1"/>
  <c r="F292" i="4" s="1"/>
  <c r="F293" i="4" s="1"/>
  <c r="F294" i="4" s="1"/>
  <c r="F295" i="4" s="1"/>
  <c r="F296" i="4" s="1"/>
  <c r="F297" i="4" s="1"/>
  <c r="F298" i="4" s="1"/>
  <c r="F299" i="4" s="1"/>
  <c r="F300" i="4" s="1"/>
  <c r="F301" i="4" s="1"/>
  <c r="F302" i="4" s="1"/>
  <c r="F303" i="4" s="1"/>
  <c r="F304" i="4" s="1"/>
  <c r="F305" i="4" s="1"/>
  <c r="F306" i="4" s="1"/>
  <c r="F307" i="4" s="1"/>
  <c r="F308" i="4" s="1"/>
  <c r="F309" i="4" s="1"/>
  <c r="F310" i="4" s="1"/>
  <c r="F311" i="4" s="1"/>
  <c r="F312" i="4" s="1"/>
  <c r="F313" i="4" s="1"/>
  <c r="F314" i="4" s="1"/>
  <c r="F315" i="4" s="1"/>
  <c r="F316" i="4" s="1"/>
  <c r="F317" i="4" s="1"/>
  <c r="F318" i="4" s="1"/>
  <c r="F319" i="4" s="1"/>
  <c r="F320" i="4" s="1"/>
  <c r="F321" i="4" s="1"/>
  <c r="F322" i="4" s="1"/>
  <c r="F323" i="4" s="1"/>
  <c r="F324" i="4" s="1"/>
  <c r="F325" i="4" s="1"/>
  <c r="F326" i="4" s="1"/>
  <c r="F327" i="4" s="1"/>
  <c r="F328" i="4" s="1"/>
  <c r="F329" i="4" s="1"/>
  <c r="F330" i="4" s="1"/>
  <c r="F331" i="4" s="1"/>
  <c r="F332" i="4" s="1"/>
  <c r="F333" i="4" s="1"/>
  <c r="F334" i="4" s="1"/>
  <c r="F335" i="4" s="1"/>
  <c r="F336" i="4" s="1"/>
  <c r="F337" i="4" s="1"/>
  <c r="F338" i="4" s="1"/>
  <c r="F339" i="4" s="1"/>
  <c r="F340" i="4" s="1"/>
  <c r="F341" i="4" s="1"/>
  <c r="F342" i="4" s="1"/>
  <c r="F343" i="4" s="1"/>
  <c r="F344" i="4" s="1"/>
  <c r="F345" i="4" s="1"/>
  <c r="F346" i="4" s="1"/>
  <c r="F347" i="4" s="1"/>
  <c r="F348" i="4" s="1"/>
  <c r="F349" i="4" s="1"/>
  <c r="F350" i="4" s="1"/>
  <c r="F351" i="4" s="1"/>
  <c r="F352" i="4" s="1"/>
  <c r="F353" i="4" s="1"/>
  <c r="F354" i="4" s="1"/>
  <c r="F355" i="4" s="1"/>
  <c r="F356" i="4" s="1"/>
  <c r="F357" i="4" s="1"/>
  <c r="F358" i="4" s="1"/>
  <c r="F359" i="4" s="1"/>
  <c r="F360" i="4" s="1"/>
  <c r="F361" i="4" s="1"/>
  <c r="F362" i="4" s="1"/>
  <c r="F363" i="4" s="1"/>
  <c r="F364" i="4" s="1"/>
  <c r="F365" i="4" s="1"/>
  <c r="F366" i="4" s="1"/>
  <c r="F367" i="4" s="1"/>
  <c r="F368" i="4" s="1"/>
  <c r="F369" i="4" s="1"/>
  <c r="F370" i="4" s="1"/>
  <c r="F371" i="4" s="1"/>
  <c r="F372" i="4" s="1"/>
  <c r="F373" i="4" s="1"/>
  <c r="F374" i="4" s="1"/>
  <c r="F375" i="4" s="1"/>
  <c r="F376" i="4" s="1"/>
  <c r="F377" i="4" s="1"/>
  <c r="F378" i="4" s="1"/>
  <c r="F379" i="4" s="1"/>
  <c r="F380" i="4" s="1"/>
  <c r="F381" i="4" s="1"/>
  <c r="F382" i="4" s="1"/>
  <c r="F383" i="4" s="1"/>
  <c r="F384" i="4" s="1"/>
  <c r="F385" i="4" s="1"/>
  <c r="F386" i="4" s="1"/>
  <c r="F387" i="4" s="1"/>
  <c r="F388" i="4" s="1"/>
  <c r="F389" i="4" s="1"/>
  <c r="F390" i="4" s="1"/>
  <c r="F391" i="4" s="1"/>
  <c r="F392" i="4" s="1"/>
  <c r="F393" i="4" s="1"/>
  <c r="F394" i="4" s="1"/>
  <c r="F395" i="4" s="1"/>
  <c r="F396" i="4" s="1"/>
  <c r="F397" i="4" s="1"/>
  <c r="F398" i="4" s="1"/>
  <c r="F399" i="4" s="1"/>
  <c r="F400" i="4" s="1"/>
  <c r="F401" i="4" s="1"/>
  <c r="F402" i="4" s="1"/>
  <c r="F403" i="4" s="1"/>
  <c r="F404" i="4" s="1"/>
  <c r="F405" i="4" s="1"/>
  <c r="F406" i="4" s="1"/>
  <c r="F407" i="4" s="1"/>
  <c r="F408" i="4" s="1"/>
  <c r="F409" i="4" s="1"/>
  <c r="F410" i="4" s="1"/>
  <c r="F411" i="4" s="1"/>
  <c r="F412" i="4" s="1"/>
  <c r="F413" i="4" s="1"/>
  <c r="F414" i="4" s="1"/>
  <c r="F415" i="4" s="1"/>
  <c r="F416" i="4" s="1"/>
  <c r="F417" i="4" s="1"/>
  <c r="F418" i="4" s="1"/>
  <c r="F419" i="4" s="1"/>
  <c r="F420" i="4" s="1"/>
  <c r="F421" i="4" s="1"/>
  <c r="F422" i="4" s="1"/>
  <c r="F423" i="4" s="1"/>
  <c r="F424" i="4" s="1"/>
  <c r="F425" i="4" s="1"/>
  <c r="F426" i="4" s="1"/>
  <c r="F427" i="4" s="1"/>
  <c r="F428" i="4" s="1"/>
  <c r="F429" i="4" s="1"/>
  <c r="F430" i="4" s="1"/>
  <c r="F431" i="4" s="1"/>
  <c r="F432" i="4" s="1"/>
  <c r="F433" i="4" s="1"/>
  <c r="F434" i="4" s="1"/>
  <c r="F435" i="4" s="1"/>
  <c r="F436" i="4" s="1"/>
  <c r="F437" i="4" s="1"/>
  <c r="F438" i="4" s="1"/>
  <c r="F439" i="4" s="1"/>
  <c r="F440" i="4" s="1"/>
  <c r="F441" i="4" s="1"/>
  <c r="F442" i="4" s="1"/>
  <c r="F443" i="4" s="1"/>
  <c r="F444" i="4" s="1"/>
  <c r="F445" i="4" s="1"/>
  <c r="F446" i="4" s="1"/>
  <c r="F447" i="4" s="1"/>
  <c r="F448" i="4" s="1"/>
  <c r="F449" i="4" s="1"/>
  <c r="F450" i="4" s="1"/>
  <c r="F451" i="4" s="1"/>
  <c r="F452" i="4" s="1"/>
  <c r="F453" i="4" s="1"/>
  <c r="F454" i="4" s="1"/>
  <c r="F455" i="4" s="1"/>
  <c r="F456" i="4" s="1"/>
  <c r="F457" i="4" s="1"/>
  <c r="F458" i="4" s="1"/>
  <c r="F459" i="4" s="1"/>
  <c r="F460" i="4" s="1"/>
  <c r="F461" i="4" s="1"/>
  <c r="F462" i="4" s="1"/>
  <c r="F463" i="4" s="1"/>
  <c r="F464" i="4" s="1"/>
  <c r="F465" i="4" s="1"/>
  <c r="F466" i="4" s="1"/>
  <c r="F467" i="4" s="1"/>
  <c r="F468" i="4" s="1"/>
  <c r="F469" i="4" s="1"/>
  <c r="F470" i="4" s="1"/>
  <c r="G17" i="1" l="1"/>
  <c r="E51" i="1"/>
  <c r="K31" i="14" s="1"/>
  <c r="F17" i="1"/>
  <c r="J73" i="1" s="1"/>
  <c r="E17" i="1"/>
  <c r="E33" i="1" s="1"/>
  <c r="E34" i="1" s="1"/>
  <c r="D17" i="1"/>
  <c r="D33" i="1" s="1"/>
  <c r="A40" i="14" l="1"/>
  <c r="L31" i="14"/>
  <c r="F51" i="1"/>
  <c r="L17" i="1"/>
  <c r="E36" i="1"/>
  <c r="C41" i="14" l="1"/>
  <c r="D41" i="14" s="1"/>
  <c r="E41" i="14"/>
  <c r="H40" i="14"/>
  <c r="D34" i="1"/>
  <c r="N14" i="1"/>
  <c r="C24" i="1" s="1"/>
  <c r="N16" i="1"/>
  <c r="C26" i="1" s="1"/>
  <c r="N15" i="1"/>
  <c r="C25" i="1" s="1"/>
  <c r="N13" i="1"/>
  <c r="C23" i="1" s="1"/>
  <c r="B34" i="1"/>
  <c r="S40" i="14" l="1"/>
  <c r="AO27" i="14"/>
  <c r="AP27" i="14" s="1"/>
  <c r="C7" i="1"/>
  <c r="R1" i="14" l="1"/>
  <c r="A2" i="10"/>
  <c r="A2" i="13" s="1"/>
  <c r="AR27" i="14"/>
  <c r="AQ27" i="14"/>
  <c r="C2" i="9"/>
  <c r="A1" i="11"/>
  <c r="L1" i="6"/>
  <c r="A3" i="7"/>
  <c r="G3" i="7" s="1"/>
  <c r="I5" i="1"/>
  <c r="H7" i="1"/>
  <c r="F1" i="2" l="1"/>
  <c r="D1" i="2"/>
  <c r="L52" i="1" l="1"/>
  <c r="J49" i="1"/>
  <c r="E40" i="1" l="1"/>
  <c r="E44" i="1" s="1"/>
  <c r="L38" i="1"/>
  <c r="C28" i="1" s="1"/>
  <c r="L28" i="1" l="1"/>
  <c r="L29" i="1" s="1"/>
  <c r="J92" i="13"/>
  <c r="D29" i="1"/>
  <c r="E30" i="1" s="1"/>
  <c r="J94" i="13" l="1"/>
  <c r="J93" i="13"/>
  <c r="BD39" i="14"/>
  <c r="Z42" i="14" s="1"/>
  <c r="E87" i="10"/>
  <c r="L70" i="1"/>
  <c r="C74" i="1" s="1"/>
  <c r="M29" i="1"/>
  <c r="L48" i="1" s="1"/>
  <c r="C29" i="1"/>
  <c r="E73" i="1"/>
  <c r="M9" i="7"/>
  <c r="B92" i="13" l="1"/>
  <c r="B94" i="13"/>
  <c r="G47" i="1"/>
  <c r="F47" i="1"/>
  <c r="M7" i="7"/>
  <c r="L7" i="7" s="1"/>
  <c r="K7" i="7" s="1"/>
  <c r="K11" i="7" s="1"/>
  <c r="K10" i="7"/>
  <c r="J75" i="1"/>
  <c r="J74" i="1"/>
  <c r="J76" i="1" s="1"/>
  <c r="R73" i="1"/>
  <c r="E89" i="10"/>
  <c r="G89" i="13" s="1"/>
  <c r="G87" i="13"/>
  <c r="C92" i="13" l="1"/>
  <c r="O92" i="13"/>
  <c r="G87" i="10"/>
  <c r="F48" i="1"/>
  <c r="E47" i="1"/>
  <c r="E53" i="1" s="1"/>
  <c r="O87" i="13" l="1"/>
  <c r="G89" i="10"/>
  <c r="O89" i="13" s="1"/>
</calcChain>
</file>

<file path=xl/comments1.xml><?xml version="1.0" encoding="utf-8"?>
<comments xmlns="http://schemas.openxmlformats.org/spreadsheetml/2006/main">
  <authors>
    <author>Flatz Johannes</author>
    <author>Flatz</author>
  </authors>
  <commentList>
    <comment ref="T6" authorId="0" shapeId="0">
      <text>
        <r>
          <rPr>
            <sz val="9"/>
            <color indexed="81"/>
            <rFont val="Tahoma"/>
            <family val="2"/>
          </rPr>
          <t>Diese Abstufungen stehen im Zusammenhang mit den 
schulautonomen Gestaltungsmöglichkeiten der Schülerbetreuung</t>
        </r>
      </text>
    </comment>
    <comment ref="A40" authorId="1" shapeId="0">
      <text>
        <r>
          <rPr>
            <sz val="9"/>
            <color indexed="81"/>
            <rFont val="Segoe UI"/>
            <family val="2"/>
          </rPr>
          <t>Hier werden Stunden angezeigt, nachdem 
zuvor im Blatt "Konti VS" in den Zellen j12 
bis j16 die Klassen eingetragen wurden.
Zu beachten:  Genehmigung bei BilDi 
muss eingeholt sein/werden!</t>
        </r>
      </text>
    </comment>
  </commentList>
</comments>
</file>

<file path=xl/sharedStrings.xml><?xml version="1.0" encoding="utf-8"?>
<sst xmlns="http://schemas.openxmlformats.org/spreadsheetml/2006/main" count="2947" uniqueCount="997">
  <si>
    <t>SKZ</t>
  </si>
  <si>
    <t>Schulname</t>
  </si>
  <si>
    <t>CI</t>
  </si>
  <si>
    <t>CI-Klasse</t>
  </si>
  <si>
    <t>Schulstufe</t>
  </si>
  <si>
    <t>zusammen</t>
  </si>
  <si>
    <t>Köpfe</t>
  </si>
  <si>
    <t>ao-u</t>
  </si>
  <si>
    <t>ao-m</t>
  </si>
  <si>
    <t>SPF</t>
  </si>
  <si>
    <t>CI  für VS u. MS</t>
  </si>
  <si>
    <t>Schuljahr</t>
  </si>
  <si>
    <t>SKZ_BEZEICHNUNG</t>
  </si>
  <si>
    <t>schueler
_anzahl</t>
  </si>
  <si>
    <t>CIklasse</t>
  </si>
  <si>
    <t>schulart
_modus</t>
  </si>
  <si>
    <t>erhalter</t>
  </si>
  <si>
    <t>2018/19</t>
  </si>
  <si>
    <t>öffentlich</t>
  </si>
  <si>
    <t>Bartholomäberg</t>
  </si>
  <si>
    <t>Volksschule</t>
  </si>
  <si>
    <t>niedrig</t>
  </si>
  <si>
    <t>Volksschule Bartholomäberg-Gantschier</t>
  </si>
  <si>
    <t>mittel</t>
  </si>
  <si>
    <t>Bludenz</t>
  </si>
  <si>
    <t>Neue Mittelschule Bludenz-Ost (Wichner-Schule)</t>
  </si>
  <si>
    <t>sehr hoch</t>
  </si>
  <si>
    <t>NMS</t>
  </si>
  <si>
    <t>Nenzing</t>
  </si>
  <si>
    <t>Neue Mittelschule</t>
  </si>
  <si>
    <t>Schruns</t>
  </si>
  <si>
    <t>Neue Mittelschule Schruns-Dorf</t>
  </si>
  <si>
    <t>Blons</t>
  </si>
  <si>
    <t>Thüringen</t>
  </si>
  <si>
    <t>Nüziders</t>
  </si>
  <si>
    <t>Volksschule - Mitte</t>
  </si>
  <si>
    <t>Sankt Gallenkirch-Gortipohl</t>
  </si>
  <si>
    <t>Neue Mittelschule Innermontafon</t>
  </si>
  <si>
    <t>Volksschule - Obdorf</t>
  </si>
  <si>
    <t>Lech</t>
  </si>
  <si>
    <t>Volksschule - St.Peter</t>
  </si>
  <si>
    <t>Braz</t>
  </si>
  <si>
    <t>Neue Mittelschule Klostertal</t>
  </si>
  <si>
    <t>Neue Mittelschule Grüt</t>
  </si>
  <si>
    <t>Volksschule - Bings</t>
  </si>
  <si>
    <t>Bürs</t>
  </si>
  <si>
    <t>Bludesch</t>
  </si>
  <si>
    <t>hoch</t>
  </si>
  <si>
    <t>Neue Mittelschule Großes Walsertal</t>
  </si>
  <si>
    <t>Brand bei Bludenz</t>
  </si>
  <si>
    <t>Volksschule Brand</t>
  </si>
  <si>
    <t>Ludesch</t>
  </si>
  <si>
    <t>NMS Ludesch-Oberland</t>
  </si>
  <si>
    <t>privat</t>
  </si>
  <si>
    <t>Bürserberg</t>
  </si>
  <si>
    <t>Dalaas</t>
  </si>
  <si>
    <t>Volksschule Wald</t>
  </si>
  <si>
    <t>Fontanella, Vorarlberg</t>
  </si>
  <si>
    <t>Gaschurn</t>
  </si>
  <si>
    <t>Partenen</t>
  </si>
  <si>
    <t>Klösterle</t>
  </si>
  <si>
    <t>Volksschule Lorüns</t>
  </si>
  <si>
    <t>Gurtis</t>
  </si>
  <si>
    <t>Nenzing-Halden</t>
  </si>
  <si>
    <t>Raggal</t>
  </si>
  <si>
    <t>Sankt Anton im Montafon</t>
  </si>
  <si>
    <t>Sankt Gallenkirch</t>
  </si>
  <si>
    <t>Volksschule Gortipohl</t>
  </si>
  <si>
    <t>St. Gerold</t>
  </si>
  <si>
    <t>Silbertal</t>
  </si>
  <si>
    <t>Sonntag</t>
  </si>
  <si>
    <t>Thüringerberg</t>
  </si>
  <si>
    <t>Tschagguns</t>
  </si>
  <si>
    <t>Vandans</t>
  </si>
  <si>
    <t>Volksschule Galgenul</t>
  </si>
  <si>
    <t>Private katholische Volksschule Oberland des Schulträgervereins Marienberg in Bregenz</t>
  </si>
  <si>
    <t>Katholische Privatschule "Sonnengarten-Schule der Vielfalt" des Schulträgervereins Marienberg in Bregenz</t>
  </si>
  <si>
    <t>Statutschule</t>
  </si>
  <si>
    <t>Bregenz</t>
  </si>
  <si>
    <t>Volksschule - Schillerstr.</t>
  </si>
  <si>
    <t>Neue Mittelschule Bregenz-Stadt</t>
  </si>
  <si>
    <t>Volksschule Augasse</t>
  </si>
  <si>
    <t>NMS Marienberg</t>
  </si>
  <si>
    <t>Neue Mittelschule "Bregenz-Schendlingen"</t>
  </si>
  <si>
    <t>Volksschule Rieden</t>
  </si>
  <si>
    <t>Neue Mittelschule Bregenz-Rieden</t>
  </si>
  <si>
    <t>Volksschule Schendlingen</t>
  </si>
  <si>
    <t>Alberschwende</t>
  </si>
  <si>
    <t>Volksschule Fluh</t>
  </si>
  <si>
    <t>Au, Bregenzerwald</t>
  </si>
  <si>
    <t>Private Volksschule Bregenz-Riedenburg des Schulvereins Sacre Coeur Riedenburg</t>
  </si>
  <si>
    <t>Bezau</t>
  </si>
  <si>
    <t>Egg, Vorarlberg</t>
  </si>
  <si>
    <t>Volksschule Dresseln</t>
  </si>
  <si>
    <t>Hard</t>
  </si>
  <si>
    <t>Neue Mittelschule SaS</t>
  </si>
  <si>
    <t>Volksschule Fischbach</t>
  </si>
  <si>
    <t>Höchst, Vorarlberg</t>
  </si>
  <si>
    <t>Volksschule Müselbach</t>
  </si>
  <si>
    <t>Hörbranz</t>
  </si>
  <si>
    <t>Andelsbuch</t>
  </si>
  <si>
    <t>Riezlern, Kleinwalsertal</t>
  </si>
  <si>
    <t>Neue Mittelschule und Sonderschule</t>
  </si>
  <si>
    <t>Volksschule Bersbuch</t>
  </si>
  <si>
    <t>Lauterach</t>
  </si>
  <si>
    <t>Lingenau, Vorarlberg</t>
  </si>
  <si>
    <t>Lochau, Vorarlberg</t>
  </si>
  <si>
    <t>Schwarzach, Vorarlberg</t>
  </si>
  <si>
    <t>Wolfurt</t>
  </si>
  <si>
    <t>Doren</t>
  </si>
  <si>
    <t>Hard, Vorarlberg</t>
  </si>
  <si>
    <t>Neue Mittelschule Mittelweiherburg</t>
  </si>
  <si>
    <t>Bizau</t>
  </si>
  <si>
    <t>Buch</t>
  </si>
  <si>
    <t>Schwarzach</t>
  </si>
  <si>
    <t>Damüls</t>
  </si>
  <si>
    <t>Hittisau</t>
  </si>
  <si>
    <t>Volksschule Doren</t>
  </si>
  <si>
    <t>Volksschule Großdorf</t>
  </si>
  <si>
    <t>Eichenberg</t>
  </si>
  <si>
    <t>Fußach</t>
  </si>
  <si>
    <t>Gaissau</t>
  </si>
  <si>
    <t>Volksschule Hard-Markt</t>
  </si>
  <si>
    <t>Volksschule Mittelweiherburg</t>
  </si>
  <si>
    <t>Volksschule Unterdorf</t>
  </si>
  <si>
    <t>Hohenweiler</t>
  </si>
  <si>
    <t>Kennelbach</t>
  </si>
  <si>
    <t>Krumbach, Bregenzerwald</t>
  </si>
  <si>
    <t>Langen bei Bregenz</t>
  </si>
  <si>
    <t>Langenegg</t>
  </si>
  <si>
    <t>Volksschule Dorf</t>
  </si>
  <si>
    <t>Volksschule Unterfeld</t>
  </si>
  <si>
    <t>Mellau</t>
  </si>
  <si>
    <t>Mittelberg, Kleinwalsertal</t>
  </si>
  <si>
    <t>Hirschegg, Kleinwalsertal</t>
  </si>
  <si>
    <t>Bregenz/Möggers</t>
  </si>
  <si>
    <t>Reuthe</t>
  </si>
  <si>
    <t>Riefensberg</t>
  </si>
  <si>
    <t>Schnepfau</t>
  </si>
  <si>
    <t>Schoppernau</t>
  </si>
  <si>
    <t>Schröcken</t>
  </si>
  <si>
    <t>Schwarzenberg, Bregenzerwald</t>
  </si>
  <si>
    <t>Sibratsgfäll</t>
  </si>
  <si>
    <t>Sulzberg, Vorarlberg</t>
  </si>
  <si>
    <t>Volksschule Thal</t>
  </si>
  <si>
    <t>Volksschule "Mähdle"</t>
  </si>
  <si>
    <t>Volksschule Weidach</t>
  </si>
  <si>
    <t>Höchst</t>
  </si>
  <si>
    <t>Privatschule "Schulstube" des Schulträgervereins Marienberg in Bregenz</t>
  </si>
  <si>
    <t>Private katholische Volksschule Marienberg des Schulträgervereins Marienberg in Bregenz</t>
  </si>
  <si>
    <t>Private Volksschule der Zisterzienser des röm. kath. Zisterzienserklosters Wettingen-Mehrerau</t>
  </si>
  <si>
    <t>Dornbirn</t>
  </si>
  <si>
    <t>Volksschule Edlach</t>
  </si>
  <si>
    <t>Dornbirn-Markt</t>
  </si>
  <si>
    <t>Neue Mittelschule Markt</t>
  </si>
  <si>
    <t>Volksschule Markt, Schulgasse</t>
  </si>
  <si>
    <t>Neue Musikmittelschule Bergmanngasse</t>
  </si>
  <si>
    <t>Volksschule Rohrbach</t>
  </si>
  <si>
    <t>Hohenems</t>
  </si>
  <si>
    <t>Dornbirn-Hatlerdorf</t>
  </si>
  <si>
    <t>Volksschule - Leopold</t>
  </si>
  <si>
    <t>Lustenau</t>
  </si>
  <si>
    <t>Neue Mittelschule, Kirchdorf</t>
  </si>
  <si>
    <t>Volksschule Mittelfeld</t>
  </si>
  <si>
    <t>Lustenau-Rheindorf</t>
  </si>
  <si>
    <t>Neue Mittelschule Rheindorf</t>
  </si>
  <si>
    <t>Volksschule Schoren</t>
  </si>
  <si>
    <t>Neue Mittelschule Baumgarten</t>
  </si>
  <si>
    <t>Volksschule Oberdorf</t>
  </si>
  <si>
    <t>Neue Mittelschule Lustenauerstr</t>
  </si>
  <si>
    <t>Volksschule Haselstauden</t>
  </si>
  <si>
    <t>Neue Mittelschule Herrenried</t>
  </si>
  <si>
    <t>Neue Mittelschule Haselstauden</t>
  </si>
  <si>
    <t>Volksschule Gütle</t>
  </si>
  <si>
    <t>Neue Mittelschule Hasenfeld</t>
  </si>
  <si>
    <t>Volksschule Heiligereute</t>
  </si>
  <si>
    <t>Volksschule Kehlegg</t>
  </si>
  <si>
    <t>VS Watzenegg</t>
  </si>
  <si>
    <t>Volksschule Winsau</t>
  </si>
  <si>
    <t>Volksschule Markt</t>
  </si>
  <si>
    <t>Volksschule Herrenried</t>
  </si>
  <si>
    <t>Volksschule Reute</t>
  </si>
  <si>
    <t>Volksschule Hasenfeld</t>
  </si>
  <si>
    <t>Volksschule Krirchdorf</t>
  </si>
  <si>
    <t>Volksschule Rheindorf</t>
  </si>
  <si>
    <t>Volksschule Rotkreuz</t>
  </si>
  <si>
    <t>Volksschule Wallenmahd</t>
  </si>
  <si>
    <t>VS Schwefel</t>
  </si>
  <si>
    <t>VS Dornbirn-Fischbach/Forach</t>
  </si>
  <si>
    <t>Altach</t>
  </si>
  <si>
    <t>Satteins</t>
  </si>
  <si>
    <t>Feldkirch-Gisingen</t>
  </si>
  <si>
    <t>Feldkirch</t>
  </si>
  <si>
    <t>Neue Mittelschule Levis</t>
  </si>
  <si>
    <t>Volksschule Fidelis</t>
  </si>
  <si>
    <t>Götzis</t>
  </si>
  <si>
    <t>Feldkirch-Altenstadt</t>
  </si>
  <si>
    <t>Rankweil</t>
  </si>
  <si>
    <t>Neue Mittelschule Rankweil-West</t>
  </si>
  <si>
    <t>Volksschule Oberau</t>
  </si>
  <si>
    <t>Zwischenwasser</t>
  </si>
  <si>
    <t>Volksschule Nofels</t>
  </si>
  <si>
    <t>Private "Neue Mittelschule" des Schulträgervereins der Kreuzschwestern - Institut St. Josef</t>
  </si>
  <si>
    <t>Feldkirch-Tisis</t>
  </si>
  <si>
    <t>Volksschule Tosters</t>
  </si>
  <si>
    <t>Frastanz</t>
  </si>
  <si>
    <t>Weiler-Klaus</t>
  </si>
  <si>
    <t>Sulz</t>
  </si>
  <si>
    <t>Neue Mittelschule Sulz-Röthis</t>
  </si>
  <si>
    <t>Volksschule Fellengatter</t>
  </si>
  <si>
    <t>Fraxern</t>
  </si>
  <si>
    <t>Neue Mittelschule Rankweil-Ost</t>
  </si>
  <si>
    <t>Göfis</t>
  </si>
  <si>
    <t>Volksschule "Göfis-Kirchdorf"</t>
  </si>
  <si>
    <t>Koblach</t>
  </si>
  <si>
    <t>Mäder</t>
  </si>
  <si>
    <t>Volksschule Berg</t>
  </si>
  <si>
    <t>Klaus</t>
  </si>
  <si>
    <t>Laterns</t>
  </si>
  <si>
    <t>Meiningen, Vorarlberg</t>
  </si>
  <si>
    <t>Volksschule Brederis</t>
  </si>
  <si>
    <t>Röns</t>
  </si>
  <si>
    <t>Sulz-Röthis</t>
  </si>
  <si>
    <t>Schlins</t>
  </si>
  <si>
    <t>Schnifis</t>
  </si>
  <si>
    <t>Übersaxen</t>
  </si>
  <si>
    <t>Viktorsberg</t>
  </si>
  <si>
    <t>Weiler</t>
  </si>
  <si>
    <t>Zwischenwasser-Batschuns</t>
  </si>
  <si>
    <t>Volksschule Batschuns</t>
  </si>
  <si>
    <t>Volksschule Muntlix</t>
  </si>
  <si>
    <t>Volksschule Blattur</t>
  </si>
  <si>
    <t>Entdeckerschule - Priv. konf. Volksschule m. VS-Oberst. "d. FKÖ d. Schulvereins Wertvoll - Verein z. Förd. christl. Erzieh. u. Bildung"</t>
  </si>
  <si>
    <t>Volksschule Montfort</t>
  </si>
  <si>
    <t>Private Volksschule und Neue Mittelschule des Trägervereins Freie Montessori Schule Altach</t>
  </si>
  <si>
    <t>Zwischenwasser-Dafins</t>
  </si>
  <si>
    <t>Private Volks- und Neue Mittelschule ELIA des Kinderförderungsvereins der S.T. Adventisten</t>
  </si>
  <si>
    <t>Private Volksschule "LernArt - Lernen leicht gemacht" - der Frau Sonja Walser</t>
  </si>
  <si>
    <t>Private Familienschule Rheintal des Vereins "Familienschule Rheintal"</t>
  </si>
  <si>
    <t>Private Volksschule mit Oberstufe des Werkes der Frohbotschaft Batschuns "Schule für Hör- und Sprachbildung"</t>
  </si>
  <si>
    <t>Sonderschule</t>
  </si>
  <si>
    <t>Allgemeine Sonderschule</t>
  </si>
  <si>
    <t>Private Volksschule, Neue Mittelschule und Sonderschule des Werks der Frohbotschaft Batschuns</t>
  </si>
  <si>
    <t>Landessonderschule "Heilpädagogische Landesschule Jupident"</t>
  </si>
  <si>
    <t>spf</t>
  </si>
  <si>
    <t xml:space="preserve"> 0 - 10</t>
  </si>
  <si>
    <t xml:space="preserve"> 11 - 19</t>
  </si>
  <si>
    <t xml:space="preserve"> 20 - 29</t>
  </si>
  <si>
    <t xml:space="preserve"> 30 - 39</t>
  </si>
  <si>
    <t xml:space="preserve"> 40 - 49</t>
  </si>
  <si>
    <t xml:space="preserve"> 50 - 59</t>
  </si>
  <si>
    <t xml:space="preserve"> 60 - 69</t>
  </si>
  <si>
    <t xml:space="preserve"> 70 - 79</t>
  </si>
  <si>
    <t xml:space="preserve"> 80 - 89</t>
  </si>
  <si>
    <t xml:space="preserve"> 90 - 99</t>
  </si>
  <si>
    <t xml:space="preserve"> 100 - 109</t>
  </si>
  <si>
    <t xml:space="preserve"> 110 - 119</t>
  </si>
  <si>
    <t xml:space="preserve"> 120 - 129</t>
  </si>
  <si>
    <t xml:space="preserve"> 130 - 139</t>
  </si>
  <si>
    <t xml:space="preserve"> 140 - 149</t>
  </si>
  <si>
    <t xml:space="preserve"> 150 - 159</t>
  </si>
  <si>
    <t xml:space="preserve"> 160 - 169</t>
  </si>
  <si>
    <t xml:space="preserve">Stundenkontingente </t>
  </si>
  <si>
    <t>SuS</t>
  </si>
  <si>
    <t>= Schülerinnen und Schüler</t>
  </si>
  <si>
    <t>aus Kopfquote</t>
  </si>
  <si>
    <t>Bezeichnung aus Präs/3</t>
  </si>
  <si>
    <t>Schulkennzahl</t>
  </si>
  <si>
    <t>Langbez</t>
  </si>
  <si>
    <t>Sozial-Zuschlag</t>
  </si>
  <si>
    <t>aus Chancen-Index / für Sozioökonomie</t>
  </si>
  <si>
    <t>Zwischensumme:</t>
  </si>
  <si>
    <t>? ?</t>
  </si>
  <si>
    <t>Stundenkontingent:</t>
  </si>
  <si>
    <r>
      <t xml:space="preserve">Chancen-Index </t>
    </r>
    <r>
      <rPr>
        <sz val="11"/>
        <color rgb="FFC00000"/>
        <rFont val="Calibri"/>
        <family val="2"/>
      </rPr>
      <t xml:space="preserve"> CI</t>
    </r>
  </si>
  <si>
    <t>Summe aus vorstehender Zeile:</t>
  </si>
  <si>
    <t xml:space="preserve">Klassenzahl: </t>
  </si>
  <si>
    <t xml:space="preserve">  berechnet</t>
  </si>
  <si>
    <r>
      <rPr>
        <sz val="12"/>
        <color theme="1"/>
        <rFont val="Calibri"/>
        <family val="2"/>
      </rPr>
      <t>Betrachtung und</t>
    </r>
    <r>
      <rPr>
        <b/>
        <sz val="12"/>
        <color theme="1"/>
        <rFont val="Calibri"/>
        <family val="2"/>
      </rPr>
      <t xml:space="preserve"> Berechnung nach Schulstufen:</t>
    </r>
  </si>
  <si>
    <t xml:space="preserve">  &lt;&lt;abgeleitet/kopiert v. Haselstauden</t>
  </si>
  <si>
    <t xml:space="preserve">  &lt;&lt;abgeleitet/kopiert v. Ho-Markt</t>
  </si>
  <si>
    <t>VS  . . .</t>
  </si>
  <si>
    <t>80xxxx</t>
  </si>
  <si>
    <t>VS Bartholomäberg</t>
  </si>
  <si>
    <t>VS Bartholomäberg-Gantschier</t>
  </si>
  <si>
    <t>VS Blons</t>
  </si>
  <si>
    <t>VS Bludenz-Mitte</t>
  </si>
  <si>
    <t>VS Bludenz-Obdorf</t>
  </si>
  <si>
    <t>VS Bludenz-St.Peter</t>
  </si>
  <si>
    <t>VS Bludenz-Außerbraz</t>
  </si>
  <si>
    <t>VS Bludenz-Bings</t>
  </si>
  <si>
    <t>VS Bludesch</t>
  </si>
  <si>
    <t>VS Brand</t>
  </si>
  <si>
    <t>VS Bürs</t>
  </si>
  <si>
    <t>VS Bürserberg</t>
  </si>
  <si>
    <t>VS Dalaas</t>
  </si>
  <si>
    <t>VS Dalaas-Wald</t>
  </si>
  <si>
    <t>VS Fontanella</t>
  </si>
  <si>
    <t>VS Gaschurn</t>
  </si>
  <si>
    <t>VS Gaschurn-Partenen</t>
  </si>
  <si>
    <t>VS Innerbraz</t>
  </si>
  <si>
    <t>VS Klösterle</t>
  </si>
  <si>
    <t>VS Lech</t>
  </si>
  <si>
    <t>VS Lorüns</t>
  </si>
  <si>
    <t>VS Ludesch</t>
  </si>
  <si>
    <t>VS Nenzing</t>
  </si>
  <si>
    <t>VS Nenzing-Beschling</t>
  </si>
  <si>
    <t>VS Nenzing-Gurtis</t>
  </si>
  <si>
    <t>VS Nenzing-Halden</t>
  </si>
  <si>
    <t>VS Nüziders</t>
  </si>
  <si>
    <t>VS Raggal</t>
  </si>
  <si>
    <t>VS St. Anton im Montafon</t>
  </si>
  <si>
    <t>VS St. Gallenkirch</t>
  </si>
  <si>
    <t>VS St. Gallenkirch-Gortipohl</t>
  </si>
  <si>
    <t>VS St. Gerold</t>
  </si>
  <si>
    <t>VS Schruns</t>
  </si>
  <si>
    <t>VS Silbertal</t>
  </si>
  <si>
    <t>VS Sonntag</t>
  </si>
  <si>
    <t>VS Thüringen</t>
  </si>
  <si>
    <t>VS Thüringerberg</t>
  </si>
  <si>
    <t>VS Tschagguns</t>
  </si>
  <si>
    <t>VS Tschagguns-Latschau</t>
  </si>
  <si>
    <t>VS Vandans</t>
  </si>
  <si>
    <t>VS St. Gallenkirch-Galgenul</t>
  </si>
  <si>
    <t>pri</t>
  </si>
  <si>
    <t>VS Bregenz-Stadt</t>
  </si>
  <si>
    <t>VS Bregenz-Augasse</t>
  </si>
  <si>
    <t>VS Bregenz-Rieden</t>
  </si>
  <si>
    <t>VS Bregenz-Schendlingen</t>
  </si>
  <si>
    <t>VS Bregenz-Fluh</t>
  </si>
  <si>
    <t>VS Alberschwende</t>
  </si>
  <si>
    <t>VS Alberschwende-Fischbach</t>
  </si>
  <si>
    <t>VS Alberschwende-Müselbach</t>
  </si>
  <si>
    <t>VS Andelsbuch</t>
  </si>
  <si>
    <t>VS Andelsbuch-Bersbuch</t>
  </si>
  <si>
    <t>VS Au</t>
  </si>
  <si>
    <t>VS Bezau</t>
  </si>
  <si>
    <t>VS Bildstein</t>
  </si>
  <si>
    <t>VS Bizau</t>
  </si>
  <si>
    <t>VS Buch</t>
  </si>
  <si>
    <t>VS Damüls</t>
  </si>
  <si>
    <t>VS Doren</t>
  </si>
  <si>
    <t>VS Egg</t>
  </si>
  <si>
    <t>VS Egg-Großdorf</t>
  </si>
  <si>
    <t>VS Eichenberg</t>
  </si>
  <si>
    <t>VS Fußach</t>
  </si>
  <si>
    <t>VS Hard-Mittelweiherburg</t>
  </si>
  <si>
    <t>VS Hittisau</t>
  </si>
  <si>
    <t>VS Höchst-Kirchdorf</t>
  </si>
  <si>
    <t>VS Höchst-Unterdorf</t>
  </si>
  <si>
    <t>VS Hörbranz</t>
  </si>
  <si>
    <t>VS Hohenweiler</t>
  </si>
  <si>
    <t>VS Kennelbach</t>
  </si>
  <si>
    <t>VS Krumbach</t>
  </si>
  <si>
    <t>VS Langen bei Bregenz</t>
  </si>
  <si>
    <t>VS Langenegg</t>
  </si>
  <si>
    <t>VS Lauterach-Dorf</t>
  </si>
  <si>
    <t>VS Lauterach-Unterfeld</t>
  </si>
  <si>
    <t>VS Lingenau</t>
  </si>
  <si>
    <t>VS Lochau</t>
  </si>
  <si>
    <t>VS Mellau</t>
  </si>
  <si>
    <t>VS Mittelberg</t>
  </si>
  <si>
    <t>VS Hirschegg</t>
  </si>
  <si>
    <t>VS Riezlern</t>
  </si>
  <si>
    <t>VS Möggers</t>
  </si>
  <si>
    <t>VS Reuthe</t>
  </si>
  <si>
    <t>VS Riefensberg</t>
  </si>
  <si>
    <t>VS Schnepfau</t>
  </si>
  <si>
    <t>VS Schoppernau</t>
  </si>
  <si>
    <t>VS Schröcken</t>
  </si>
  <si>
    <t>VS Schwarzach</t>
  </si>
  <si>
    <t>VS Schwarzenberg</t>
  </si>
  <si>
    <t>VS Sibratsgfäll</t>
  </si>
  <si>
    <t>VS Sulzberg</t>
  </si>
  <si>
    <t>VS Sulzberg-Thal</t>
  </si>
  <si>
    <t>VS Wolfurt-Bütze</t>
  </si>
  <si>
    <t>VS Wolfurt-Mähdle</t>
  </si>
  <si>
    <t>VS Bregenz-Weidach</t>
  </si>
  <si>
    <t>VS Dornbirn-Edlach</t>
  </si>
  <si>
    <t>VS Dornbirn-Markt</t>
  </si>
  <si>
    <t>VS Dornbirn-Rohrbach</t>
  </si>
  <si>
    <t>VS Dornbirn-Leopoldstrasse</t>
  </si>
  <si>
    <t>VS Dornbirn-Mittelfeld</t>
  </si>
  <si>
    <t>VS Dornbirn-Schoren</t>
  </si>
  <si>
    <t>VS Dornbirn-Oberdorf</t>
  </si>
  <si>
    <t>VS Dornbirn-Haselstauden</t>
  </si>
  <si>
    <t>VS Dornbirn-Ebnit</t>
  </si>
  <si>
    <t>VS Dornbirn-Gütle</t>
  </si>
  <si>
    <t>VS Dornbirn-Heilgereuthe</t>
  </si>
  <si>
    <t>VS Dornbirn-Kehlegg</t>
  </si>
  <si>
    <t>VS Dornbirn-Watzenegg</t>
  </si>
  <si>
    <t>VS Dornbirn-Winsau</t>
  </si>
  <si>
    <t>VS Hohenems-Markt</t>
  </si>
  <si>
    <t>VS Hohenems-Herrenried</t>
  </si>
  <si>
    <t>VS Hohenems-Reute</t>
  </si>
  <si>
    <t>VS Lustenau-Hasenfeld</t>
  </si>
  <si>
    <t>VS Lustenau-Kirchdorf</t>
  </si>
  <si>
    <t>VS Lustenau-Rheindorf</t>
  </si>
  <si>
    <t>VS Lustenau-Rotkreuz</t>
  </si>
  <si>
    <t>VS Dornbirn-Wallenmahd</t>
  </si>
  <si>
    <t>VS Hohenems-Schwefel</t>
  </si>
  <si>
    <t>VS Dornbirn-Fischbach</t>
  </si>
  <si>
    <t>VS Altach</t>
  </si>
  <si>
    <t>VS Düns</t>
  </si>
  <si>
    <t>VS Feldkirch-Levis</t>
  </si>
  <si>
    <t>VS Feldkirch-Altenstadt</t>
  </si>
  <si>
    <t>VS Feldkirch-Gisingen</t>
  </si>
  <si>
    <t>VS Feldkirch-Oberau</t>
  </si>
  <si>
    <t>VS Feldkirch-Nofels</t>
  </si>
  <si>
    <t>VS Feldkirch-Tisis</t>
  </si>
  <si>
    <t>VS Feldkirch-Tosters</t>
  </si>
  <si>
    <t>VS Frastanz</t>
  </si>
  <si>
    <t>VS Frastanz-Fellengatter</t>
  </si>
  <si>
    <t>VS Fraxern</t>
  </si>
  <si>
    <t>VS Göfis-Kirchdorf</t>
  </si>
  <si>
    <t>VS Göfis-Agasella</t>
  </si>
  <si>
    <t>VS Götzis-Markt</t>
  </si>
  <si>
    <t>VS Götzis-Berg</t>
  </si>
  <si>
    <t>VS Klaus</t>
  </si>
  <si>
    <t>VS Koblach</t>
  </si>
  <si>
    <t>VS Laterns-Thal</t>
  </si>
  <si>
    <t>VS Mäder</t>
  </si>
  <si>
    <t>VS Meiningen</t>
  </si>
  <si>
    <t>VS Rankweil-Markt</t>
  </si>
  <si>
    <t>VS Rankweil-Brederis</t>
  </si>
  <si>
    <t>VS Röns</t>
  </si>
  <si>
    <t>VS Röthis</t>
  </si>
  <si>
    <t>VS Satteins</t>
  </si>
  <si>
    <t>VS Schlins</t>
  </si>
  <si>
    <t>VS Schnifis</t>
  </si>
  <si>
    <t>VS Sulz</t>
  </si>
  <si>
    <t>VS Übersaxen</t>
  </si>
  <si>
    <t>VS Viktorsberg</t>
  </si>
  <si>
    <t>VS Weiler</t>
  </si>
  <si>
    <t>VS Zwischenwasser-Batschuns</t>
  </si>
  <si>
    <t>VS Zwischenwasser-Muntlix</t>
  </si>
  <si>
    <t>VS Götzis-Blattur</t>
  </si>
  <si>
    <t>VS Rankweil-Montfort</t>
  </si>
  <si>
    <t>VS Zwischenwasser-Dafins</t>
  </si>
  <si>
    <t xml:space="preserve"> VS . . .</t>
  </si>
  <si>
    <t>..an einer Volksschule in Vbg</t>
  </si>
  <si>
    <t xml:space="preserve">in Stufe 0  </t>
  </si>
  <si>
    <t xml:space="preserve">Untergrenze VS </t>
  </si>
  <si>
    <t xml:space="preserve">Faktor VS </t>
  </si>
  <si>
    <t>= 1/2 SuS /18,3 *3Stden</t>
  </si>
  <si>
    <t>dazu als Volksschul-Paket:</t>
  </si>
  <si>
    <t>SuS+</t>
  </si>
  <si>
    <t>+-</t>
  </si>
  <si>
    <t>:</t>
  </si>
  <si>
    <t xml:space="preserve">KHZ = </t>
  </si>
  <si>
    <t>davon 
Vorschüler 
MIT Bescheid</t>
  </si>
  <si>
    <t xml:space="preserve">SprachB-KL  </t>
  </si>
  <si>
    <r>
      <t>Anzahl der KL mit GTS</t>
    </r>
    <r>
      <rPr>
        <b/>
        <sz val="11"/>
        <color rgb="FF7030A0"/>
        <rFont val="Calibri"/>
        <family val="2"/>
      </rPr>
      <t xml:space="preserve"> verschränkt</t>
    </r>
  </si>
  <si>
    <t xml:space="preserve"> SuS geschätzt</t>
  </si>
  <si>
    <t xml:space="preserve">für LZ umgere. bei </t>
  </si>
  <si>
    <t>Stden-Annahme für GTS getrennt:</t>
  </si>
  <si>
    <t xml:space="preserve"> Klassen eingerichtet</t>
  </si>
  <si>
    <t>Wochenstunden ganzjährig</t>
  </si>
  <si>
    <t>WoStden für die Unterrichtserteilung</t>
  </si>
  <si>
    <t>Für GTS in verschränkter Abfolge</t>
  </si>
  <si>
    <t>Zuschlag:  SPF-SuS</t>
  </si>
  <si>
    <t>Berechnu für kleinere Schulen:</t>
  </si>
  <si>
    <t>KL</t>
  </si>
  <si>
    <t>~7 Standorte, früher an ASO</t>
  </si>
  <si>
    <t>..finanziert vom Land Vbg</t>
  </si>
  <si>
    <t>Nur möglich bei gemeinsamem Schulsprengel an VS oder PTS</t>
  </si>
  <si>
    <t>Zum 'Ausgleich' im gemeinsamen Sprengel:</t>
  </si>
  <si>
    <t>Auszug aus MS  ..für FMS Altach</t>
  </si>
  <si>
    <t>Zuschlag für BEOR:</t>
  </si>
  <si>
    <t>ab 14SuS 30Std, 13|29, 12|28, 11|27, 10|26, &lt;|0</t>
  </si>
  <si>
    <t>Mausklick rechts, "einblenden" auswählen.</t>
  </si>
  <si>
    <t xml:space="preserve">mit gedrückter Maustaste gemeinsam markieren, </t>
  </si>
  <si>
    <t>Ganztägige Schulform</t>
  </si>
  <si>
    <t xml:space="preserve">… laut SchOG   an der  </t>
  </si>
  <si>
    <t xml:space="preserve">GLZ </t>
  </si>
  <si>
    <t>ILZ &gt;&gt;*2</t>
  </si>
  <si>
    <t xml:space="preserve">… mit einer verpflichtend durchgehenden Anwesenheit der angemeldeten Schüler </t>
  </si>
  <si>
    <t>bis mindestens 16:00 Uhr  an betreuten Nachmittagen.</t>
  </si>
  <si>
    <t>Maßgeblicher Stichtag ist der 2. Montag des Unterrichtsjahres</t>
  </si>
  <si>
    <t>siehe dazu:</t>
  </si>
  <si>
    <t>http://www2.vobs.at/ftp-pub/allgemein/formulare/GTS.PDF</t>
  </si>
  <si>
    <t xml:space="preserve">..und </t>
  </si>
  <si>
    <t xml:space="preserve">Wochentag:  </t>
  </si>
  <si>
    <t>Montag</t>
  </si>
  <si>
    <t>Dienstag</t>
  </si>
  <si>
    <t>Mittwoch</t>
  </si>
  <si>
    <t>Donnerstag</t>
  </si>
  <si>
    <t>Freitag</t>
  </si>
  <si>
    <t>Uhrzeit:</t>
  </si>
  <si>
    <t>Schülerzahl</t>
  </si>
  <si>
    <t>in</t>
  </si>
  <si>
    <t>von</t>
  </si>
  <si>
    <t>bis</t>
  </si>
  <si>
    <t>GL</t>
  </si>
  <si>
    <t>IL</t>
  </si>
  <si>
    <t>Datum</t>
  </si>
  <si>
    <t>GTS in verschränkten Klassen:</t>
  </si>
  <si>
    <t>Anmerkung:</t>
  </si>
  <si>
    <t xml:space="preserve">Gru.GL </t>
  </si>
  <si>
    <t xml:space="preserve">Gru.IL </t>
  </si>
  <si>
    <t xml:space="preserve">zus. </t>
  </si>
  <si>
    <t xml:space="preserve">1/3 </t>
  </si>
  <si>
    <t>(außer bei Mail-Einreichung:)</t>
  </si>
  <si>
    <t xml:space="preserve">   Unterschrift  [Dir.]</t>
  </si>
  <si>
    <t>Konti!S85</t>
  </si>
  <si>
    <r>
      <t xml:space="preserve">In Getrennter Abfolge </t>
    </r>
    <r>
      <rPr>
        <u/>
        <sz val="12"/>
        <rFont val="Calibri"/>
        <family val="2"/>
        <scheme val="minor"/>
      </rPr>
      <t>teilnehmende Schüler</t>
    </r>
    <r>
      <rPr>
        <sz val="12"/>
        <rFont val="Calibri"/>
        <family val="2"/>
        <scheme val="minor"/>
      </rPr>
      <t xml:space="preserve">: </t>
    </r>
    <r>
      <rPr>
        <sz val="2"/>
        <rFont val="Calibri"/>
        <family val="2"/>
        <scheme val="minor"/>
      </rPr>
      <t>'</t>
    </r>
  </si>
  <si>
    <r>
      <rPr>
        <sz val="12"/>
        <rFont val="Calibri"/>
        <family val="2"/>
        <scheme val="minor"/>
      </rPr>
      <t xml:space="preserve">Einteilung der </t>
    </r>
    <r>
      <rPr>
        <b/>
        <sz val="12"/>
        <rFont val="Calibri"/>
        <family val="2"/>
        <scheme val="minor"/>
      </rPr>
      <t>'</t>
    </r>
    <r>
      <rPr>
        <b/>
        <u/>
        <sz val="12"/>
        <rFont val="Calibri"/>
        <family val="2"/>
        <scheme val="minor"/>
      </rPr>
      <t>Lernzeiten' in getrennter Form</t>
    </r>
    <r>
      <rPr>
        <b/>
        <sz val="12"/>
        <rFont val="Calibri"/>
        <family val="2"/>
        <scheme val="minor"/>
      </rPr>
      <t>:</t>
    </r>
  </si>
  <si>
    <t>IT-Arbeitsplätze:</t>
  </si>
  <si>
    <t>Schulbibliothek:</t>
  </si>
  <si>
    <t>Klasse</t>
  </si>
  <si>
    <t>Name d. SchülerIn</t>
  </si>
  <si>
    <t>Schul-stufe</t>
  </si>
  <si>
    <t>lfd.</t>
  </si>
  <si>
    <t>3.</t>
  </si>
  <si>
    <t xml:space="preserve">  SPF</t>
  </si>
  <si>
    <t>4.</t>
  </si>
  <si>
    <t xml:space="preserve">  nein</t>
  </si>
  <si>
    <t xml:space="preserve"> Folglich ergibt sich als Antrag der Schule ..</t>
  </si>
  <si>
    <t>beantragt</t>
  </si>
  <si>
    <t>VO</t>
  </si>
  <si>
    <t>1.</t>
  </si>
  <si>
    <t>2.</t>
  </si>
  <si>
    <t>5.</t>
  </si>
  <si>
    <t>6.</t>
  </si>
  <si>
    <t>7.</t>
  </si>
  <si>
    <t>8.</t>
  </si>
  <si>
    <t>Anzahl</t>
  </si>
  <si>
    <t>Schulische Assistenz</t>
  </si>
  <si>
    <t>Anmerkungen:</t>
  </si>
  <si>
    <t>2.b</t>
  </si>
  <si>
    <t>Apfel Arnold</t>
  </si>
  <si>
    <t>4.a</t>
  </si>
  <si>
    <t>Beere Berta</t>
  </si>
  <si>
    <t xml:space="preserve">
..hier kann zB ergänzend begründet werden, 
was bislang bei DM /SQM noch nicht bekannt ist oder nicht bereits vorbesprochen wurde ..</t>
  </si>
  <si>
    <t>Einrechnungen</t>
  </si>
  <si>
    <r>
      <t>Zahl der</t>
    </r>
    <r>
      <rPr>
        <b/>
        <sz val="12"/>
        <rFont val="Calibri"/>
        <family val="2"/>
        <scheme val="minor"/>
      </rPr>
      <t xml:space="preserve"> </t>
    </r>
    <r>
      <rPr>
        <b/>
        <u/>
        <sz val="12"/>
        <rFont val="Calibri"/>
        <family val="2"/>
        <scheme val="minor"/>
      </rPr>
      <t>IT-Arbeitsplätze</t>
    </r>
  </si>
  <si>
    <t xml:space="preserve"> …für die Verwendung im Unterricht</t>
  </si>
  <si>
    <t>Schulleitung:</t>
  </si>
  <si>
    <t>=  schulbezogene Verminderungen der Unterrichtsverpflichtung</t>
  </si>
  <si>
    <t xml:space="preserve"> ist im PD-Schema eingestuft</t>
  </si>
  <si>
    <t xml:space="preserve"> ist im Altrecht angestellt (meist L2a2)</t>
  </si>
  <si>
    <t>leitet diese Klassen als angeschlossene</t>
  </si>
  <si>
    <t>a</t>
  </si>
  <si>
    <t>b</t>
  </si>
  <si>
    <t>c</t>
  </si>
  <si>
    <t xml:space="preserve">Die Direktorin /der Direktor ..  </t>
  </si>
  <si>
    <t>Leitung</t>
  </si>
  <si>
    <t xml:space="preserve">Berechnung mit der </t>
  </si>
  <si>
    <t xml:space="preserve">Jahresnorm von 20: </t>
  </si>
  <si>
    <t>Klassen</t>
  </si>
  <si>
    <t>Vorschü</t>
  </si>
  <si>
    <t>GTS</t>
  </si>
  <si>
    <t xml:space="preserve">Berechnung für PD: </t>
  </si>
  <si>
    <t>zum 30. September des vorangegangenen Schuljahres.</t>
  </si>
  <si>
    <t xml:space="preserve"> Erfolgt nach den Vollbeschäftigungsäquivalenten [VBÄ]</t>
  </si>
  <si>
    <t>Erhalter</t>
  </si>
  <si>
    <t>Ltg</t>
  </si>
  <si>
    <t>PD</t>
  </si>
  <si>
    <t>Altr.</t>
  </si>
  <si>
    <t>gemeins.Ltg/Mitbetrau/Sond.Kl.</t>
  </si>
  <si>
    <t>gL 801082 NMS Lech</t>
  </si>
  <si>
    <t>gL 801321 Nenz-Halden</t>
  </si>
  <si>
    <t>Mb 801311 Nenz-Gurtis</t>
  </si>
  <si>
    <t>gL 801411 St.Ga-Gorti</t>
  </si>
  <si>
    <t>Mb 802091+101 Alb..</t>
  </si>
  <si>
    <t>gL 802081 Alb-Hof</t>
  </si>
  <si>
    <t xml:space="preserve">SO </t>
  </si>
  <si>
    <t>gL 803141 Do-Winsau</t>
  </si>
  <si>
    <t>Mb 803111 Do-Heilge</t>
  </si>
  <si>
    <t>Mb 804451 Zwi-Dafins</t>
  </si>
  <si>
    <t>gL 804381 Zwi-Muntlix</t>
  </si>
  <si>
    <t>hat anderswo ihre/seine Stammschule</t>
  </si>
  <si>
    <t xml:space="preserve">GTS - </t>
  </si>
  <si>
    <t>..für die Lernzeiten GLZ, ILZ</t>
  </si>
  <si>
    <t>..für die Unterrichtserteilung</t>
  </si>
  <si>
    <t>Assistenz</t>
  </si>
  <si>
    <t xml:space="preserve">Beantragt sind:  </t>
  </si>
  <si>
    <t>=  schulische Assistenz       ..laut gesondertem Tabellenblatt &lt;Assistenz&gt;</t>
  </si>
  <si>
    <t>Wochenstunden</t>
  </si>
  <si>
    <t xml:space="preserve">Anzahl WoStunden 
für die Assistenz im 
GTS-Freizeitbereich </t>
  </si>
  <si>
    <t xml:space="preserve">für erzieherische und 
lernunterstützende 
Assistenz </t>
  </si>
  <si>
    <t>X</t>
  </si>
  <si>
    <t>der SuS
 in d. KL</t>
  </si>
  <si>
    <t>VSp Ludesch-Lernwerkstatt</t>
  </si>
  <si>
    <t>VSp/MSp Bludenz-Lernwerkstatt Br.</t>
  </si>
  <si>
    <t>VSp Bregenz-Riedenburg</t>
  </si>
  <si>
    <t>VS Alberschwende-Dresslen</t>
  </si>
  <si>
    <t>VS Gaissau</t>
  </si>
  <si>
    <t>VS Hard am See</t>
  </si>
  <si>
    <t>VSp Höchst-Schulstube</t>
  </si>
  <si>
    <t>VSp Bregenz-Marienberg</t>
  </si>
  <si>
    <t>VSp Bregenz-Mehrerau</t>
  </si>
  <si>
    <t>VSp Rankweil-Entdeckerschule</t>
  </si>
  <si>
    <t>VSp Altach</t>
  </si>
  <si>
    <t>zur "Bedarfsplanung"</t>
  </si>
  <si>
    <t xml:space="preserve">Weitere Einrechnung für </t>
  </si>
  <si>
    <t xml:space="preserve"> . . .</t>
  </si>
  <si>
    <t xml:space="preserve"> zum Beispiel: </t>
  </si>
  <si>
    <t>Dattel Dieter</t>
  </si>
  <si>
    <t>x</t>
  </si>
  <si>
    <t>Religionsunterricht röm.-kath.</t>
  </si>
  <si>
    <t>Meldung für die Bedarfsplanung</t>
  </si>
  <si>
    <t xml:space="preserve">Der röm.kath. Religionsunterricht wird voraussichtlich abgehalten .. </t>
  </si>
  <si>
    <t xml:space="preserve"> mit gesamt</t>
  </si>
  <si>
    <t>Wochenstden  in</t>
  </si>
  <si>
    <t>Klassen bzw Gruppen</t>
  </si>
  <si>
    <t xml:space="preserve"> .. im Rahmen der Vorgaben des Religionsunterrichtsgesetzes.</t>
  </si>
  <si>
    <t>Summen</t>
  </si>
  <si>
    <t>bzw. 
Anmerkung</t>
  </si>
  <si>
    <t xml:space="preserve">ReligionslehrerIn
</t>
  </si>
  <si>
    <t>gehaltene
WoStden</t>
  </si>
  <si>
    <t>am k.RU</t>
  </si>
  <si>
    <t>Teilnehmende</t>
  </si>
  <si>
    <r>
      <t>Schüler o.B.</t>
    </r>
    <r>
      <rPr>
        <sz val="8"/>
        <rFont val="Calibri"/>
        <family val="2"/>
        <scheme val="minor"/>
      </rPr>
      <t>,</t>
    </r>
    <r>
      <rPr>
        <sz val="7"/>
        <rFont val="Calibri"/>
        <family val="2"/>
        <scheme val="minor"/>
      </rPr>
      <t xml:space="preserve"> 
die in der Gruppe mit-unterrichtet werden 
(= als Freigegenstand) </t>
    </r>
  </si>
  <si>
    <t>Abmeldungen
vom k.RU</t>
  </si>
  <si>
    <t>röm.-kath.
SchülerInnen</t>
  </si>
  <si>
    <t>Klassen-
schülerzahl</t>
  </si>
  <si>
    <t>Tel.Nr.</t>
  </si>
  <si>
    <t>k.RU  =  röm.-kath. Religionsunterricht</t>
  </si>
  <si>
    <t>Röm.-kath. Religionsunterricht</t>
  </si>
  <si>
    <t>SchülerInnen /  Klassenbild</t>
  </si>
  <si>
    <t xml:space="preserve"> B E D A R F S M E L D U N G</t>
  </si>
  <si>
    <t xml:space="preserve">für Rückfragen aus dem Schulamt: </t>
  </si>
  <si>
    <t xml:space="preserve"> freig. ab 10,0 VBÄ,  12 WoStd ab 5,0 VBÄ,  darunter 6 WoStd</t>
  </si>
  <si>
    <t xml:space="preserve"> Um 2% wird hier nirgends mehr gekürzt!</t>
  </si>
  <si>
    <t xml:space="preserve"> die SPF der Stufen 0+1 werden gemeinsam bewertet</t>
  </si>
  <si>
    <t>1a</t>
  </si>
  <si>
    <t xml:space="preserve"> Im Tabellenblatt &lt;Religion&gt; sind Einträge </t>
  </si>
  <si>
    <t xml:space="preserve"> vorzunehmen, damit hier Werte aufscheinen </t>
  </si>
  <si>
    <t xml:space="preserve">In Sprachheilpädagogik und spezifi. Lernförderung kümmern sich regionale Teams um die Abdeckung, </t>
  </si>
  <si>
    <t xml:space="preserve">die Schule selber muss keine Stundenzuteilung beantragen. </t>
  </si>
  <si>
    <t>Excel-Mappe für die Berechnung der Stundenressourcen pro Einzelschule, in dieser Form begonnen im Frühjahr 2022 (ab dem Schuljahr 2022/23)</t>
  </si>
  <si>
    <t>pro Schultyp gesondert = in vier Varianten</t>
  </si>
  <si>
    <t>in Zelle i5 erscheint ein Text, wenn der Schulname anders lautet als der Eintrag aus der Tabelle &lt;CI&gt;</t>
  </si>
  <si>
    <t xml:space="preserve">Das Tabellenblatt &lt;CI&gt; soll nicht-holbar-ausgeblendet sein, zumal dort auch andere Daten eingetragen sind. </t>
  </si>
  <si>
    <t>Schulen mit besonderen Regelungen, Sprachklassen oder gemeinsamem Schulsprengel erhalten hier eine Meldung - bei künftigen Änderungen bitte anpassen!</t>
  </si>
  <si>
    <t>In den Zellen L9 und M9 sind die SKZ der besonderen Schulen gelistet</t>
  </si>
  <si>
    <t xml:space="preserve">In diesen Zeilen sind auch die SuS der DFöKL mitzurechen, </t>
  </si>
  <si>
    <t>Rechts draußen in L11:o17 in blauer Schrift sind die KL-Berechnungen für kleine Standorte platziert</t>
  </si>
  <si>
    <t>..so ähnlich bzw möglichst gleichlautend wie zuletzt bis 2021/22</t>
  </si>
  <si>
    <t>..mit nur ganz vereinzelt denkbaren Unschärfen im Schuleingangsbereich</t>
  </si>
  <si>
    <t>Eine behördlich genehmigte Änderung der KL-Zahl ..aus der Zelle K56 wird hier einbezogen</t>
  </si>
  <si>
    <t>Hier wird die Zwischensumme auf 1 Kommastelle aufgerundet</t>
  </si>
  <si>
    <t>&lt;&lt;&lt;Diese Zeile soll (nur) von Standorten mit einer Sprach- &amp; Bewegungsklasse eingeblendet werden!</t>
  </si>
  <si>
    <t>&lt;&lt;&lt;Diese Zeile darf nur von Standorten mit gemeinsamem Schulsprengel (zB Hohenems, Lustenau) eingeblendet und verwendet werden!</t>
  </si>
  <si>
    <t>Wo und wie zu begründen wäre, wird hier offen gelassen</t>
  </si>
  <si>
    <t>Eine autonome KL-Änderung wirkt nicht (mehr) bei gänzlicher Freistellung und nie bei PD-Leitung!</t>
  </si>
  <si>
    <t>rechts in j49 wird die GTS-Stundensumme angezeigt  ..nach Einträgen im Tabellenblatt &lt;GTS&gt;</t>
  </si>
  <si>
    <t>In der Zelle K56 darf die Schule dann eine Ganzzahl eintragen, wenn von Präs/3 genehmigt wurde</t>
  </si>
  <si>
    <t>..wobei derartige Fälle kaum mehr vorkommen werden!?</t>
  </si>
  <si>
    <t>Ab mittleren Schulgrößen = ab 2,5 kann hier um 0,1 erhöht werden. Das geht dann zulasten des Unterrichts, siehe Zeile 33</t>
  </si>
  <si>
    <t xml:space="preserve">Der Wert in E70 wird aus der Spalte G in Tabelle &lt;CI&gt; übernommen, </t>
  </si>
  <si>
    <t xml:space="preserve"> - " -</t>
  </si>
  <si>
    <t>Wenn Leitung in PD, dann andere Schriftfarbe und nur wenige Einträge</t>
  </si>
  <si>
    <t>Es kann mit den wenigen Daten nicht immer zu-Ende-gerechnet werden, daher manchmal Fragezeigen</t>
  </si>
  <si>
    <t>So weit gerechnet werden kann, ist hier die Unterri.Verpflichtung angezeigt</t>
  </si>
  <si>
    <t>Hellgraue Schriftfarbe, wenn nicht in PD eingestuft</t>
  </si>
  <si>
    <t>Hier sollen nicht Einzel-Einrechnungen der eigenen Lehrer an anderen Schulen eingetragen werden, sondern zB IT-Regionalbetreuung, ARGE</t>
  </si>
  <si>
    <t>In c22:c26 werden behördenseits die möglichen/vorgesehenen KL berechnet</t>
  </si>
  <si>
    <t>Es wird die durchschnittliche Anzahl der SuS pro KL angezeigt, in Gesamtbetrachtung über alle Schulstufen</t>
  </si>
  <si>
    <t>wobei hier die Schule ggf. aktuell anpassen muss</t>
  </si>
  <si>
    <t>..und hier angezeigt für ein komplettes GTS-Bild der Schule</t>
  </si>
  <si>
    <t xml:space="preserve">Die hier errechnete Anzahl an Gruppen kann von der Gruppenzahl in Sokrates abweichen,  ..maßgeblich sind jedenfalls </t>
  </si>
  <si>
    <t>die in SOK (mit allen Details) ermittelten Gruppen!</t>
  </si>
  <si>
    <t>Für die verschränkte Form werden die Stunden hingegen aus dem Konti-Blatt übernommen</t>
  </si>
  <si>
    <t>Die möglichen Höchststunden für g.GTS sollen in unveränderter Großzügigkeit weitergeführt werden.</t>
  </si>
  <si>
    <t>Sehr wohl verbindlich ist die hier berechnete Zahl an Wochenstunden!</t>
  </si>
  <si>
    <t xml:space="preserve">Hier sollen die notwendigen Stunden zur Gänze eingetragen werden, </t>
  </si>
  <si>
    <t>..unabhängig davon, welches Personal diese Stunden abdecken wird.</t>
  </si>
  <si>
    <t xml:space="preserve">Die beantragten Stunden sind meist bereits abgesprochen, </t>
  </si>
  <si>
    <t>Tabellenblatt</t>
  </si>
  <si>
    <t>BasisV</t>
  </si>
  <si>
    <t>Die Pro-Kopf-Berechnung ist in den Spalten A:F festgelegt</t>
  </si>
  <si>
    <t>Für SPF ist der Stunden-Zuschlag in den Spalten H:J zu finden</t>
  </si>
  <si>
    <t xml:space="preserve">Die Berechnungen für die FMS Altach sind in die Spalten Q&amp;S eingepflegt, </t>
  </si>
  <si>
    <t>..das soll nicht für Alle einsehbar sein, weshalb diese Spalten ausgeblendet sind</t>
  </si>
  <si>
    <t>Die VS Rankweil-Entdecker ist in Zelle e38 im Blatt &lt;Konti_VS&gt; geregelt.</t>
  </si>
  <si>
    <t>Diese Tabelle wurde von Andreas Kappaurer übernommen, enthalten sind die Werte für 2018/19</t>
  </si>
  <si>
    <t>Siehe Zellen K1:L2</t>
  </si>
  <si>
    <t>Bei den VS gibt es unter dem Wert von 105,0 nix, der Faktor beträgt 0,0065</t>
  </si>
  <si>
    <t>Die Tabelle enthält die Werte für die Schultypen VS und MS, bei PTS und ASO wird damit nicht gerechnet</t>
  </si>
  <si>
    <t xml:space="preserve">Die Schulbezeichnungen wurden von Tobi mit Sokrates und SAP abgestimmt, </t>
  </si>
  <si>
    <t>die genauen Daten dafür und Relevantes für den Leiter sind festgehalten in den Zeilen 242:407</t>
  </si>
  <si>
    <t xml:space="preserve">Hier soll mehrfach jährlich der aktuelle Datenstand abgeglichen werden. </t>
  </si>
  <si>
    <t>vor vobs-Scharfstellen der EÖ-Meldung, und wieder nach den EÖ-Meldungen, vor/mit vobs-Bedarf ..</t>
  </si>
  <si>
    <t>Es gebe noch keine aktuelleren Werte, wobei nie wesentliche jährliche Schwankungen feststellbar waren.</t>
  </si>
  <si>
    <t>Zwei Schulen wurden geschätzt, siehe Zeilen 169 und 170</t>
  </si>
  <si>
    <t>Auch bei gemeinsamem Schulsprengel in einer Gemeinde bleibt jede Schule gesondert berechnet</t>
  </si>
  <si>
    <t>zB VS in Lustenau, MS in Hard, ..</t>
  </si>
  <si>
    <t>evtl WV setzen für Nachfrage nach neuen CI-Werten aus Wien über Kappaurer/Juranek ??</t>
  </si>
  <si>
    <t>Oberstufe an VS:</t>
  </si>
  <si>
    <t>Religion</t>
  </si>
  <si>
    <t xml:space="preserve"> in DFöKL 15 Stden  ..bzw DFöKurse mit 6 Stden</t>
  </si>
  <si>
    <t>Bei Eintrag einer nicht-existenten SKZ erscheint möglicherweise der Schulname der nächstniedrigeren SKZ</t>
  </si>
  <si>
    <t>..hingegen sind die SuS in der Sprach- &amp; Bewegungsklasse extra anzugeben in Zeile 19!</t>
  </si>
  <si>
    <t>Die Berechnung der Klassen wird ausschließlich benötigt für die Leitungsverminderung im Altrecht!</t>
  </si>
  <si>
    <t>zu H21:  Bei/ab 25,1 gibt es die Teilung,  ..Zehntelzahlen sind möglich durch die SPF-Höherwertung um 0,3</t>
  </si>
  <si>
    <t>..aber keineswegs mit der Absicht, etwas einsparen zu wollen.</t>
  </si>
  <si>
    <t>Jedenfalls aber mit der Anpassung, dass die DFöKL nicht mehr gesondert herausgerechnet wird!</t>
  </si>
  <si>
    <t>In f22:f26 wird der SPF-Zuschlag berechnet, beginnend immer mit dem 1. Kind auf jeder Schulstufe (bzw Zeile)</t>
  </si>
  <si>
    <t>Die KL-Anzahl lässt sich hier überschreiben, wenn schulautonom anders beschlossen wurde.</t>
  </si>
  <si>
    <t>. . .</t>
  </si>
  <si>
    <t xml:space="preserve">Die FMS Altach wird hier berechnet; </t>
  </si>
  <si>
    <t>.. auch die -0,5 für IT-Erhöhung scheint hier auf</t>
  </si>
  <si>
    <t>DFörderung wird so ausgewiesen, wie über Trias gewünscht u. angeordnet</t>
  </si>
  <si>
    <t>Das VS-Paket ist nach SuS und nicht mehr nach GS-1-Klassen berechnet</t>
  </si>
  <si>
    <t>Hier werden Std ausgewiesen für Spr&amp;Bew-KL  und für Ra-Entdecker (Oberstufe)</t>
  </si>
  <si>
    <t>Es wird "(0,0)" angezeigt, wenn wegen zu geringem CI keine Mehrstunden zustehen</t>
  </si>
  <si>
    <t xml:space="preserve">Die Stundenberechnung für g.GTS ist aus den bisherigen Regelungen übernommen. </t>
  </si>
  <si>
    <t>Wenn der Wert in H64 höher überschrieben wird, dann wird die Zelle grün eingefärbt</t>
  </si>
  <si>
    <t>Hier erscheint der passende Textvorschlag, sofern die Spalte F in Tabelle &lt;CI&gt; aktuell gewartet ist</t>
  </si>
  <si>
    <t>Hier kann noch beliebiger Text/Antrag/Hinweis ergänzt werden ..</t>
  </si>
  <si>
    <t>Diese Zelle soll ausgewählt sein, dann gibt's den Hilfetext zum Befüllen</t>
  </si>
  <si>
    <t>In diesem Tabellenblatt werden die Stunden für die getrennte Form festgestellt - wie bisher in Aufbau und Ausmaß</t>
  </si>
  <si>
    <t>das hier ermittelte Ergebnis ist lediglich ein Schätz-/Annäherungswert!</t>
  </si>
  <si>
    <t xml:space="preserve"> ..für die Leiter-Verminderung im Altrecht ist das Sokrates-Ergebnis maßgeblich,</t>
  </si>
  <si>
    <t xml:space="preserve">Die berechneten Wochenstunden für die LZ sind verbindlich, </t>
  </si>
  <si>
    <t>bei neuen/zusätzlichen Wünschen wird die Schule unten Anmerkungen zu ergänzen haben.</t>
  </si>
  <si>
    <t>Die Assistenzleistung im GTS-Freizeitbereich kann NIEMALS über ein Präs/3-Dienstverhältnis finanziert werden.</t>
  </si>
  <si>
    <t>Die Einrechnungsstunden in o9:p24 sind bereits auf 98% fixiert</t>
  </si>
  <si>
    <t>Die Schulstufen in B13:B16 sind anders zu befüllen bei den zwei Standorten mit Oberstufe</t>
  </si>
  <si>
    <t>Bis Zeile 223 ist ein Filter gesetzt für die VS, aus diesen Zeilen kommen die Werte für den Index..</t>
  </si>
  <si>
    <t xml:space="preserve">vor Bedarfserhebung, danach aus eingereichter BedErh, dann nach den Leiterbestellungen und nochmals </t>
  </si>
  <si>
    <t>Alt+F11, unter Eigenschaften&gt;Visible bei verstecktem Tabellenblatt die Einstellung ändern zum Einblenden</t>
  </si>
  <si>
    <t>Die Einrechnung ist in L10:M24 hinterlegt,  orange-textgefärbt in N sind die nicht um 2% gekürzten Werte</t>
  </si>
  <si>
    <t>Höherwertung von 0,3 für SuS mit SPF laut Zelle f18 bei KL-Berechnung durch die Behörde in c22:26</t>
  </si>
  <si>
    <t xml:space="preserve"> lila </t>
  </si>
  <si>
    <t>..gefärbte Tabellenblätter sollen 'versteckt'-augeblendet sein</t>
  </si>
  <si>
    <t>gesonderte Mappen mit geringen Abweichungen  "zur Bedarfsplanung" im Frühjahr und "zum Schulstart" im Herbst (mit Stichtag zB 19.09.2022)</t>
  </si>
  <si>
    <t>Berechnung der Stundenressourcen</t>
  </si>
  <si>
    <t xml:space="preserve"> ..für zB Regionales/ Landesweite Tätigkeiten</t>
  </si>
  <si>
    <t xml:space="preserve">BedS  = Bedarfsplanung der Stundenressourcen </t>
  </si>
  <si>
    <t>in J7 kann die Versions-Nr angepasst werden, falls Änderungen notwendig wurden</t>
  </si>
  <si>
    <t>gL 802381 Langen</t>
  </si>
  <si>
    <t>Mb 802221+591 Sulzb-Thal</t>
  </si>
  <si>
    <t>Mb 802571 Sibratsgfäll</t>
  </si>
  <si>
    <t>gL 802301 Hittisau</t>
  </si>
  <si>
    <t xml:space="preserve">Die Blattbezeichnung in A1 ist anders bei Bedarfsmeldung und als 'Jahresmeldung' zum Schulstart (= bisher "EöB") </t>
  </si>
  <si>
    <t>..und heraus-/hineinzunehmen ist die Datenmeldung in D10&amp;D11</t>
  </si>
  <si>
    <t>Konti23</t>
  </si>
  <si>
    <t>Anmerkungen der Schule zur GTS:</t>
  </si>
  <si>
    <t xml:space="preserve">für ..  </t>
  </si>
  <si>
    <t>Schulische Assistenz durch SAF Personal</t>
  </si>
  <si>
    <t>bzw. durch Lehrpersonal mit der Verwendung "Stütz- und BegleitlehrerInnen"</t>
  </si>
  <si>
    <t>Anzahl WoStunden 
für die Assistenz 
im Unterricht, ILZ/GLZ</t>
  </si>
  <si>
    <r>
      <t xml:space="preserve">für Assistenzleistung im </t>
    </r>
    <r>
      <rPr>
        <b/>
        <sz val="10.8"/>
        <rFont val="Calibri"/>
        <family val="2"/>
        <scheme val="minor"/>
      </rPr>
      <t>Unterricht,ILZ/GLZ</t>
    </r>
  </si>
  <si>
    <r>
      <t xml:space="preserve">für Assistenzleistung im </t>
    </r>
    <r>
      <rPr>
        <b/>
        <sz val="10.8"/>
        <rFont val="Calibri"/>
        <family val="2"/>
        <scheme val="minor"/>
      </rPr>
      <t>Freizeitbereich (GTS)</t>
    </r>
  </si>
  <si>
    <t xml:space="preserve">für pfleger., therapeut. 
-funktionale, u. lernun- 
terstützende Assistenz </t>
  </si>
  <si>
    <t>Korrektur durch Präs/3</t>
  </si>
  <si>
    <t xml:space="preserve"> Im Tabellenblatt &lt;Assistenz&gt; sind Einträge </t>
  </si>
  <si>
    <t xml:space="preserve">tatsächlich eingerichtete Gruppen </t>
  </si>
  <si>
    <t>GL_MO</t>
  </si>
  <si>
    <t>IL_MO</t>
  </si>
  <si>
    <t>GL_DI</t>
  </si>
  <si>
    <t>IL_DI</t>
  </si>
  <si>
    <t>GL_MI</t>
  </si>
  <si>
    <t>IL_MI</t>
  </si>
  <si>
    <t>GL_DO</t>
  </si>
  <si>
    <t>IL_DO</t>
  </si>
  <si>
    <t>GL_FR</t>
  </si>
  <si>
    <t>IL_FR</t>
  </si>
  <si>
    <t>GLZ</t>
  </si>
  <si>
    <t>ILZ</t>
  </si>
  <si>
    <t>für tatsächlich eingerichtete Gruppen</t>
  </si>
  <si>
    <t>für Gruppenberechnung</t>
  </si>
  <si>
    <t>GLZ Einheiten</t>
  </si>
  <si>
    <t>ILZ Einheiten</t>
  </si>
  <si>
    <t>Gruppen</t>
  </si>
  <si>
    <t>Gerundet</t>
  </si>
  <si>
    <t>verschränkt</t>
  </si>
  <si>
    <t>Einrechnung</t>
  </si>
  <si>
    <t>normale Klassen</t>
  </si>
  <si>
    <t>LehrerInnen-
stunden</t>
  </si>
  <si>
    <t>derzeit stillgelegt</t>
  </si>
  <si>
    <t>ja</t>
  </si>
  <si>
    <t>nein</t>
  </si>
  <si>
    <t>Extra Antrag für Unterrichtsstunden</t>
  </si>
  <si>
    <t>zb.: Zusatzkontingent DM: Unterrichtstunden für besondere Förderung; Begabungs- u. Begabtenförderung,
100 Schulen 1000 Chancen,
Schulen mit besonderen Herausforderungen (Bregenz Rieden und Bludenz-Mitte)</t>
  </si>
  <si>
    <t>Einheit &lt; 25 min</t>
  </si>
  <si>
    <t>wird voraussichltich stillgelegt</t>
  </si>
  <si>
    <t>801211 Gaschu-Partennen</t>
  </si>
  <si>
    <t>Anmeldungen für den Erstsprachenunterricht</t>
  </si>
  <si>
    <t xml:space="preserve">ein Unterricht in dieser Erstsprache zustande kommt. </t>
  </si>
  <si>
    <t>Albanisch</t>
  </si>
  <si>
    <t>Polnisch</t>
  </si>
  <si>
    <t>Sonstige Sprachen</t>
  </si>
  <si>
    <t>Arabisch</t>
  </si>
  <si>
    <t>Rumänisch</t>
  </si>
  <si>
    <t>Armenisch</t>
  </si>
  <si>
    <t>Russisch</t>
  </si>
  <si>
    <t>B/K/S</t>
  </si>
  <si>
    <t>Spanisch</t>
  </si>
  <si>
    <t>Chinesisch</t>
  </si>
  <si>
    <t>Tschetschenisch</t>
  </si>
  <si>
    <t>Englisch</t>
  </si>
  <si>
    <t>Türkisch</t>
  </si>
  <si>
    <t>Französisch</t>
  </si>
  <si>
    <t>Ungarisch</t>
  </si>
  <si>
    <t>Italienisch</t>
  </si>
  <si>
    <t>Ukrainisch</t>
  </si>
  <si>
    <t>Klasse, Telnr. der Eltern bekanntgegeben werden.</t>
  </si>
  <si>
    <t>Übermitteln Sie bitte die Schülerdaten per Mail an:</t>
  </si>
  <si>
    <t>mustafa.can@bildung-vbg.gv.at</t>
  </si>
  <si>
    <t>Anmeldeformulare und weiterführende Informationen</t>
  </si>
  <si>
    <t>VS für 2024/25</t>
  </si>
  <si>
    <r>
      <t xml:space="preserve"> NICHT</t>
    </r>
    <r>
      <rPr>
        <sz val="11"/>
        <rFont val="Calibri"/>
        <family val="2"/>
      </rPr>
      <t xml:space="preserve"> im Dienst</t>
    </r>
  </si>
  <si>
    <r>
      <t xml:space="preserve"> Versetzung beantragt
</t>
    </r>
    <r>
      <rPr>
        <sz val="11"/>
        <rFont val="Calibri"/>
        <family val="2"/>
      </rPr>
      <t xml:space="preserve"> (mit xx Stunden)</t>
    </r>
  </si>
  <si>
    <r>
      <t xml:space="preserve"> klassenführend</t>
    </r>
    <r>
      <rPr>
        <b/>
        <sz val="8"/>
        <rFont val="Arial"/>
        <family val="2"/>
      </rPr>
      <t/>
    </r>
  </si>
  <si>
    <r>
      <rPr>
        <sz val="11"/>
        <rFont val="Calibri"/>
        <family val="2"/>
      </rPr>
      <t xml:space="preserve"> für</t>
    </r>
    <r>
      <rPr>
        <b/>
        <sz val="11"/>
        <rFont val="Calibri"/>
        <family val="2"/>
      </rPr>
      <t xml:space="preserve"> Assistenz
 (mit Anstellung über BilDi)</t>
    </r>
  </si>
  <si>
    <r>
      <t xml:space="preserve"> Religion
 </t>
    </r>
    <r>
      <rPr>
        <sz val="11"/>
        <rFont val="Calibri"/>
        <family val="2"/>
      </rPr>
      <t>(röm.kath.)</t>
    </r>
  </si>
  <si>
    <t xml:space="preserve"> Muttersprache &amp;
 andere Religionen</t>
  </si>
  <si>
    <t xml:space="preserve"> Sprachheilpädagogik &amp;
 spezifische Lernförderung</t>
  </si>
  <si>
    <t xml:space="preserve"> Werken</t>
  </si>
  <si>
    <r>
      <t xml:space="preserve"> Einrechnungen
</t>
    </r>
    <r>
      <rPr>
        <sz val="11"/>
        <rFont val="Calibri"/>
        <family val="2"/>
      </rPr>
      <t xml:space="preserve"> (IT, Bib &amp; sonstige
 Einrechnungen) </t>
    </r>
  </si>
  <si>
    <r>
      <t xml:space="preserve"> Stunden an
 </t>
    </r>
    <r>
      <rPr>
        <b/>
        <sz val="11"/>
        <rFont val="Calibri"/>
        <family val="2"/>
      </rPr>
      <t>anderen Schulen</t>
    </r>
  </si>
  <si>
    <r>
      <t xml:space="preserve">Name, </t>
    </r>
    <r>
      <rPr>
        <b/>
        <sz val="12"/>
        <rFont val="Calibri"/>
        <family val="2"/>
      </rPr>
      <t>Stammschule</t>
    </r>
    <r>
      <rPr>
        <sz val="12"/>
        <rFont val="Calibri"/>
        <family val="2"/>
      </rPr>
      <t xml:space="preserve">
</t>
    </r>
  </si>
  <si>
    <t>Werken</t>
  </si>
  <si>
    <t>Sprachheilpädagogik &amp; 
spezifische Lernförderung</t>
  </si>
  <si>
    <r>
      <t xml:space="preserve">Assistenz
</t>
    </r>
    <r>
      <rPr>
        <sz val="10"/>
        <rFont val="Calibri"/>
        <family val="2"/>
      </rPr>
      <t>(mit Anstellung über BilDi)</t>
    </r>
  </si>
  <si>
    <t>IT-Betreuung</t>
  </si>
  <si>
    <r>
      <t xml:space="preserve">
</t>
    </r>
    <r>
      <rPr>
        <b/>
        <sz val="11"/>
        <rFont val="Calibri"/>
        <family val="2"/>
      </rPr>
      <t>Fach</t>
    </r>
  </si>
  <si>
    <t xml:space="preserve">
Stunden
</t>
  </si>
  <si>
    <t xml:space="preserve">Einschätzung der Schule: </t>
  </si>
  <si>
    <t xml:space="preserve">     keine personelle Änderung notwendig</t>
  </si>
  <si>
    <r>
      <t xml:space="preserve">     </t>
    </r>
    <r>
      <rPr>
        <b/>
        <u/>
        <sz val="14"/>
        <rFont val="Calibri"/>
        <family val="2"/>
      </rPr>
      <t>Überbesetzung:</t>
    </r>
  </si>
  <si>
    <t xml:space="preserve">      Lehrverpflichtung eingesetzt werden.  </t>
  </si>
  <si>
    <t xml:space="preserve">      Lösungsvorschlag:</t>
  </si>
  <si>
    <t>xx Stunden in</t>
  </si>
  <si>
    <t xml:space="preserve">     zusätzlicher Bedarf
      an Lehrpersonen:</t>
  </si>
  <si>
    <t xml:space="preserve"> klassenführend</t>
  </si>
  <si>
    <t xml:space="preserve"> Integration/
 Teamteaching</t>
  </si>
  <si>
    <r>
      <rPr>
        <b/>
        <sz val="11"/>
        <rFont val="Calibri"/>
        <family val="2"/>
      </rPr>
      <t xml:space="preserve"> Religion</t>
    </r>
    <r>
      <rPr>
        <b/>
        <sz val="10"/>
        <rFont val="Calibri"/>
        <family val="2"/>
      </rPr>
      <t xml:space="preserve">
 </t>
    </r>
    <r>
      <rPr>
        <sz val="9"/>
        <rFont val="Calibri"/>
        <family val="2"/>
      </rPr>
      <t>(röm.kath.)</t>
    </r>
  </si>
  <si>
    <t xml:space="preserve"> Sprachheilpädagogik &amp; 
 spezifische Lernförderung</t>
  </si>
  <si>
    <t xml:space="preserve"> Deutschförderung</t>
  </si>
  <si>
    <t xml:space="preserve"> andere Fächer</t>
  </si>
  <si>
    <r>
      <t xml:space="preserve">LehrerInnen mit </t>
    </r>
    <r>
      <rPr>
        <b/>
        <u/>
        <sz val="22"/>
        <color theme="1"/>
        <rFont val="Calibri"/>
        <family val="2"/>
      </rPr>
      <t>anderer Stammschule</t>
    </r>
    <r>
      <rPr>
        <b/>
        <sz val="22"/>
        <color theme="1"/>
        <rFont val="Calibri"/>
        <family val="2"/>
      </rPr>
      <t xml:space="preserve">, </t>
    </r>
  </si>
  <si>
    <r>
      <t xml:space="preserve"> Beschäftigungsausmaß 
 </t>
    </r>
    <r>
      <rPr>
        <sz val="11"/>
        <rFont val="Calibri"/>
        <family val="2"/>
      </rPr>
      <t>in Stunden</t>
    </r>
  </si>
  <si>
    <t>Name</t>
  </si>
  <si>
    <t>Vorname</t>
  </si>
  <si>
    <t>Std.</t>
  </si>
  <si>
    <t>Klf</t>
  </si>
  <si>
    <t>Rel</t>
  </si>
  <si>
    <t>WE</t>
  </si>
  <si>
    <t>SpSp</t>
  </si>
  <si>
    <t>Assi</t>
  </si>
  <si>
    <t>Einr.</t>
  </si>
  <si>
    <t>and.
Schule</t>
  </si>
  <si>
    <t>lit</t>
  </si>
  <si>
    <t>Schulname
für Konti</t>
  </si>
  <si>
    <t>Zusatz</t>
  </si>
  <si>
    <t>Bezirk</t>
  </si>
  <si>
    <t>Abzug
IT</t>
  </si>
  <si>
    <t>SB</t>
  </si>
  <si>
    <t>VS</t>
  </si>
  <si>
    <t>SART
für Konti</t>
  </si>
  <si>
    <t xml:space="preserve"> (mit ASO)</t>
  </si>
  <si>
    <t>Bartholomäberg-Gantschier</t>
  </si>
  <si>
    <t>MS</t>
  </si>
  <si>
    <t>Schruns-Dorf</t>
  </si>
  <si>
    <t>Bludenz-Mitte</t>
  </si>
  <si>
    <t>Innermontafon</t>
  </si>
  <si>
    <t>Bludenz-Obdorf</t>
  </si>
  <si>
    <t>Bludenz-St Peter</t>
  </si>
  <si>
    <t>Klostertal</t>
  </si>
  <si>
    <t>Bludenz-Außerbraz</t>
  </si>
  <si>
    <t>Schruns-Grüt</t>
  </si>
  <si>
    <t>Bludenz-Bings</t>
  </si>
  <si>
    <t>Großes Walsertal</t>
  </si>
  <si>
    <t>Brand</t>
  </si>
  <si>
    <t>MSp</t>
  </si>
  <si>
    <t>Ludesch-Oberland</t>
  </si>
  <si>
    <t>Wald am Arlberg</t>
  </si>
  <si>
    <t>Fontanella</t>
  </si>
  <si>
    <t>Innerbraz</t>
  </si>
  <si>
    <t>Lorüns</t>
  </si>
  <si>
    <t>Nenzing-Beschling</t>
  </si>
  <si>
    <t>St Anton im Montafon</t>
  </si>
  <si>
    <t>St Gallenkirch</t>
  </si>
  <si>
    <t>St Gallenkirch-Gortipohl</t>
  </si>
  <si>
    <t>St Gerold</t>
  </si>
  <si>
    <t>St Gallenkirch-Galgenul</t>
  </si>
  <si>
    <t>VSp</t>
  </si>
  <si>
    <t>Lernwerkstatt-Mittelpunkt</t>
  </si>
  <si>
    <t>Lernwerkstatt-Brunnenfeld</t>
  </si>
  <si>
    <t>Bregenz-Stadt</t>
  </si>
  <si>
    <t>Bregenz-Augasse</t>
  </si>
  <si>
    <t>Bregenz-Marienberg</t>
  </si>
  <si>
    <t>Bregenz-Schendlingen</t>
  </si>
  <si>
    <t>Bregenz-Rieden</t>
  </si>
  <si>
    <t>Bregenz-Fluh</t>
  </si>
  <si>
    <t>Au</t>
  </si>
  <si>
    <t>Bregenz-Riedenburg</t>
  </si>
  <si>
    <t>Alberschwende-Hof</t>
  </si>
  <si>
    <t>Egg</t>
  </si>
  <si>
    <t>Alberschwende-Dreßlen</t>
  </si>
  <si>
    <t>Hard-See</t>
  </si>
  <si>
    <t>Alberschwende-Fischbach</t>
  </si>
  <si>
    <t>Alberschwende-Müselbach</t>
  </si>
  <si>
    <t>Kleinwalsertal</t>
  </si>
  <si>
    <t>(mit ASO, PTS und RS)</t>
  </si>
  <si>
    <t>Andelsbuch-Bersbuch</t>
  </si>
  <si>
    <t>Lingenau</t>
  </si>
  <si>
    <t>Lochau</t>
  </si>
  <si>
    <t>Bildstein</t>
  </si>
  <si>
    <t>Hard-Mittelweiherburg</t>
  </si>
  <si>
    <t>Egg-Großdorf</t>
  </si>
  <si>
    <t>Gaißau</t>
  </si>
  <si>
    <t>Höchst-Kirchdorf</t>
  </si>
  <si>
    <t>Höchst-Unterdorf</t>
  </si>
  <si>
    <t>Krumbach</t>
  </si>
  <si>
    <t>Langen</t>
  </si>
  <si>
    <t>Lauterach-Dorf</t>
  </si>
  <si>
    <t>Lauterach-Unterfeld</t>
  </si>
  <si>
    <t>Mittelberg</t>
  </si>
  <si>
    <t>Hirschegg</t>
  </si>
  <si>
    <t>Riezlern</t>
  </si>
  <si>
    <t>Möggers</t>
  </si>
  <si>
    <t>Schwarzenberg</t>
  </si>
  <si>
    <t>Sulzberg</t>
  </si>
  <si>
    <t>Sulzberg-Thal</t>
  </si>
  <si>
    <t>Wolfurt-Bütze</t>
  </si>
  <si>
    <t>Wolfurt-Mähdle</t>
  </si>
  <si>
    <t>Bregenz-Weidach</t>
  </si>
  <si>
    <t>Höchst-Schulstube</t>
  </si>
  <si>
    <t>Bregenz-Mehrerau</t>
  </si>
  <si>
    <t>Dornbirn-Edlach</t>
  </si>
  <si>
    <t>Dornbirn-Bergmannstraße</t>
  </si>
  <si>
    <t>Dornbirn-Rohrbach</t>
  </si>
  <si>
    <t>Hohenems-Markt</t>
  </si>
  <si>
    <t>Dornbirn-Leopoldstraße</t>
  </si>
  <si>
    <t>Lustenau-Kirchdorf</t>
  </si>
  <si>
    <t>Dornbirn-Mittelfeld</t>
  </si>
  <si>
    <t>Dornbirn-Schoren</t>
  </si>
  <si>
    <t>Dornbirn-Baumgarten</t>
  </si>
  <si>
    <t>Dornbirn-Oberdorf</t>
  </si>
  <si>
    <t>Dornbirn-Lustenauerstraße</t>
  </si>
  <si>
    <t>Dornbirn-Haselstauden</t>
  </si>
  <si>
    <t>Hohenems-Herrenried</t>
  </si>
  <si>
    <t>Dornbirn-Gütle</t>
  </si>
  <si>
    <t>Lustenau-Hasenfeld</t>
  </si>
  <si>
    <t>Dornbirn-Heilgereuthe</t>
  </si>
  <si>
    <t>Dornbirn-Kehlegg</t>
  </si>
  <si>
    <t>Dornbirn-Watzenegg</t>
  </si>
  <si>
    <t>Dornbirn-Winsau</t>
  </si>
  <si>
    <t>Hohenems-Reute</t>
  </si>
  <si>
    <t>Lustenau-Rotkreuz</t>
  </si>
  <si>
    <t>Dornbirn-Wallenmahd</t>
  </si>
  <si>
    <t>Hohenems-Schwefel</t>
  </si>
  <si>
    <t>Dornbirn-Fischbach</t>
  </si>
  <si>
    <t>Düns</t>
  </si>
  <si>
    <t>Feldkirch-Oberau</t>
  </si>
  <si>
    <t>Feldkirch-Levis</t>
  </si>
  <si>
    <t>Rankweil-West</t>
  </si>
  <si>
    <t>Feldkirch-Gisingen-Sebastianplatz</t>
  </si>
  <si>
    <t>Feldkirch-Gisingen-Oberau</t>
  </si>
  <si>
    <t>Zwischenwasser-Muntlix</t>
  </si>
  <si>
    <t>Feldkirch-Nofels</t>
  </si>
  <si>
    <t>Feldkirch-Institut St Josef</t>
  </si>
  <si>
    <t>Feldkirch-Tosters</t>
  </si>
  <si>
    <t>Frastanz Hofen</t>
  </si>
  <si>
    <t>Frastanz-Fellengatter</t>
  </si>
  <si>
    <t>Rankweil-Ost</t>
  </si>
  <si>
    <t>Göfis-Kirchdorf</t>
  </si>
  <si>
    <t>Göfis-Agasella</t>
  </si>
  <si>
    <t>Götzis-Markt</t>
  </si>
  <si>
    <t>Götzis-Berg</t>
  </si>
  <si>
    <t>Meiningen</t>
  </si>
  <si>
    <t>Rankweil-Markt</t>
  </si>
  <si>
    <t>Rankweil-Brederis</t>
  </si>
  <si>
    <t>Röthis</t>
  </si>
  <si>
    <t>Götzis-Blattur</t>
  </si>
  <si>
    <t>Rankweil-Entdeckerschule</t>
  </si>
  <si>
    <t>Rankweil-Montfort</t>
  </si>
  <si>
    <t>Freie Montessori Schule</t>
  </si>
  <si>
    <t xml:space="preserve">Summe: </t>
  </si>
  <si>
    <t xml:space="preserve">zur Verfügung stehendes Kontingent: </t>
  </si>
  <si>
    <t xml:space="preserve">Restkontingent: </t>
  </si>
  <si>
    <t>Konti24</t>
  </si>
  <si>
    <t>Mb VS Röns 804281</t>
  </si>
  <si>
    <t>Mb VS Übersaxen 804341</t>
  </si>
  <si>
    <t>Mb VS Raggal 801351</t>
  </si>
  <si>
    <t>gL 801132 MSp Ludesch-Oberland</t>
  </si>
  <si>
    <t>gL 804301 VS Satteins</t>
  </si>
  <si>
    <t>gL 804331 VS Sulz</t>
  </si>
  <si>
    <t>gL 801181 VS Fontanella</t>
  </si>
  <si>
    <t>SO 801013 ASO Bludenz</t>
  </si>
  <si>
    <t>Mb 801391 St. Gallenkirch + 801561 St. Gallenkirch-Galgenul</t>
  </si>
  <si>
    <r>
      <t xml:space="preserve">LeiterIn und LehrerInnen </t>
    </r>
    <r>
      <rPr>
        <b/>
        <sz val="18"/>
        <rFont val="Calibri"/>
        <family val="2"/>
      </rPr>
      <t xml:space="preserve">
</t>
    </r>
    <r>
      <rPr>
        <b/>
        <sz val="18"/>
        <color indexed="16"/>
        <rFont val="Calibri"/>
        <family val="2"/>
      </rPr>
      <t xml:space="preserve">der eigenen Schule 
</t>
    </r>
    <r>
      <rPr>
        <b/>
        <sz val="10"/>
        <color indexed="16"/>
        <rFont val="Calibri"/>
        <family val="2"/>
      </rPr>
      <t>[= Stammschule]</t>
    </r>
    <r>
      <rPr>
        <b/>
        <sz val="10"/>
        <rFont val="Calibri"/>
        <family val="2"/>
      </rPr>
      <t xml:space="preserve">
… in alphabetischer Reihenfolge
</t>
    </r>
    <r>
      <rPr>
        <b/>
        <u/>
        <sz val="10"/>
        <rFont val="Calibri"/>
        <family val="2"/>
      </rPr>
      <t>beginnend mit der Leitung</t>
    </r>
  </si>
  <si>
    <t>Summe</t>
  </si>
  <si>
    <t xml:space="preserve"> Erstsprache &amp;
 andere Religionen</t>
  </si>
  <si>
    <t xml:space="preserve">      nicht alle im Blatt &lt;Lehrpersonen&gt; eingetragenen Lehrpersonen können im Rahmen ihrer </t>
  </si>
  <si>
    <t xml:space="preserve">verpflichtend angemeldet haben, unabhängig davon, ob an der Stammschule </t>
  </si>
  <si>
    <r>
      <t xml:space="preserve"> Gehaltene Stunden
</t>
    </r>
    <r>
      <rPr>
        <sz val="11"/>
        <rFont val="Calibri"/>
        <family val="2"/>
        <scheme val="minor"/>
      </rPr>
      <t xml:space="preserve"> außer jene der Spalten H bis O</t>
    </r>
  </si>
  <si>
    <r>
      <t xml:space="preserve"> Gehaltene Stunden
</t>
    </r>
    <r>
      <rPr>
        <sz val="11"/>
        <rFont val="Calibri"/>
        <family val="2"/>
        <scheme val="minor"/>
      </rPr>
      <t xml:space="preserve"> außer jene der Spalten F bis N</t>
    </r>
  </si>
  <si>
    <t xml:space="preserve"> Erstsprache &amp;
 alle Religionen
</t>
  </si>
  <si>
    <t xml:space="preserve">Lit. Stunden + GTS: </t>
  </si>
  <si>
    <t xml:space="preserve">Extra Antrag: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</si>
</sst>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General\ \K\L"/>
    <numFmt numFmtId="166" formatCode="\+\ 0.0;\-\ 0.0"/>
    <numFmt numFmtId="167" formatCode="\(General\)"/>
    <numFmt numFmtId="168" formatCode="\(\~General\ \K\L\ \+\)"/>
    <numFmt numFmtId="169" formatCode="\á\ \ 0.00"/>
    <numFmt numFmtId="170" formatCode="&quot; +BEOR  &quot;General"/>
    <numFmt numFmtId="171" formatCode="\+General;\-General"/>
    <numFmt numFmtId="172" formatCode="\+\ General"/>
    <numFmt numFmtId="173" formatCode="0.0%"/>
    <numFmt numFmtId="174" formatCode="\+\ General;\-\ General"/>
  </numFmts>
  <fonts count="218"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2"/>
      <color theme="1"/>
      <name val="Calibri"/>
      <family val="2"/>
    </font>
    <font>
      <sz val="14"/>
      <color theme="1"/>
      <name val="Calibri"/>
      <family val="2"/>
    </font>
    <font>
      <sz val="11"/>
      <color theme="1"/>
      <name val="Calibri"/>
      <family val="2"/>
      <scheme val="minor"/>
    </font>
    <font>
      <b/>
      <u/>
      <sz val="14"/>
      <color rgb="FFC00000"/>
      <name val="Calibri"/>
      <family val="2"/>
      <scheme val="minor"/>
    </font>
    <font>
      <sz val="14"/>
      <color theme="1"/>
      <name val="Calibri"/>
      <family val="2"/>
      <scheme val="minor"/>
    </font>
    <font>
      <sz val="11"/>
      <color rgb="FF000000"/>
      <name val="Calibri"/>
      <family val="2"/>
    </font>
    <font>
      <b/>
      <sz val="11"/>
      <color rgb="FF000000"/>
      <name val="Calibri"/>
      <family val="2"/>
    </font>
    <font>
      <sz val="10"/>
      <name val="Arial"/>
      <family val="2"/>
    </font>
    <font>
      <sz val="11"/>
      <color rgb="FF0070C0"/>
      <name val="Calibri"/>
      <family val="2"/>
    </font>
    <font>
      <sz val="13"/>
      <color theme="1"/>
      <name val="Calibri"/>
      <family val="2"/>
    </font>
    <font>
      <sz val="16"/>
      <color theme="1"/>
      <name val="Calibri"/>
      <family val="2"/>
    </font>
    <font>
      <b/>
      <sz val="12"/>
      <color theme="1"/>
      <name val="Calibri"/>
      <family val="2"/>
    </font>
    <font>
      <sz val="11"/>
      <color rgb="FFC00000"/>
      <name val="Calibri"/>
      <family val="2"/>
    </font>
    <font>
      <sz val="10"/>
      <color rgb="FFC00000"/>
      <name val="Calibri"/>
      <family val="2"/>
    </font>
    <font>
      <sz val="11"/>
      <color theme="0" tint="-0.499984740745262"/>
      <name val="Calibri"/>
      <family val="2"/>
    </font>
    <font>
      <sz val="10"/>
      <name val="Calibri"/>
      <family val="2"/>
    </font>
    <font>
      <sz val="11"/>
      <name val="Calibri"/>
      <family val="2"/>
    </font>
    <font>
      <b/>
      <u/>
      <sz val="12"/>
      <color theme="1"/>
      <name val="Calibri"/>
      <family val="2"/>
    </font>
    <font>
      <i/>
      <sz val="10"/>
      <color theme="0" tint="-0.499984740745262"/>
      <name val="Calibri"/>
      <family val="2"/>
    </font>
    <font>
      <i/>
      <sz val="11"/>
      <color theme="1"/>
      <name val="Calibri"/>
      <family val="2"/>
    </font>
    <font>
      <b/>
      <sz val="11"/>
      <color rgb="FF0070C0"/>
      <name val="Calibri"/>
      <family val="2"/>
    </font>
    <font>
      <sz val="11"/>
      <color rgb="FF7030A0"/>
      <name val="Calibri"/>
      <family val="2"/>
    </font>
    <font>
      <sz val="4"/>
      <color theme="1"/>
      <name val="Calibri"/>
      <family val="2"/>
    </font>
    <font>
      <sz val="10"/>
      <color theme="1"/>
      <name val="Calibri"/>
      <family val="2"/>
    </font>
    <font>
      <sz val="5"/>
      <color theme="0" tint="-0.499984740745262"/>
      <name val="Calibri"/>
      <family val="2"/>
    </font>
    <font>
      <b/>
      <u/>
      <sz val="11"/>
      <color theme="1"/>
      <name val="Calibri"/>
      <family val="2"/>
    </font>
    <font>
      <sz val="5"/>
      <color theme="1"/>
      <name val="Calibri"/>
      <family val="2"/>
      <scheme val="minor"/>
    </font>
    <font>
      <i/>
      <sz val="8"/>
      <color theme="1"/>
      <name val="Calibri"/>
      <family val="2"/>
    </font>
    <font>
      <i/>
      <sz val="9"/>
      <color theme="1"/>
      <name val="Calibri"/>
      <family val="2"/>
    </font>
    <font>
      <i/>
      <sz val="10"/>
      <name val="Calibri"/>
      <family val="2"/>
    </font>
    <font>
      <sz val="10"/>
      <color rgb="FF0070C0"/>
      <name val="Calibri"/>
      <family val="2"/>
    </font>
    <font>
      <sz val="8"/>
      <color rgb="FF0070C0"/>
      <name val="Calibri"/>
      <family val="2"/>
    </font>
    <font>
      <sz val="9"/>
      <color theme="0" tint="-0.249977111117893"/>
      <name val="Calibri"/>
      <family val="2"/>
    </font>
    <font>
      <b/>
      <sz val="11"/>
      <color rgb="FFC00000"/>
      <name val="Calibri"/>
      <family val="2"/>
    </font>
    <font>
      <b/>
      <sz val="14"/>
      <color theme="1"/>
      <name val="Calibri"/>
      <family val="2"/>
    </font>
    <font>
      <sz val="8"/>
      <color theme="0" tint="-0.499984740745262"/>
      <name val="Calibri"/>
      <family val="2"/>
    </font>
    <font>
      <sz val="9"/>
      <color theme="0" tint="-0.499984740745262"/>
      <name val="Calibri"/>
      <family val="2"/>
    </font>
    <font>
      <b/>
      <sz val="11"/>
      <color rgb="FF7030A0"/>
      <name val="Calibri"/>
      <family val="2"/>
    </font>
    <font>
      <b/>
      <sz val="14"/>
      <name val="Calibri"/>
      <family val="2"/>
    </font>
    <font>
      <sz val="8"/>
      <color theme="1"/>
      <name val="Calibri"/>
      <family val="2"/>
    </font>
    <font>
      <i/>
      <sz val="11"/>
      <color theme="9" tint="-0.249977111117893"/>
      <name val="Calibri"/>
      <family val="2"/>
    </font>
    <font>
      <sz val="9"/>
      <color rgb="FF0070C0"/>
      <name val="Calibri"/>
      <family val="2"/>
    </font>
    <font>
      <sz val="10"/>
      <color theme="0"/>
      <name val="Calibri"/>
      <family val="2"/>
    </font>
    <font>
      <sz val="6"/>
      <color theme="0"/>
      <name val="Calibri"/>
      <family val="2"/>
    </font>
    <font>
      <sz val="6"/>
      <color theme="1"/>
      <name val="Calibri"/>
      <family val="2"/>
    </font>
    <font>
      <i/>
      <sz val="8"/>
      <color rgb="FF0070C0"/>
      <name val="Calibri"/>
      <family val="2"/>
    </font>
    <font>
      <sz val="10"/>
      <color rgb="FF0070C0"/>
      <name val="Calibri"/>
      <family val="2"/>
      <scheme val="minor"/>
    </font>
    <font>
      <sz val="11"/>
      <color rgb="FF0070C0"/>
      <name val="Calibri"/>
      <family val="2"/>
      <scheme val="minor"/>
    </font>
    <font>
      <sz val="8"/>
      <color rgb="FF00B050"/>
      <name val="Calibri"/>
      <family val="2"/>
    </font>
    <font>
      <sz val="11"/>
      <name val="Arial"/>
      <family val="2"/>
    </font>
    <font>
      <u/>
      <sz val="11"/>
      <color indexed="12"/>
      <name val="Arial"/>
      <family val="2"/>
    </font>
    <font>
      <sz val="9"/>
      <color indexed="81"/>
      <name val="Tahoma"/>
      <family val="2"/>
    </font>
    <font>
      <sz val="9"/>
      <color indexed="81"/>
      <name val="Segoe UI"/>
      <family val="2"/>
    </font>
    <font>
      <sz val="24"/>
      <name val="Calibri"/>
      <family val="2"/>
      <scheme val="minor"/>
    </font>
    <font>
      <sz val="11"/>
      <name val="Calibri"/>
      <family val="2"/>
      <scheme val="minor"/>
    </font>
    <font>
      <u/>
      <sz val="18"/>
      <name val="Calibri"/>
      <family val="2"/>
      <scheme val="minor"/>
    </font>
    <font>
      <sz val="8"/>
      <name val="Calibri"/>
      <family val="2"/>
      <scheme val="minor"/>
    </font>
    <font>
      <u/>
      <sz val="8"/>
      <name val="Calibri"/>
      <family val="2"/>
      <scheme val="minor"/>
    </font>
    <font>
      <sz val="9"/>
      <name val="Calibri"/>
      <family val="2"/>
      <scheme val="minor"/>
    </font>
    <font>
      <i/>
      <sz val="11"/>
      <color indexed="62"/>
      <name val="Calibri"/>
      <family val="2"/>
      <scheme val="minor"/>
    </font>
    <font>
      <sz val="10"/>
      <color rgb="FF333399"/>
      <name val="Calibri"/>
      <family val="2"/>
      <scheme val="minor"/>
    </font>
    <font>
      <i/>
      <sz val="9"/>
      <color rgb="FF333399"/>
      <name val="Calibri"/>
      <family val="2"/>
      <scheme val="minor"/>
    </font>
    <font>
      <sz val="11"/>
      <color indexed="62"/>
      <name val="Calibri"/>
      <family val="2"/>
      <scheme val="minor"/>
    </font>
    <font>
      <u/>
      <sz val="11"/>
      <color rgb="FF333399"/>
      <name val="Calibri"/>
      <family val="2"/>
      <scheme val="minor"/>
    </font>
    <font>
      <sz val="14"/>
      <name val="Calibri"/>
      <family val="2"/>
      <scheme val="minor"/>
    </font>
    <font>
      <sz val="12"/>
      <name val="Calibri"/>
      <family val="2"/>
      <scheme val="minor"/>
    </font>
    <font>
      <u/>
      <sz val="12"/>
      <name val="Calibri"/>
      <family val="2"/>
      <scheme val="minor"/>
    </font>
    <font>
      <sz val="2"/>
      <name val="Calibri"/>
      <family val="2"/>
      <scheme val="minor"/>
    </font>
    <font>
      <b/>
      <sz val="12"/>
      <name val="Calibri"/>
      <family val="2"/>
      <scheme val="minor"/>
    </font>
    <font>
      <b/>
      <sz val="11"/>
      <name val="Calibri"/>
      <family val="2"/>
      <scheme val="minor"/>
    </font>
    <font>
      <sz val="10"/>
      <name val="Calibri"/>
      <family val="2"/>
      <scheme val="minor"/>
    </font>
    <font>
      <sz val="8"/>
      <color indexed="12"/>
      <name val="Calibri"/>
      <family val="2"/>
      <scheme val="minor"/>
    </font>
    <font>
      <i/>
      <sz val="8"/>
      <color indexed="60"/>
      <name val="Calibri"/>
      <family val="2"/>
      <scheme val="minor"/>
    </font>
    <font>
      <b/>
      <u/>
      <sz val="12"/>
      <name val="Calibri"/>
      <family val="2"/>
      <scheme val="minor"/>
    </font>
    <font>
      <sz val="8"/>
      <color theme="2" tint="-0.249977111117893"/>
      <name val="Calibri"/>
      <family val="2"/>
      <scheme val="minor"/>
    </font>
    <font>
      <sz val="16"/>
      <name val="Calibri"/>
      <family val="2"/>
      <scheme val="minor"/>
    </font>
    <font>
      <sz val="11"/>
      <color indexed="16"/>
      <name val="Calibri"/>
      <family val="2"/>
      <scheme val="minor"/>
    </font>
    <font>
      <sz val="8"/>
      <color indexed="44"/>
      <name val="Calibri"/>
      <family val="2"/>
      <scheme val="minor"/>
    </font>
    <font>
      <sz val="8"/>
      <color theme="6" tint="0.79998168889431442"/>
      <name val="Calibri"/>
      <family val="2"/>
      <scheme val="minor"/>
    </font>
    <font>
      <sz val="11"/>
      <color indexed="17"/>
      <name val="Calibri"/>
      <family val="2"/>
      <scheme val="minor"/>
    </font>
    <font>
      <sz val="9"/>
      <color indexed="17"/>
      <name val="Calibri"/>
      <family val="2"/>
      <scheme val="minor"/>
    </font>
    <font>
      <sz val="7"/>
      <color indexed="17"/>
      <name val="Calibri"/>
      <family val="2"/>
      <scheme val="minor"/>
    </font>
    <font>
      <sz val="9"/>
      <color indexed="12"/>
      <name val="Calibri"/>
      <family val="2"/>
      <scheme val="minor"/>
    </font>
    <font>
      <sz val="9"/>
      <color indexed="16"/>
      <name val="Calibri"/>
      <family val="2"/>
      <scheme val="minor"/>
    </font>
    <font>
      <sz val="8"/>
      <color theme="0"/>
      <name val="Calibri"/>
      <family val="2"/>
      <scheme val="minor"/>
    </font>
    <font>
      <sz val="8"/>
      <color rgb="FF0070C0"/>
      <name val="Calibri"/>
      <family val="2"/>
      <scheme val="minor"/>
    </font>
    <font>
      <sz val="6"/>
      <name val="Calibri"/>
      <family val="2"/>
      <scheme val="minor"/>
    </font>
    <font>
      <b/>
      <sz val="14"/>
      <name val="Calibri"/>
      <family val="2"/>
      <scheme val="minor"/>
    </font>
    <font>
      <sz val="11"/>
      <color indexed="12"/>
      <name val="Calibri"/>
      <family val="2"/>
      <scheme val="minor"/>
    </font>
    <font>
      <b/>
      <sz val="11"/>
      <color theme="4" tint="-0.249977111117893"/>
      <name val="Calibri"/>
      <family val="2"/>
      <scheme val="minor"/>
    </font>
    <font>
      <b/>
      <sz val="9"/>
      <name val="Calibri"/>
      <family val="2"/>
      <scheme val="minor"/>
    </font>
    <font>
      <i/>
      <sz val="11"/>
      <name val="Calibri"/>
      <family val="2"/>
      <scheme val="minor"/>
    </font>
    <font>
      <sz val="8"/>
      <color rgb="FF0000FF"/>
      <name val="Calibri"/>
      <family val="2"/>
      <scheme val="minor"/>
    </font>
    <font>
      <sz val="11"/>
      <color rgb="FF0000FF"/>
      <name val="Calibri"/>
      <family val="2"/>
      <scheme val="minor"/>
    </font>
    <font>
      <i/>
      <sz val="6"/>
      <name val="Calibri"/>
      <family val="2"/>
      <scheme val="minor"/>
    </font>
    <font>
      <sz val="11"/>
      <color theme="1"/>
      <name val="Calibri"/>
      <family val="2"/>
    </font>
    <font>
      <u/>
      <sz val="20"/>
      <name val="Calibri"/>
      <family val="2"/>
      <scheme val="minor"/>
    </font>
    <font>
      <sz val="18"/>
      <name val="Calibri"/>
      <family val="2"/>
      <scheme val="minor"/>
    </font>
    <font>
      <sz val="9"/>
      <color rgb="FF0070C0"/>
      <name val="Calibri"/>
      <family val="2"/>
      <scheme val="minor"/>
    </font>
    <font>
      <sz val="13"/>
      <name val="Calibri"/>
      <family val="2"/>
      <scheme val="minor"/>
    </font>
    <font>
      <sz val="11"/>
      <color indexed="16"/>
      <name val="Arial"/>
      <family val="2"/>
    </font>
    <font>
      <sz val="8"/>
      <color indexed="16"/>
      <name val="Arial"/>
      <family val="2"/>
    </font>
    <font>
      <b/>
      <sz val="11"/>
      <color rgb="FF7030A0"/>
      <name val="Arial"/>
      <family val="2"/>
    </font>
    <font>
      <b/>
      <sz val="11"/>
      <name val="Arial"/>
      <family val="2"/>
    </font>
    <font>
      <sz val="14"/>
      <name val="Arial"/>
      <family val="2"/>
    </font>
    <font>
      <u/>
      <sz val="10"/>
      <name val="Calibri"/>
      <family val="2"/>
      <scheme val="minor"/>
    </font>
    <font>
      <sz val="11"/>
      <color theme="4" tint="0.39997558519241921"/>
      <name val="Calibri"/>
      <family val="2"/>
      <scheme val="minor"/>
    </font>
    <font>
      <b/>
      <sz val="11"/>
      <color theme="4" tint="0.39997558519241921"/>
      <name val="Calibri"/>
      <family val="2"/>
      <scheme val="minor"/>
    </font>
    <font>
      <u/>
      <sz val="12"/>
      <color theme="1"/>
      <name val="Calibri"/>
      <family val="2"/>
    </font>
    <font>
      <sz val="11"/>
      <color theme="5" tint="0.39997558519241921"/>
      <name val="Calibri"/>
      <family val="2"/>
      <scheme val="minor"/>
    </font>
    <font>
      <i/>
      <sz val="9"/>
      <color rgb="FF0070C0"/>
      <name val="Calibri"/>
      <family val="2"/>
    </font>
    <font>
      <sz val="8"/>
      <color theme="0" tint="-0.249977111117893"/>
      <name val="Calibri"/>
      <family val="2"/>
      <scheme val="minor"/>
    </font>
    <font>
      <b/>
      <u/>
      <sz val="11"/>
      <name val="Calibri"/>
      <family val="2"/>
      <scheme val="minor"/>
    </font>
    <font>
      <b/>
      <sz val="13"/>
      <name val="Calibri"/>
      <family val="2"/>
      <scheme val="minor"/>
    </font>
    <font>
      <i/>
      <sz val="8"/>
      <color rgb="FF0070C0"/>
      <name val="Calibri"/>
      <family val="2"/>
      <scheme val="minor"/>
    </font>
    <font>
      <sz val="24"/>
      <color theme="1"/>
      <name val="Calibri"/>
      <family val="2"/>
      <scheme val="minor"/>
    </font>
    <font>
      <sz val="26"/>
      <name val="Calibri"/>
      <family val="2"/>
      <scheme val="minor"/>
    </font>
    <font>
      <strike/>
      <sz val="8"/>
      <color theme="0" tint="-0.499984740745262"/>
      <name val="Calibri"/>
      <family val="2"/>
    </font>
    <font>
      <u/>
      <sz val="13"/>
      <color theme="1"/>
      <name val="Calibri"/>
      <family val="2"/>
    </font>
    <font>
      <b/>
      <i/>
      <sz val="14"/>
      <name val="Calibri"/>
      <family val="2"/>
      <scheme val="minor"/>
    </font>
    <font>
      <sz val="11"/>
      <name val="Arial"/>
      <family val="2"/>
    </font>
    <font>
      <sz val="7"/>
      <name val="Calibri"/>
      <family val="2"/>
      <scheme val="minor"/>
    </font>
    <font>
      <i/>
      <sz val="10"/>
      <name val="Calibri"/>
      <family val="2"/>
      <scheme val="minor"/>
    </font>
    <font>
      <b/>
      <sz val="12"/>
      <color rgb="FF00B050"/>
      <name val="Calibri"/>
      <family val="2"/>
      <scheme val="minor"/>
    </font>
    <font>
      <b/>
      <sz val="16"/>
      <color rgb="FFFF0000"/>
      <name val="Calibri"/>
      <family val="2"/>
      <scheme val="minor"/>
    </font>
    <font>
      <i/>
      <sz val="12"/>
      <name val="Calibri"/>
      <family val="2"/>
      <scheme val="minor"/>
    </font>
    <font>
      <b/>
      <u/>
      <sz val="14"/>
      <name val="Calibri"/>
      <family val="2"/>
      <scheme val="minor"/>
    </font>
    <font>
      <sz val="15"/>
      <name val="Calibri"/>
      <family val="2"/>
      <scheme val="minor"/>
    </font>
    <font>
      <i/>
      <sz val="17"/>
      <color rgb="FFC00000"/>
      <name val="Calibri"/>
      <family val="2"/>
      <scheme val="minor"/>
    </font>
    <font>
      <b/>
      <sz val="14"/>
      <color indexed="17"/>
      <name val="Calibri"/>
      <family val="2"/>
      <scheme val="minor"/>
    </font>
    <font>
      <sz val="20"/>
      <name val="Calibri"/>
      <family val="2"/>
      <scheme val="minor"/>
    </font>
    <font>
      <i/>
      <sz val="11"/>
      <color rgb="FF0070C0"/>
      <name val="Calibri"/>
      <family val="2"/>
      <scheme val="minor"/>
    </font>
    <font>
      <i/>
      <sz val="11"/>
      <name val="Calibri"/>
      <family val="2"/>
    </font>
    <font>
      <i/>
      <sz val="9"/>
      <color rgb="FF0070C0"/>
      <name val="Calibri"/>
      <family val="2"/>
      <scheme val="minor"/>
    </font>
    <font>
      <i/>
      <sz val="10"/>
      <color rgb="FF0070C0"/>
      <name val="Calibri"/>
      <family val="2"/>
      <scheme val="minor"/>
    </font>
    <font>
      <i/>
      <sz val="7"/>
      <color rgb="FF0070C0"/>
      <name val="Calibri"/>
      <family val="2"/>
      <scheme val="minor"/>
    </font>
    <font>
      <sz val="19"/>
      <color theme="1"/>
      <name val="Calibri"/>
      <family val="2"/>
    </font>
    <font>
      <b/>
      <u/>
      <sz val="20"/>
      <name val="Calibri"/>
      <family val="2"/>
      <scheme val="minor"/>
    </font>
    <font>
      <i/>
      <sz val="16"/>
      <color theme="1"/>
      <name val="Calibri"/>
      <family val="2"/>
    </font>
    <font>
      <sz val="18"/>
      <color theme="1"/>
      <name val="Calibri"/>
      <family val="2"/>
    </font>
    <font>
      <u/>
      <sz val="18"/>
      <color theme="1"/>
      <name val="Calibri"/>
      <family val="2"/>
    </font>
    <font>
      <sz val="6"/>
      <color theme="0"/>
      <name val="Calibri"/>
      <family val="2"/>
      <scheme val="minor"/>
    </font>
    <font>
      <sz val="7"/>
      <color rgb="FF0070C0"/>
      <name val="Calibri"/>
      <family val="2"/>
      <scheme val="minor"/>
    </font>
    <font>
      <sz val="10.8"/>
      <name val="Calibri"/>
      <family val="2"/>
      <scheme val="minor"/>
    </font>
    <font>
      <b/>
      <sz val="10.8"/>
      <name val="Calibri"/>
      <family val="2"/>
      <scheme val="minor"/>
    </font>
    <font>
      <u/>
      <sz val="19"/>
      <name val="Calibri"/>
      <family val="2"/>
      <scheme val="minor"/>
    </font>
    <font>
      <sz val="11"/>
      <color theme="0"/>
      <name val="Calibri"/>
      <family val="2"/>
      <scheme val="minor"/>
    </font>
    <font>
      <b/>
      <sz val="10"/>
      <name val="Calibri"/>
      <family val="2"/>
      <scheme val="minor"/>
    </font>
    <font>
      <sz val="6"/>
      <color theme="1"/>
      <name val="Calibri"/>
      <family val="2"/>
      <scheme val="minor"/>
    </font>
    <font>
      <sz val="7"/>
      <name val="Arial"/>
      <family val="2"/>
    </font>
    <font>
      <sz val="14"/>
      <color theme="0"/>
      <name val="Calibri"/>
      <family val="2"/>
      <scheme val="minor"/>
    </font>
    <font>
      <strike/>
      <sz val="9"/>
      <color theme="0"/>
      <name val="Calibri"/>
      <family val="2"/>
      <scheme val="minor"/>
    </font>
    <font>
      <sz val="28"/>
      <color theme="0"/>
      <name val="Calibri"/>
      <family val="2"/>
      <scheme val="minor"/>
    </font>
    <font>
      <i/>
      <sz val="11"/>
      <color theme="1"/>
      <name val="Calibri"/>
      <family val="2"/>
      <scheme val="minor"/>
    </font>
    <font>
      <sz val="8"/>
      <color theme="1"/>
      <name val="Calibri"/>
      <family val="2"/>
      <scheme val="minor"/>
    </font>
    <font>
      <b/>
      <sz val="11"/>
      <color theme="1"/>
      <name val="Calibri"/>
      <family val="2"/>
      <scheme val="minor"/>
    </font>
    <font>
      <sz val="12"/>
      <color theme="1"/>
      <name val="Calibri"/>
      <family val="2"/>
      <scheme val="minor"/>
    </font>
    <font>
      <sz val="20"/>
      <color theme="0"/>
      <name val="Calibri"/>
      <family val="2"/>
      <scheme val="minor"/>
    </font>
    <font>
      <u/>
      <sz val="11"/>
      <color indexed="12"/>
      <name val="Calibri"/>
      <family val="2"/>
      <scheme val="minor"/>
    </font>
    <font>
      <sz val="12"/>
      <color theme="0"/>
      <name val="Calibri"/>
      <family val="2"/>
      <scheme val="minor"/>
    </font>
    <font>
      <b/>
      <u/>
      <sz val="25"/>
      <name val="Calibri"/>
      <family val="2"/>
    </font>
    <font>
      <b/>
      <sz val="25"/>
      <name val="Calibri"/>
      <family val="2"/>
    </font>
    <font>
      <i/>
      <sz val="18"/>
      <name val="Calibri"/>
      <family val="2"/>
      <scheme val="minor"/>
    </font>
    <font>
      <u/>
      <sz val="25"/>
      <name val="Calibri"/>
      <family val="2"/>
      <scheme val="minor"/>
    </font>
    <font>
      <b/>
      <sz val="20"/>
      <name val="Calibri"/>
      <family val="2"/>
      <scheme val="minor"/>
    </font>
    <font>
      <b/>
      <sz val="18"/>
      <name val="Calibri"/>
      <family val="2"/>
    </font>
    <font>
      <b/>
      <sz val="18"/>
      <color indexed="16"/>
      <name val="Calibri"/>
      <family val="2"/>
    </font>
    <font>
      <b/>
      <sz val="10"/>
      <color indexed="16"/>
      <name val="Calibri"/>
      <family val="2"/>
    </font>
    <font>
      <b/>
      <sz val="10"/>
      <name val="Calibri"/>
      <family val="2"/>
    </font>
    <font>
      <b/>
      <sz val="8"/>
      <name val="Arial"/>
      <family val="2"/>
    </font>
    <font>
      <b/>
      <sz val="11"/>
      <name val="Calibri"/>
      <family val="2"/>
    </font>
    <font>
      <sz val="13"/>
      <color indexed="12"/>
      <name val="Calibri"/>
      <family val="2"/>
      <scheme val="minor"/>
    </font>
    <font>
      <sz val="5"/>
      <name val="Calibri"/>
      <family val="2"/>
      <scheme val="minor"/>
    </font>
    <font>
      <sz val="4"/>
      <name val="Calibri"/>
      <family val="2"/>
      <scheme val="minor"/>
    </font>
    <font>
      <i/>
      <sz val="16"/>
      <name val="Calibri"/>
      <family val="2"/>
      <scheme val="minor"/>
    </font>
    <font>
      <sz val="18"/>
      <color indexed="12"/>
      <name val="Calibri"/>
      <family val="2"/>
      <scheme val="minor"/>
    </font>
    <font>
      <sz val="18"/>
      <color indexed="10"/>
      <name val="Calibri"/>
      <family val="2"/>
      <scheme val="minor"/>
    </font>
    <font>
      <b/>
      <sz val="22"/>
      <name val="Calibri"/>
      <family val="2"/>
      <scheme val="minor"/>
    </font>
    <font>
      <sz val="8"/>
      <color indexed="10"/>
      <name val="Calibri"/>
      <family val="2"/>
      <scheme val="minor"/>
    </font>
    <font>
      <b/>
      <sz val="12"/>
      <name val="Calibri"/>
      <family val="2"/>
    </font>
    <font>
      <sz val="12"/>
      <name val="Calibri"/>
      <family val="2"/>
    </font>
    <font>
      <sz val="14"/>
      <color indexed="12"/>
      <name val="Calibri"/>
      <family val="2"/>
      <scheme val="minor"/>
    </font>
    <font>
      <sz val="22"/>
      <name val="Calibri"/>
      <family val="2"/>
      <scheme val="minor"/>
    </font>
    <font>
      <b/>
      <i/>
      <sz val="24"/>
      <name val="Calibri"/>
      <family val="2"/>
      <scheme val="minor"/>
    </font>
    <font>
      <sz val="24"/>
      <color indexed="12"/>
      <name val="Calibri"/>
      <family val="2"/>
      <scheme val="minor"/>
    </font>
    <font>
      <b/>
      <sz val="16"/>
      <name val="Calibri"/>
      <family val="2"/>
      <scheme val="minor"/>
    </font>
    <font>
      <b/>
      <u/>
      <sz val="14"/>
      <name val="Calibri"/>
      <family val="2"/>
    </font>
    <font>
      <sz val="11"/>
      <color indexed="10"/>
      <name val="Calibri"/>
      <family val="2"/>
      <scheme val="minor"/>
    </font>
    <font>
      <sz val="9"/>
      <name val="Calibri"/>
      <family val="2"/>
    </font>
    <font>
      <sz val="2"/>
      <color indexed="12"/>
      <name val="Calibri"/>
      <family val="2"/>
      <scheme val="minor"/>
    </font>
    <font>
      <sz val="2"/>
      <color indexed="10"/>
      <name val="Calibri"/>
      <family val="2"/>
      <scheme val="minor"/>
    </font>
    <font>
      <b/>
      <sz val="22"/>
      <color theme="1"/>
      <name val="Calibri"/>
      <family val="2"/>
      <scheme val="minor"/>
    </font>
    <font>
      <b/>
      <u/>
      <sz val="22"/>
      <color theme="1"/>
      <name val="Calibri"/>
      <family val="2"/>
    </font>
    <font>
      <b/>
      <sz val="22"/>
      <color theme="1"/>
      <name val="Calibri"/>
      <family val="2"/>
    </font>
    <font>
      <b/>
      <sz val="16"/>
      <color theme="1"/>
      <name val="Calibri"/>
      <family val="2"/>
    </font>
    <font>
      <u/>
      <sz val="24"/>
      <name val="Calibri"/>
      <family val="2"/>
      <scheme val="minor"/>
    </font>
    <font>
      <b/>
      <sz val="8"/>
      <color indexed="12"/>
      <name val="Calibri"/>
      <family val="2"/>
      <scheme val="minor"/>
    </font>
    <font>
      <b/>
      <u/>
      <sz val="10"/>
      <name val="Calibri"/>
      <family val="2"/>
    </font>
    <font>
      <sz val="8"/>
      <name val="Calibri"/>
      <family val="2"/>
    </font>
    <font>
      <sz val="7"/>
      <color theme="4" tint="0.39997558519241921"/>
      <name val="Calibri"/>
      <family val="2"/>
      <scheme val="minor"/>
    </font>
    <font>
      <sz val="7"/>
      <color theme="9" tint="0.39997558519241921"/>
      <name val="Calibri"/>
      <family val="2"/>
      <scheme val="minor"/>
    </font>
    <font>
      <sz val="10"/>
      <color theme="5" tint="-0.249977111117893"/>
      <name val="Calibri"/>
      <family val="2"/>
    </font>
    <font>
      <b/>
      <sz val="9"/>
      <color theme="1"/>
      <name val="Calibri"/>
      <family val="2"/>
    </font>
    <font>
      <sz val="7"/>
      <color theme="1"/>
      <name val="Calibri"/>
      <family val="2"/>
    </font>
    <font>
      <b/>
      <sz val="10"/>
      <color theme="0"/>
      <name val="Arial"/>
      <family val="2"/>
    </font>
    <font>
      <b/>
      <sz val="11"/>
      <color theme="4" tint="-0.249977111117893"/>
      <name val="Arial"/>
      <family val="2"/>
    </font>
    <font>
      <b/>
      <sz val="11"/>
      <color theme="0"/>
      <name val="Calibri"/>
      <family val="2"/>
      <scheme val="minor"/>
    </font>
  </fonts>
  <fills count="5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99FF"/>
        <bgColor indexed="64"/>
      </patternFill>
    </fill>
    <fill>
      <patternFill patternType="solid">
        <fgColor rgb="FFFFEFEF"/>
        <bgColor indexed="64"/>
      </patternFill>
    </fill>
    <fill>
      <patternFill patternType="solid">
        <fgColor rgb="FF92D050"/>
        <bgColor indexed="64"/>
      </patternFill>
    </fill>
    <fill>
      <patternFill patternType="solid">
        <fgColor theme="4" tint="0.79998168889431442"/>
        <bgColor indexed="64"/>
      </patternFill>
    </fill>
    <fill>
      <gradientFill degree="180">
        <stop position="0">
          <color theme="4" tint="-0.25098422193060094"/>
        </stop>
        <stop position="1">
          <color theme="4" tint="0.80001220740379042"/>
        </stop>
      </gradientFill>
    </fill>
    <fill>
      <gradientFill>
        <stop position="0">
          <color theme="4" tint="0.40000610370189521"/>
        </stop>
        <stop position="1">
          <color theme="4" tint="0.80001220740379042"/>
        </stop>
      </gradientFill>
    </fill>
    <fill>
      <patternFill patternType="solid">
        <fgColor rgb="FFFFFF99"/>
        <bgColor indexed="64"/>
      </patternFill>
    </fill>
    <fill>
      <patternFill patternType="solid">
        <fgColor rgb="FFFFCCFF"/>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gradientFill degree="135">
        <stop position="0">
          <color theme="0"/>
        </stop>
        <stop position="1">
          <color rgb="FFFFFFCC"/>
        </stop>
      </gradientFill>
    </fill>
    <fill>
      <patternFill patternType="solid">
        <fgColor rgb="FFCCFFFF"/>
        <bgColor indexed="64"/>
      </patternFill>
    </fill>
    <fill>
      <patternFill patternType="solid">
        <fgColor rgb="FFCCFAC6"/>
        <bgColor indexed="64"/>
      </patternFill>
    </fill>
    <fill>
      <patternFill patternType="solid">
        <fgColor rgb="FFBDF7FF"/>
        <bgColor indexed="64"/>
      </patternFill>
    </fill>
    <fill>
      <patternFill patternType="solid">
        <fgColor theme="0" tint="-0.14999847407452621"/>
        <bgColor indexed="64"/>
      </patternFill>
    </fill>
    <fill>
      <gradientFill degree="180">
        <stop position="0">
          <color theme="0"/>
        </stop>
        <stop position="1">
          <color theme="0" tint="-0.1490218817712943"/>
        </stop>
      </gradientFill>
    </fill>
    <fill>
      <patternFill patternType="solid">
        <fgColor theme="4" tint="0.59999389629810485"/>
        <bgColor indexed="64"/>
      </patternFill>
    </fill>
    <fill>
      <gradientFill degree="270">
        <stop position="0">
          <color theme="0"/>
        </stop>
        <stop position="1">
          <color rgb="FFFFFFCC"/>
        </stop>
      </gradientFill>
    </fill>
    <fill>
      <patternFill patternType="solid">
        <fgColor theme="5" tint="0.79998168889431442"/>
        <bgColor indexed="64"/>
      </patternFill>
    </fill>
    <fill>
      <patternFill patternType="solid">
        <fgColor theme="5" tint="0.39997558519241921"/>
        <bgColor indexed="64"/>
      </patternFill>
    </fill>
    <fill>
      <patternFill patternType="solid">
        <fgColor theme="2"/>
        <bgColor indexed="64"/>
      </patternFill>
    </fill>
    <fill>
      <gradientFill degree="180">
        <stop position="0">
          <color theme="0"/>
        </stop>
        <stop position="1">
          <color theme="4" tint="0.59999389629810485"/>
        </stop>
      </gradientFill>
    </fill>
    <fill>
      <gradientFill>
        <stop position="0">
          <color theme="0"/>
        </stop>
        <stop position="1">
          <color theme="4" tint="0.59999389629810485"/>
        </stop>
      </gradientFill>
    </fill>
    <fill>
      <gradientFill>
        <stop position="0">
          <color theme="0"/>
        </stop>
        <stop position="1">
          <color theme="5" tint="0.40000610370189521"/>
        </stop>
      </gradientFill>
    </fill>
    <fill>
      <patternFill patternType="solid">
        <fgColor theme="7" tint="0.39997558519241921"/>
        <bgColor indexed="64"/>
      </patternFill>
    </fill>
    <fill>
      <patternFill patternType="solid">
        <fgColor rgb="FF66FFCC"/>
        <bgColor indexed="64"/>
      </patternFill>
    </fill>
    <fill>
      <patternFill patternType="lightHorizontal">
        <fgColor theme="0" tint="-0.34998626667073579"/>
        <bgColor theme="0" tint="-4.9989318521683403E-2"/>
      </patternFill>
    </fill>
    <fill>
      <patternFill patternType="solid">
        <fgColor theme="9" tint="0.59999389629810485"/>
        <bgColor indexed="64"/>
      </patternFill>
    </fill>
    <fill>
      <gradientFill degree="180">
        <stop position="0">
          <color theme="0"/>
        </stop>
        <stop position="1">
          <color theme="9" tint="0.59999389629810485"/>
        </stop>
      </gradientFill>
    </fill>
    <fill>
      <patternFill patternType="solid">
        <fgColor rgb="FF00B0F0"/>
        <bgColor indexed="64"/>
      </patternFill>
    </fill>
    <fill>
      <patternFill patternType="solid">
        <fgColor rgb="FFFFC000"/>
        <bgColor indexed="64"/>
      </patternFill>
    </fill>
    <fill>
      <patternFill patternType="solid">
        <fgColor rgb="FF66FF99"/>
        <bgColor indexed="64"/>
      </patternFill>
    </fill>
    <fill>
      <patternFill patternType="solid">
        <fgColor rgb="FF7030A0"/>
        <bgColor indexed="64"/>
      </patternFill>
    </fill>
    <fill>
      <patternFill patternType="solid">
        <fgColor rgb="FFDB91B6"/>
        <bgColor indexed="64"/>
      </patternFill>
    </fill>
    <fill>
      <gradientFill degree="180">
        <stop position="0">
          <color theme="0"/>
        </stop>
        <stop position="1">
          <color rgb="FFDB91B6"/>
        </stop>
      </gradientFill>
    </fill>
    <fill>
      <patternFill patternType="gray125">
        <fgColor rgb="FF00FFCC"/>
        <bgColor theme="0"/>
      </patternFill>
    </fill>
    <fill>
      <patternFill patternType="solid">
        <fgColor rgb="FF00FFCC"/>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E0529"/>
        <bgColor indexed="64"/>
      </patternFill>
    </fill>
    <fill>
      <patternFill patternType="solid">
        <fgColor theme="3" tint="0.79998168889431442"/>
        <bgColor indexed="64"/>
      </patternFill>
    </fill>
    <fill>
      <patternFill patternType="solid">
        <fgColor indexed="65"/>
        <bgColor indexed="64"/>
      </patternFill>
    </fill>
    <fill>
      <patternFill patternType="solid">
        <fgColor rgb="FFEFF9FF"/>
        <bgColor indexed="64"/>
      </patternFill>
    </fill>
    <fill>
      <patternFill patternType="solid">
        <fgColor rgb="FFE6B4CD"/>
        <bgColor indexed="64"/>
      </patternFill>
    </fill>
    <fill>
      <patternFill patternType="solid">
        <fgColor rgb="FFE6EDD7"/>
        <bgColor indexed="64"/>
      </patternFill>
    </fill>
    <fill>
      <patternFill patternType="solid">
        <fgColor rgb="FFFFF2CC"/>
        <bgColor indexed="64"/>
      </patternFill>
    </fill>
    <fill>
      <patternFill patternType="solid">
        <fgColor rgb="FFDDFFF4"/>
        <bgColor indexed="64"/>
      </patternFill>
    </fill>
    <fill>
      <patternFill patternType="solid">
        <fgColor theme="0"/>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hair">
        <color indexed="64"/>
      </left>
      <right style="dashed">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hair">
        <color indexed="64"/>
      </right>
      <top style="dashed">
        <color indexed="64"/>
      </top>
      <bottom style="hair">
        <color indexed="64"/>
      </bottom>
      <diagonal/>
    </border>
    <border>
      <left style="hair">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hair">
        <color indexed="64"/>
      </right>
      <top/>
      <bottom style="dashed">
        <color indexed="64"/>
      </bottom>
      <diagonal/>
    </border>
    <border>
      <left/>
      <right style="hair">
        <color indexed="64"/>
      </right>
      <top style="hair">
        <color indexed="64"/>
      </top>
      <bottom/>
      <diagonal/>
    </border>
    <border>
      <left style="hair">
        <color indexed="64"/>
      </left>
      <right/>
      <top style="hair">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hair">
        <color indexed="64"/>
      </left>
      <right/>
      <top/>
      <bottom/>
      <diagonal/>
    </border>
    <border>
      <left/>
      <right style="hair">
        <color indexed="64"/>
      </right>
      <top/>
      <bottom/>
      <diagonal/>
    </border>
    <border>
      <left style="dashed">
        <color indexed="64"/>
      </left>
      <right style="hair">
        <color indexed="64"/>
      </right>
      <top/>
      <bottom/>
      <diagonal/>
    </border>
    <border>
      <left/>
      <right style="dashed">
        <color indexed="64"/>
      </right>
      <top/>
      <bottom/>
      <diagonal/>
    </border>
    <border>
      <left style="dashed">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dashed">
        <color indexed="64"/>
      </right>
      <top/>
      <bottom style="dashed">
        <color indexed="64"/>
      </bottom>
      <diagonal/>
    </border>
    <border>
      <left style="dashed">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style="hair">
        <color auto="1"/>
      </left>
      <right style="hair">
        <color auto="1"/>
      </right>
      <top/>
      <bottom/>
      <diagonal/>
    </border>
    <border>
      <left/>
      <right/>
      <top/>
      <bottom style="hair">
        <color auto="1"/>
      </bottom>
      <diagonal/>
    </border>
    <border>
      <left/>
      <right/>
      <top/>
      <bottom style="thin">
        <color indexed="64"/>
      </bottom>
      <diagonal/>
    </border>
    <border>
      <left/>
      <right/>
      <top style="dashed">
        <color auto="1"/>
      </top>
      <bottom/>
      <diagonal/>
    </border>
    <border>
      <left style="hair">
        <color auto="1"/>
      </left>
      <right style="hair">
        <color auto="1"/>
      </right>
      <top style="hair">
        <color auto="1"/>
      </top>
      <bottom/>
      <diagonal/>
    </border>
    <border>
      <left style="thin">
        <color indexed="64"/>
      </left>
      <right style="dashed">
        <color indexed="64"/>
      </right>
      <top style="thin">
        <color indexed="64"/>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dashed">
        <color indexed="64"/>
      </bottom>
      <diagonal/>
    </border>
    <border>
      <left style="dashed">
        <color auto="1"/>
      </left>
      <right style="hair">
        <color indexed="64"/>
      </right>
      <top style="hair">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tted">
        <color indexed="64"/>
      </bottom>
      <diagonal/>
    </border>
    <border>
      <left/>
      <right style="hair">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dashed">
        <color indexed="64"/>
      </left>
      <right style="dashed">
        <color indexed="64"/>
      </right>
      <top/>
      <bottom style="double">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hair">
        <color indexed="64"/>
      </right>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bottom/>
      <diagonal/>
    </border>
    <border>
      <left style="dotted">
        <color indexed="64"/>
      </left>
      <right style="thin">
        <color indexed="64"/>
      </right>
      <top/>
      <bottom/>
      <diagonal/>
    </border>
    <border>
      <left style="thin">
        <color indexed="64"/>
      </left>
      <right style="thin">
        <color indexed="64"/>
      </right>
      <top style="dashed">
        <color indexed="64"/>
      </top>
      <bottom/>
      <diagonal/>
    </border>
    <border>
      <left style="thin">
        <color auto="1"/>
      </left>
      <right/>
      <top style="thick">
        <color auto="1"/>
      </top>
      <bottom style="double">
        <color auto="1"/>
      </bottom>
      <diagonal/>
    </border>
    <border>
      <left/>
      <right/>
      <top style="thick">
        <color auto="1"/>
      </top>
      <bottom style="double">
        <color auto="1"/>
      </bottom>
      <diagonal/>
    </border>
    <border>
      <left/>
      <right style="thin">
        <color auto="1"/>
      </right>
      <top style="thick">
        <color auto="1"/>
      </top>
      <bottom style="double">
        <color auto="1"/>
      </bottom>
      <diagonal/>
    </border>
    <border>
      <left style="thin">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n">
        <color auto="1"/>
      </right>
      <top style="thick">
        <color auto="1"/>
      </top>
      <bottom style="double">
        <color auto="1"/>
      </bottom>
      <diagonal/>
    </border>
  </borders>
  <cellStyleXfs count="21">
    <xf numFmtId="0" fontId="0" fillId="0" borderId="0"/>
    <xf numFmtId="0" fontId="13" fillId="0" borderId="0"/>
    <xf numFmtId="0" fontId="60" fillId="0" borderId="0"/>
    <xf numFmtId="0" fontId="61" fillId="0" borderId="0" applyNumberFormat="0" applyFill="0" applyBorder="0" applyAlignment="0" applyProtection="0">
      <alignment vertical="top"/>
      <protection locked="0"/>
    </xf>
    <xf numFmtId="0" fontId="60" fillId="0" borderId="0"/>
    <xf numFmtId="9" fontId="106" fillId="0" borderId="0" applyFont="0" applyFill="0" applyBorder="0" applyAlignment="0" applyProtection="0"/>
    <xf numFmtId="0" fontId="60" fillId="0" borderId="0"/>
    <xf numFmtId="0" fontId="18" fillId="0" borderId="0"/>
    <xf numFmtId="0" fontId="60" fillId="0" borderId="0"/>
    <xf numFmtId="0" fontId="131" fillId="0" borderId="0"/>
    <xf numFmtId="0" fontId="18" fillId="0" borderId="0"/>
    <xf numFmtId="0" fontId="60" fillId="0" borderId="0"/>
    <xf numFmtId="0" fontId="9" fillId="0" borderId="0"/>
    <xf numFmtId="0" fontId="60" fillId="0" borderId="0"/>
    <xf numFmtId="0" fontId="60" fillId="0" borderId="0"/>
    <xf numFmtId="0" fontId="60" fillId="0" borderId="0"/>
    <xf numFmtId="0" fontId="6" fillId="0" borderId="0"/>
    <xf numFmtId="0" fontId="60" fillId="0" borderId="0"/>
    <xf numFmtId="0" fontId="18" fillId="0" borderId="0"/>
    <xf numFmtId="0" fontId="5" fillId="0" borderId="0"/>
    <xf numFmtId="0" fontId="4" fillId="0" borderId="0"/>
  </cellStyleXfs>
  <cellXfs count="1008">
    <xf numFmtId="0" fontId="0" fillId="0" borderId="0" xfId="0"/>
    <xf numFmtId="0" fontId="0" fillId="0" borderId="0" xfId="0" quotePrefix="1"/>
    <xf numFmtId="0" fontId="0" fillId="0" borderId="0" xfId="0" applyAlignment="1">
      <alignment horizontal="right"/>
    </xf>
    <xf numFmtId="0" fontId="0" fillId="0" borderId="0" xfId="0" applyAlignment="1">
      <alignment horizontal="center"/>
    </xf>
    <xf numFmtId="0" fontId="11" fillId="0" borderId="0" xfId="0" applyFont="1"/>
    <xf numFmtId="0" fontId="12" fillId="0" borderId="0" xfId="0" applyFont="1"/>
    <xf numFmtId="0" fontId="0" fillId="0" borderId="0" xfId="0" applyAlignment="1">
      <alignment vertical="center"/>
    </xf>
    <xf numFmtId="0" fontId="0" fillId="0" borderId="0" xfId="0" applyAlignment="1">
      <alignment horizontal="center" vertical="center"/>
    </xf>
    <xf numFmtId="0" fontId="13" fillId="0" borderId="0" xfId="1"/>
    <xf numFmtId="0" fontId="14" fillId="4" borderId="0" xfId="1" applyFont="1" applyFill="1" applyAlignment="1">
      <alignment horizontal="center" vertical="top"/>
    </xf>
    <xf numFmtId="0" fontId="15" fillId="5" borderId="0" xfId="1" applyFont="1" applyFill="1" applyAlignment="1">
      <alignment horizontal="center"/>
    </xf>
    <xf numFmtId="164" fontId="16" fillId="4" borderId="0" xfId="1" applyNumberFormat="1" applyFont="1" applyFill="1" applyAlignment="1">
      <alignment horizontal="center" vertical="center"/>
    </xf>
    <xf numFmtId="0" fontId="17" fillId="6" borderId="0" xfId="1" applyFont="1" applyFill="1" applyAlignment="1">
      <alignment vertical="top"/>
    </xf>
    <xf numFmtId="0" fontId="17" fillId="6" borderId="0" xfId="1" applyFont="1" applyFill="1" applyAlignment="1">
      <alignment vertical="top" wrapText="1"/>
    </xf>
    <xf numFmtId="164" fontId="17" fillId="6" borderId="0" xfId="1" applyNumberFormat="1" applyFont="1" applyFill="1" applyAlignment="1">
      <alignment horizontal="center" vertical="top"/>
    </xf>
    <xf numFmtId="0" fontId="13" fillId="0" borderId="1" xfId="1" applyFill="1" applyBorder="1"/>
    <xf numFmtId="164" fontId="16" fillId="0" borderId="0" xfId="1" applyNumberFormat="1" applyFont="1"/>
    <xf numFmtId="0" fontId="13" fillId="7" borderId="0" xfId="1" applyFill="1"/>
    <xf numFmtId="0" fontId="16" fillId="7" borderId="2" xfId="1" applyFont="1" applyFill="1" applyBorder="1" applyAlignment="1" applyProtection="1">
      <alignment vertical="center" wrapText="1"/>
    </xf>
    <xf numFmtId="164" fontId="16" fillId="7" borderId="0" xfId="1" applyNumberFormat="1" applyFont="1" applyFill="1"/>
    <xf numFmtId="0" fontId="13" fillId="4" borderId="0" xfId="1" applyFill="1"/>
    <xf numFmtId="0" fontId="18" fillId="0" borderId="1" xfId="1" applyFont="1" applyFill="1" applyBorder="1"/>
    <xf numFmtId="0" fontId="13" fillId="0" borderId="0" xfId="1" applyFill="1" applyBorder="1"/>
    <xf numFmtId="0" fontId="13" fillId="0" borderId="0" xfId="1" applyFill="1"/>
    <xf numFmtId="2" fontId="13" fillId="0" borderId="0" xfId="1" applyNumberFormat="1"/>
    <xf numFmtId="0" fontId="13" fillId="8" borderId="0" xfId="1" applyFill="1" applyAlignment="1">
      <alignment horizontal="center"/>
    </xf>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left" vertical="center" indent="1"/>
    </xf>
    <xf numFmtId="0" fontId="22" fillId="0" borderId="0" xfId="0" applyFont="1" applyAlignment="1">
      <alignment vertical="top"/>
    </xf>
    <xf numFmtId="0" fontId="0" fillId="0" borderId="0" xfId="0" applyAlignment="1">
      <alignment horizontal="right" vertical="center" indent="1"/>
    </xf>
    <xf numFmtId="164" fontId="0" fillId="0" borderId="1" xfId="0" applyNumberFormat="1" applyBorder="1" applyAlignment="1">
      <alignment horizontal="center"/>
    </xf>
    <xf numFmtId="0" fontId="13" fillId="0" borderId="0" xfId="1" applyAlignment="1">
      <alignment horizontal="right"/>
    </xf>
    <xf numFmtId="0" fontId="13" fillId="0" borderId="0" xfId="1" applyAlignment="1">
      <alignment vertical="top"/>
    </xf>
    <xf numFmtId="0" fontId="13" fillId="0" borderId="0" xfId="1" applyAlignment="1">
      <alignment horizontal="right" vertical="top"/>
    </xf>
    <xf numFmtId="164" fontId="16" fillId="7" borderId="0" xfId="1" applyNumberFormat="1" applyFont="1" applyFill="1" applyAlignment="1">
      <alignment horizontal="center"/>
    </xf>
    <xf numFmtId="0" fontId="24" fillId="0" borderId="0" xfId="0" applyFont="1" applyAlignment="1">
      <alignment horizontal="left" vertical="center" indent="1"/>
    </xf>
    <xf numFmtId="0" fontId="23" fillId="0" borderId="0" xfId="0" applyFont="1" applyAlignment="1">
      <alignment horizontal="right" vertical="center" indent="1"/>
    </xf>
    <xf numFmtId="2" fontId="23" fillId="0" borderId="3" xfId="0" applyNumberFormat="1" applyFont="1" applyBorder="1" applyAlignment="1">
      <alignment horizontal="center" vertical="center"/>
    </xf>
    <xf numFmtId="0" fontId="0" fillId="2"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27" fillId="0" borderId="0" xfId="0" applyFont="1" applyAlignment="1">
      <alignment horizontal="left" vertical="center" indent="1"/>
    </xf>
    <xf numFmtId="0" fontId="28" fillId="0" borderId="0" xfId="0" applyFont="1" applyAlignment="1">
      <alignment horizontal="right" vertical="center" indent="1"/>
    </xf>
    <xf numFmtId="0" fontId="19" fillId="0" borderId="0" xfId="0" applyFont="1" applyAlignment="1">
      <alignment horizontal="right" vertical="center" indent="1"/>
    </xf>
    <xf numFmtId="0" fontId="29" fillId="0" borderId="0" xfId="0" applyFont="1" applyAlignment="1">
      <alignment horizontal="right" vertical="center" indent="1"/>
    </xf>
    <xf numFmtId="0" fontId="30" fillId="0" borderId="0" xfId="0" applyFont="1"/>
    <xf numFmtId="0" fontId="31" fillId="2" borderId="1" xfId="0" applyFont="1" applyFill="1" applyBorder="1" applyAlignment="1" applyProtection="1">
      <alignment horizontal="center"/>
      <protection locked="0" hidden="1"/>
    </xf>
    <xf numFmtId="0" fontId="32" fillId="0" borderId="0" xfId="0" applyFont="1" applyAlignment="1">
      <alignment horizontal="right" vertical="center" indent="1"/>
    </xf>
    <xf numFmtId="0" fontId="24" fillId="0" borderId="0" xfId="0" applyFont="1" applyAlignment="1">
      <alignment horizontal="right" vertical="center" indent="2"/>
    </xf>
    <xf numFmtId="0" fontId="33" fillId="0" borderId="0" xfId="0" applyFont="1"/>
    <xf numFmtId="0" fontId="34" fillId="0" borderId="0" xfId="0" applyFont="1" applyAlignment="1"/>
    <xf numFmtId="165" fontId="0" fillId="0" borderId="3" xfId="0" applyNumberFormat="1" applyBorder="1" applyAlignment="1">
      <alignment horizontal="center"/>
    </xf>
    <xf numFmtId="0" fontId="0" fillId="0" borderId="0" xfId="0" applyFont="1" applyAlignment="1">
      <alignment horizontal="right" vertical="top"/>
    </xf>
    <xf numFmtId="0" fontId="19" fillId="0" borderId="0" xfId="0" applyFont="1" applyAlignment="1"/>
    <xf numFmtId="0" fontId="34" fillId="0" borderId="0" xfId="0" applyFont="1"/>
    <xf numFmtId="165" fontId="34" fillId="0" borderId="5" xfId="0" applyNumberFormat="1" applyFont="1" applyBorder="1" applyAlignment="1">
      <alignment horizontal="center"/>
    </xf>
    <xf numFmtId="0" fontId="34" fillId="0" borderId="5" xfId="0" applyNumberFormat="1" applyFont="1" applyBorder="1" applyAlignment="1">
      <alignment horizontal="center"/>
    </xf>
    <xf numFmtId="0" fontId="35" fillId="0" borderId="0" xfId="0" applyFont="1" applyAlignment="1">
      <alignment horizontal="center"/>
    </xf>
    <xf numFmtId="0" fontId="36" fillId="0" borderId="0" xfId="0" applyFont="1" applyBorder="1" applyAlignment="1">
      <alignment horizontal="right" vertical="top"/>
    </xf>
    <xf numFmtId="0" fontId="37" fillId="0" borderId="0" xfId="1" applyFont="1" applyAlignment="1">
      <alignment horizontal="center"/>
    </xf>
    <xf numFmtId="0" fontId="0" fillId="0" borderId="8" xfId="0" applyBorder="1" applyAlignment="1">
      <alignment horizontal="center"/>
    </xf>
    <xf numFmtId="0" fontId="39" fillId="0" borderId="0" xfId="0" applyFont="1" applyAlignment="1">
      <alignment horizontal="left" vertical="center" indent="2"/>
    </xf>
    <xf numFmtId="164" fontId="25" fillId="0" borderId="4" xfId="0" applyNumberFormat="1" applyFont="1" applyBorder="1" applyAlignment="1">
      <alignment horizontal="right" vertical="center" indent="1"/>
    </xf>
    <xf numFmtId="164" fontId="0" fillId="0" borderId="1" xfId="0" applyNumberFormat="1" applyBorder="1" applyAlignment="1">
      <alignment horizontal="right" vertical="center" indent="1"/>
    </xf>
    <xf numFmtId="164" fontId="0" fillId="3" borderId="1" xfId="0" applyNumberFormat="1" applyFill="1" applyBorder="1" applyAlignment="1" applyProtection="1">
      <alignment horizontal="right" vertical="center" indent="1"/>
      <protection locked="0"/>
    </xf>
    <xf numFmtId="164" fontId="22" fillId="9" borderId="6" xfId="0" applyNumberFormat="1" applyFont="1" applyFill="1" applyBorder="1" applyAlignment="1">
      <alignment horizontal="right" vertical="center" indent="1"/>
    </xf>
    <xf numFmtId="0" fontId="27" fillId="0" borderId="0" xfId="0" applyFont="1" applyAlignment="1" applyProtection="1">
      <alignment horizontal="left" vertical="center" indent="1"/>
      <protection locked="0"/>
    </xf>
    <xf numFmtId="0" fontId="40" fillId="0" borderId="0" xfId="0" applyFont="1" applyAlignment="1">
      <alignment horizontal="left" vertical="center" indent="1"/>
    </xf>
    <xf numFmtId="0" fontId="35" fillId="0" borderId="0" xfId="0" applyFont="1" applyAlignment="1">
      <alignment horizontal="left"/>
    </xf>
    <xf numFmtId="0" fontId="0" fillId="10" borderId="0" xfId="0" applyFill="1"/>
    <xf numFmtId="164" fontId="35" fillId="0" borderId="0" xfId="0" applyNumberFormat="1" applyFont="1" applyAlignment="1">
      <alignment horizontal="left"/>
    </xf>
    <xf numFmtId="0" fontId="41" fillId="0" borderId="0" xfId="0" quotePrefix="1" applyFont="1" applyAlignment="1">
      <alignment horizontal="left" vertical="center" indent="1"/>
    </xf>
    <xf numFmtId="0" fontId="42" fillId="0" borderId="0" xfId="0" applyFont="1"/>
    <xf numFmtId="0" fontId="42" fillId="0" borderId="0" xfId="0" applyFont="1" applyAlignment="1">
      <alignment horizontal="center"/>
    </xf>
    <xf numFmtId="0" fontId="42" fillId="0" borderId="0" xfId="0" quotePrefix="1" applyFont="1" applyAlignment="1">
      <alignment horizontal="center"/>
    </xf>
    <xf numFmtId="167" fontId="34" fillId="0" borderId="0" xfId="0" applyNumberFormat="1" applyFont="1" applyAlignment="1">
      <alignment horizontal="center"/>
    </xf>
    <xf numFmtId="0" fontId="34" fillId="0" borderId="0" xfId="0" applyFont="1" applyAlignment="1">
      <alignment horizontal="right"/>
    </xf>
    <xf numFmtId="0" fontId="0" fillId="3" borderId="3" xfId="0" applyFill="1" applyBorder="1" applyAlignment="1" applyProtection="1">
      <alignment horizontal="center"/>
      <protection locked="0"/>
    </xf>
    <xf numFmtId="165" fontId="34" fillId="0" borderId="10" xfId="0" applyNumberFormat="1" applyFont="1" applyBorder="1" applyAlignment="1">
      <alignment horizontal="center"/>
    </xf>
    <xf numFmtId="0" fontId="38" fillId="0" borderId="0" xfId="0" applyFont="1" applyAlignment="1">
      <alignment horizontal="right" vertical="center"/>
    </xf>
    <xf numFmtId="164" fontId="38" fillId="0" borderId="0" xfId="0" applyNumberFormat="1" applyFont="1" applyAlignment="1">
      <alignment horizontal="left" vertical="center"/>
    </xf>
    <xf numFmtId="168" fontId="34" fillId="0" borderId="9" xfId="0" applyNumberFormat="1" applyFont="1" applyBorder="1" applyAlignment="1">
      <alignment horizontal="center"/>
    </xf>
    <xf numFmtId="0" fontId="44" fillId="0" borderId="0" xfId="0" applyFont="1"/>
    <xf numFmtId="0" fontId="23" fillId="0" borderId="0" xfId="0" applyFont="1" applyAlignment="1">
      <alignment horizontal="right" vertical="top"/>
    </xf>
    <xf numFmtId="165" fontId="23" fillId="0" borderId="0" xfId="0" applyNumberFormat="1" applyFont="1" applyBorder="1" applyAlignment="1">
      <alignment horizontal="center"/>
    </xf>
    <xf numFmtId="2" fontId="0" fillId="0" borderId="1" xfId="0" applyNumberFormat="1" applyBorder="1" applyAlignment="1">
      <alignment horizontal="center"/>
    </xf>
    <xf numFmtId="2" fontId="0" fillId="0" borderId="1" xfId="0" applyNumberFormat="1" applyBorder="1" applyAlignment="1">
      <alignment horizontal="right" vertical="center" indent="1"/>
    </xf>
    <xf numFmtId="2" fontId="23" fillId="0" borderId="1" xfId="0" applyNumberFormat="1" applyFont="1" applyBorder="1" applyAlignment="1">
      <alignment horizontal="right" vertical="center" indent="1"/>
    </xf>
    <xf numFmtId="2" fontId="19" fillId="0" borderId="1" xfId="0" applyNumberFormat="1" applyFont="1" applyBorder="1" applyAlignment="1">
      <alignment horizontal="right" vertical="center" indent="1"/>
    </xf>
    <xf numFmtId="0" fontId="35" fillId="0" borderId="0" xfId="0" applyNumberFormat="1" applyFont="1" applyAlignment="1">
      <alignment horizontal="center" vertical="top"/>
    </xf>
    <xf numFmtId="0" fontId="10" fillId="0" borderId="0" xfId="0" applyFont="1" applyAlignment="1">
      <alignment horizontal="center" vertical="top"/>
    </xf>
    <xf numFmtId="0" fontId="35" fillId="0" borderId="0" xfId="0" applyFont="1" applyAlignment="1">
      <alignment horizontal="center" vertical="center"/>
    </xf>
    <xf numFmtId="1" fontId="46" fillId="0" borderId="0" xfId="0" applyNumberFormat="1" applyFont="1" applyAlignment="1">
      <alignment horizontal="center" vertical="center"/>
    </xf>
    <xf numFmtId="0" fontId="24" fillId="0" borderId="11" xfId="0" applyFont="1" applyBorder="1" applyAlignment="1">
      <alignment horizontal="left" vertical="center" indent="1"/>
    </xf>
    <xf numFmtId="0" fontId="0" fillId="0" borderId="12" xfId="0" applyBorder="1" applyAlignment="1"/>
    <xf numFmtId="165" fontId="32" fillId="3" borderId="1" xfId="0" applyNumberFormat="1" applyFont="1" applyFill="1" applyBorder="1" applyAlignment="1" applyProtection="1">
      <alignment horizontal="center"/>
      <protection locked="0"/>
    </xf>
    <xf numFmtId="165" fontId="32" fillId="0" borderId="0" xfId="0" applyNumberFormat="1" applyFont="1" applyAlignment="1">
      <alignment horizontal="center"/>
    </xf>
    <xf numFmtId="164" fontId="32" fillId="0" borderId="1" xfId="0" applyNumberFormat="1" applyFont="1" applyBorder="1" applyAlignment="1">
      <alignment horizontal="right" vertical="center" indent="1"/>
    </xf>
    <xf numFmtId="0" fontId="23" fillId="0" borderId="0" xfId="0" applyFont="1" applyAlignment="1"/>
    <xf numFmtId="0" fontId="23" fillId="0" borderId="0" xfId="0" applyFont="1" applyAlignment="1">
      <alignment vertical="top"/>
    </xf>
    <xf numFmtId="0" fontId="32" fillId="0" borderId="0" xfId="0" applyFont="1" applyAlignment="1">
      <alignment vertical="center"/>
    </xf>
    <xf numFmtId="0" fontId="42" fillId="0" borderId="0" xfId="0" applyFont="1" applyAlignment="1">
      <alignment horizontal="right" indent="1"/>
    </xf>
    <xf numFmtId="0" fontId="50" fillId="0" borderId="0" xfId="0" applyFont="1"/>
    <xf numFmtId="0" fontId="0" fillId="0" borderId="0" xfId="0" applyFill="1"/>
    <xf numFmtId="0" fontId="47" fillId="0" borderId="0" xfId="0" applyFont="1" applyFill="1" applyAlignment="1">
      <alignment vertical="center"/>
    </xf>
    <xf numFmtId="0" fontId="51" fillId="3" borderId="1" xfId="0" applyFont="1" applyFill="1" applyBorder="1" applyAlignment="1" applyProtection="1">
      <alignment horizontal="center"/>
      <protection locked="0"/>
    </xf>
    <xf numFmtId="0" fontId="51" fillId="3" borderId="3" xfId="0" applyFont="1" applyFill="1" applyBorder="1" applyAlignment="1" applyProtection="1">
      <alignment horizontal="center"/>
      <protection locked="0"/>
    </xf>
    <xf numFmtId="0" fontId="35" fillId="0" borderId="0" xfId="0" applyFont="1" applyAlignment="1"/>
    <xf numFmtId="0" fontId="52" fillId="0" borderId="0" xfId="0" quotePrefix="1" applyFont="1" applyAlignment="1">
      <alignment horizontal="right" vertical="center"/>
    </xf>
    <xf numFmtId="0" fontId="27" fillId="0" borderId="0" xfId="0" applyFont="1" applyAlignment="1" applyProtection="1">
      <alignment horizontal="left" vertical="center" indent="1"/>
    </xf>
    <xf numFmtId="0" fontId="32" fillId="0" borderId="0" xfId="0" applyFont="1" applyAlignment="1" applyProtection="1">
      <alignment horizontal="left" vertical="center" indent="1"/>
      <protection hidden="1"/>
    </xf>
    <xf numFmtId="0" fontId="0" fillId="0" borderId="0" xfId="0" applyProtection="1"/>
    <xf numFmtId="0" fontId="32" fillId="0" borderId="0" xfId="0" applyFont="1" applyAlignment="1" applyProtection="1">
      <alignment horizontal="right" vertical="center"/>
      <protection hidden="1"/>
    </xf>
    <xf numFmtId="0" fontId="26" fillId="0" borderId="0" xfId="0" applyFont="1" applyAlignment="1" applyProtection="1">
      <alignment vertical="top" wrapText="1"/>
    </xf>
    <xf numFmtId="0" fontId="0" fillId="2" borderId="3" xfId="0" applyFill="1" applyBorder="1" applyAlignment="1" applyProtection="1">
      <alignment horizontal="center" vertical="center"/>
      <protection locked="0"/>
    </xf>
    <xf numFmtId="0" fontId="0" fillId="0" borderId="0" xfId="0" applyFont="1" applyAlignment="1">
      <alignment horizontal="left" vertical="center" indent="1"/>
    </xf>
    <xf numFmtId="0" fontId="28" fillId="3" borderId="0" xfId="0" applyFont="1" applyFill="1" applyAlignment="1" applyProtection="1">
      <alignment horizontal="left" indent="1"/>
      <protection locked="0" hidden="1"/>
    </xf>
    <xf numFmtId="164" fontId="19" fillId="3" borderId="1" xfId="0" applyNumberFormat="1" applyFont="1" applyFill="1" applyBorder="1" applyAlignment="1" applyProtection="1">
      <alignment horizontal="right" vertical="center" indent="1"/>
      <protection locked="0"/>
    </xf>
    <xf numFmtId="0" fontId="19" fillId="0" borderId="0" xfId="0" applyFont="1" applyAlignment="1" applyProtection="1">
      <alignment horizontal="left" vertical="center" indent="1"/>
      <protection locked="0" hidden="1"/>
    </xf>
    <xf numFmtId="0" fontId="0" fillId="0" borderId="0" xfId="0" applyAlignment="1" applyProtection="1">
      <alignment horizontal="right" vertical="center" indent="1"/>
      <protection hidden="1"/>
    </xf>
    <xf numFmtId="0" fontId="34" fillId="0" borderId="0" xfId="0" applyFont="1" applyFill="1"/>
    <xf numFmtId="0" fontId="0" fillId="0" borderId="0" xfId="0" applyFont="1" applyFill="1"/>
    <xf numFmtId="0" fontId="34" fillId="0" borderId="0" xfId="0" applyFont="1" applyFill="1" applyAlignment="1">
      <alignment vertical="center"/>
    </xf>
    <xf numFmtId="1" fontId="46" fillId="0" borderId="0" xfId="0" applyNumberFormat="1" applyFont="1" applyFill="1" applyAlignment="1">
      <alignment horizontal="center" vertical="top"/>
    </xf>
    <xf numFmtId="0" fontId="54" fillId="0" borderId="0" xfId="0" applyFont="1"/>
    <xf numFmtId="0" fontId="0" fillId="0" borderId="0" xfId="0" applyAlignment="1" applyProtection="1">
      <alignment horizontal="right"/>
      <protection hidden="1"/>
    </xf>
    <xf numFmtId="0" fontId="55" fillId="0" borderId="0" xfId="0" applyFont="1" applyAlignment="1">
      <alignment vertical="top"/>
    </xf>
    <xf numFmtId="169" fontId="56" fillId="0" borderId="0" xfId="0" applyNumberFormat="1" applyFont="1" applyAlignment="1">
      <alignment vertical="center"/>
    </xf>
    <xf numFmtId="2" fontId="56" fillId="0" borderId="0" xfId="0" applyNumberFormat="1" applyFont="1" applyAlignment="1">
      <alignment vertical="center"/>
    </xf>
    <xf numFmtId="0" fontId="58" fillId="0" borderId="0" xfId="1" applyFont="1"/>
    <xf numFmtId="0" fontId="0" fillId="0" borderId="0" xfId="0" applyFill="1" applyAlignment="1">
      <alignment horizontal="right"/>
    </xf>
    <xf numFmtId="0" fontId="0" fillId="0" borderId="0" xfId="0" applyFill="1" applyAlignment="1" applyProtection="1">
      <alignment horizontal="center"/>
      <protection hidden="1"/>
    </xf>
    <xf numFmtId="2" fontId="0" fillId="0" borderId="1" xfId="0" applyNumberFormat="1" applyBorder="1" applyAlignment="1" applyProtection="1">
      <alignment horizontal="right" vertical="center" indent="1"/>
      <protection hidden="1"/>
    </xf>
    <xf numFmtId="0" fontId="27" fillId="0" borderId="0" xfId="0" applyFont="1" applyAlignment="1" applyProtection="1">
      <alignment horizontal="left" vertical="center" indent="1"/>
      <protection hidden="1"/>
    </xf>
    <xf numFmtId="0" fontId="47" fillId="0" borderId="0" xfId="0" applyFont="1" applyAlignment="1">
      <alignment vertical="center"/>
    </xf>
    <xf numFmtId="0" fontId="53" fillId="0" borderId="0" xfId="0" applyFont="1" applyFill="1" applyAlignment="1" applyProtection="1">
      <alignment vertical="center"/>
    </xf>
    <xf numFmtId="0" fontId="53" fillId="0" borderId="0" xfId="0" applyFont="1" applyFill="1" applyAlignment="1" applyProtection="1">
      <alignment vertical="top"/>
    </xf>
    <xf numFmtId="1" fontId="59" fillId="0" borderId="0" xfId="0" applyNumberFormat="1" applyFont="1" applyFill="1" applyAlignment="1"/>
    <xf numFmtId="0" fontId="53" fillId="0" borderId="0" xfId="0" applyFont="1" applyFill="1" applyAlignment="1" applyProtection="1">
      <alignment horizontal="right" vertical="center"/>
    </xf>
    <xf numFmtId="0" fontId="64" fillId="0" borderId="0" xfId="0" applyFont="1"/>
    <xf numFmtId="0" fontId="65" fillId="0" borderId="0" xfId="2" applyFont="1"/>
    <xf numFmtId="0" fontId="65" fillId="0" borderId="0" xfId="2" applyFont="1" applyAlignment="1">
      <alignment horizontal="right"/>
    </xf>
    <xf numFmtId="0" fontId="66" fillId="0" borderId="0" xfId="2" applyFont="1" applyFill="1" applyProtection="1"/>
    <xf numFmtId="0" fontId="67" fillId="0" borderId="0" xfId="2" applyFont="1"/>
    <xf numFmtId="0" fontId="67" fillId="0" borderId="0" xfId="2" applyFont="1" applyAlignment="1">
      <alignment horizontal="left"/>
    </xf>
    <xf numFmtId="0" fontId="67" fillId="0" borderId="0" xfId="2" applyFont="1" applyAlignment="1">
      <alignment horizontal="right"/>
    </xf>
    <xf numFmtId="0" fontId="13" fillId="0" borderId="0" xfId="0" applyFont="1"/>
    <xf numFmtId="0" fontId="68" fillId="0" borderId="0" xfId="2" applyFont="1"/>
    <xf numFmtId="0" fontId="67" fillId="0" borderId="0" xfId="2" applyFont="1" applyAlignment="1">
      <alignment horizontal="center"/>
    </xf>
    <xf numFmtId="0" fontId="69" fillId="0" borderId="0" xfId="2" applyFont="1"/>
    <xf numFmtId="0" fontId="70" fillId="0" borderId="0" xfId="0" applyFont="1" applyAlignment="1">
      <alignment horizontal="right"/>
    </xf>
    <xf numFmtId="0" fontId="70" fillId="0" borderId="0" xfId="0" applyFont="1"/>
    <xf numFmtId="0" fontId="71" fillId="0" borderId="0" xfId="2" applyFont="1" applyAlignment="1">
      <alignment horizontal="left" vertical="top" indent="1"/>
    </xf>
    <xf numFmtId="0" fontId="72" fillId="0" borderId="0" xfId="2" applyFont="1"/>
    <xf numFmtId="0" fontId="73" fillId="0" borderId="0" xfId="2" applyFont="1"/>
    <xf numFmtId="0" fontId="74" fillId="0" borderId="0" xfId="3" applyFont="1" applyAlignment="1" applyProtection="1"/>
    <xf numFmtId="0" fontId="75" fillId="0" borderId="0" xfId="2" applyFont="1"/>
    <xf numFmtId="0" fontId="76" fillId="0" borderId="0" xfId="2" applyFont="1" applyAlignment="1">
      <alignment horizontal="right" vertical="center"/>
    </xf>
    <xf numFmtId="0" fontId="65" fillId="0" borderId="0" xfId="2" applyFont="1" applyAlignment="1">
      <alignment horizontal="right" vertical="center"/>
    </xf>
    <xf numFmtId="171" fontId="79" fillId="13" borderId="15" xfId="2" applyNumberFormat="1" applyFont="1" applyFill="1" applyBorder="1" applyAlignment="1" applyProtection="1">
      <alignment horizontal="center" vertical="center"/>
      <protection locked="0"/>
    </xf>
    <xf numFmtId="0" fontId="65" fillId="0" borderId="0" xfId="0" applyFont="1" applyAlignment="1">
      <alignment vertical="center"/>
    </xf>
    <xf numFmtId="0" fontId="80" fillId="0" borderId="0" xfId="0" applyFont="1" applyAlignment="1">
      <alignment horizontal="center" vertical="center"/>
    </xf>
    <xf numFmtId="0" fontId="67" fillId="0" borderId="0" xfId="2" applyFont="1" applyFill="1" applyBorder="1" applyAlignment="1" applyProtection="1">
      <alignment vertical="center"/>
    </xf>
    <xf numFmtId="164" fontId="65" fillId="0" borderId="16" xfId="2" applyNumberFormat="1" applyFont="1" applyBorder="1" applyAlignment="1">
      <alignment horizontal="center"/>
    </xf>
    <xf numFmtId="164" fontId="81" fillId="0" borderId="17" xfId="2" applyNumberFormat="1" applyFont="1" applyBorder="1" applyAlignment="1">
      <alignment horizontal="center"/>
    </xf>
    <xf numFmtId="164" fontId="81" fillId="0" borderId="18" xfId="2" applyNumberFormat="1" applyFont="1" applyBorder="1" applyAlignment="1">
      <alignment horizontal="center"/>
    </xf>
    <xf numFmtId="0" fontId="67" fillId="0" borderId="0" xfId="2" applyFont="1" applyAlignment="1">
      <alignment horizontal="center" vertical="top"/>
    </xf>
    <xf numFmtId="0" fontId="67" fillId="0" borderId="0" xfId="2" applyFont="1" applyAlignment="1">
      <alignment horizontal="left" vertical="top"/>
    </xf>
    <xf numFmtId="0" fontId="81" fillId="0" borderId="19" xfId="2" applyFont="1" applyBorder="1" applyAlignment="1">
      <alignment horizontal="right" vertical="center"/>
    </xf>
    <xf numFmtId="0" fontId="81" fillId="0" borderId="20" xfId="2" applyFont="1" applyBorder="1" applyAlignment="1">
      <alignment horizontal="center" vertical="center"/>
    </xf>
    <xf numFmtId="0" fontId="81" fillId="0" borderId="21" xfId="2" applyFont="1" applyBorder="1" applyAlignment="1">
      <alignment vertical="center"/>
    </xf>
    <xf numFmtId="0" fontId="82" fillId="0" borderId="0" xfId="2" applyFont="1" applyAlignment="1">
      <alignment horizontal="left"/>
    </xf>
    <xf numFmtId="0" fontId="82" fillId="0" borderId="0" xfId="2" applyFont="1"/>
    <xf numFmtId="0" fontId="83" fillId="0" borderId="0" xfId="2" applyFont="1" applyAlignment="1">
      <alignment wrapText="1"/>
    </xf>
    <xf numFmtId="0" fontId="79" fillId="0" borderId="0" xfId="2" applyFont="1"/>
    <xf numFmtId="0" fontId="85" fillId="0" borderId="0" xfId="2" applyFont="1"/>
    <xf numFmtId="164" fontId="85" fillId="0" borderId="0" xfId="2" applyNumberFormat="1" applyFont="1" applyAlignment="1">
      <alignment horizontal="left"/>
    </xf>
    <xf numFmtId="0" fontId="86" fillId="0" borderId="0" xfId="2" applyFont="1"/>
    <xf numFmtId="0" fontId="65" fillId="0" borderId="0" xfId="2" applyFont="1" applyAlignment="1">
      <alignment horizontal="right" vertical="top"/>
    </xf>
    <xf numFmtId="0" fontId="87" fillId="0" borderId="0" xfId="2" applyFont="1"/>
    <xf numFmtId="20" fontId="88" fillId="0" borderId="0" xfId="2" applyNumberFormat="1" applyFont="1"/>
    <xf numFmtId="20" fontId="88" fillId="14" borderId="0" xfId="2" applyNumberFormat="1" applyFont="1" applyFill="1"/>
    <xf numFmtId="0" fontId="87" fillId="0" borderId="32" xfId="2" applyFont="1" applyBorder="1" applyAlignment="1">
      <alignment horizontal="center"/>
    </xf>
    <xf numFmtId="0" fontId="87" fillId="0" borderId="33" xfId="2" applyFont="1" applyBorder="1" applyAlignment="1">
      <alignment horizontal="center"/>
    </xf>
    <xf numFmtId="0" fontId="87" fillId="0" borderId="0" xfId="2" applyFont="1" applyAlignment="1">
      <alignment horizontal="center"/>
    </xf>
    <xf numFmtId="0" fontId="88" fillId="0" borderId="0" xfId="2" applyFont="1"/>
    <xf numFmtId="0" fontId="90" fillId="0" borderId="0" xfId="2" applyFont="1"/>
    <xf numFmtId="0" fontId="91" fillId="0" borderId="0" xfId="2" applyFont="1" applyAlignment="1">
      <alignment horizontal="left"/>
    </xf>
    <xf numFmtId="0" fontId="91" fillId="0" borderId="0" xfId="2" applyFont="1" applyAlignment="1">
      <alignment horizontal="center"/>
    </xf>
    <xf numFmtId="0" fontId="92" fillId="0" borderId="0" xfId="0" applyFont="1" applyAlignment="1">
      <alignment horizontal="center" vertical="center"/>
    </xf>
    <xf numFmtId="0" fontId="92" fillId="0" borderId="0" xfId="0" applyFont="1" applyAlignment="1">
      <alignment horizontal="left" vertical="center"/>
    </xf>
    <xf numFmtId="0" fontId="93" fillId="0" borderId="0" xfId="0" applyFont="1" applyAlignment="1">
      <alignment horizontal="right"/>
    </xf>
    <xf numFmtId="0" fontId="94" fillId="16" borderId="0" xfId="0" applyFont="1" applyFill="1" applyAlignment="1">
      <alignment horizontal="center" vertical="center"/>
    </xf>
    <xf numFmtId="0" fontId="93" fillId="0" borderId="0" xfId="0" applyFont="1" applyAlignment="1">
      <alignment horizontal="right" vertical="center"/>
    </xf>
    <xf numFmtId="0" fontId="93" fillId="0" borderId="0" xfId="0" applyFont="1" applyFill="1" applyAlignment="1">
      <alignment horizontal="right" vertical="center"/>
    </xf>
    <xf numFmtId="0" fontId="93" fillId="0" borderId="0" xfId="0" applyFont="1" applyFill="1" applyAlignment="1">
      <alignment horizontal="right" vertical="top"/>
    </xf>
    <xf numFmtId="0" fontId="93" fillId="14" borderId="0" xfId="0" applyFont="1" applyFill="1" applyAlignment="1">
      <alignment horizontal="center" vertical="top"/>
    </xf>
    <xf numFmtId="0" fontId="94" fillId="17" borderId="0" xfId="0" applyFont="1" applyFill="1" applyAlignment="1">
      <alignment horizontal="center" vertical="center"/>
    </xf>
    <xf numFmtId="0" fontId="86" fillId="0" borderId="0" xfId="0" applyFont="1"/>
    <xf numFmtId="14" fontId="79" fillId="0" borderId="0" xfId="0" applyNumberFormat="1" applyFont="1" applyAlignment="1">
      <alignment horizontal="centerContinuous"/>
    </xf>
    <xf numFmtId="0" fontId="79" fillId="0" borderId="0" xfId="0" applyFont="1" applyAlignment="1">
      <alignment horizontal="centerContinuous"/>
    </xf>
    <xf numFmtId="0" fontId="82" fillId="0" borderId="0" xfId="0" applyFont="1" applyAlignment="1">
      <alignment horizontal="left"/>
    </xf>
    <xf numFmtId="0" fontId="99" fillId="0" borderId="0" xfId="0" applyFont="1"/>
    <xf numFmtId="0" fontId="88" fillId="0" borderId="0" xfId="0" applyFont="1"/>
    <xf numFmtId="0" fontId="84" fillId="0" borderId="0" xfId="2" applyFont="1"/>
    <xf numFmtId="0" fontId="75" fillId="0" borderId="0" xfId="0" applyFont="1" applyAlignment="1">
      <alignment horizontal="left" vertical="center"/>
    </xf>
    <xf numFmtId="0" fontId="101" fillId="0" borderId="0" xfId="0" applyFont="1" applyAlignment="1"/>
    <xf numFmtId="0" fontId="102" fillId="3" borderId="0" xfId="0" applyFont="1" applyFill="1"/>
    <xf numFmtId="0" fontId="93" fillId="0" borderId="0" xfId="0" applyFont="1" applyAlignment="1">
      <alignment vertical="top"/>
    </xf>
    <xf numFmtId="0" fontId="67" fillId="0" borderId="0" xfId="0" applyFont="1" applyAlignment="1">
      <alignment horizontal="right" vertical="top"/>
    </xf>
    <xf numFmtId="0" fontId="13" fillId="0" borderId="0" xfId="0" applyFont="1" applyFill="1"/>
    <xf numFmtId="0" fontId="101" fillId="0" borderId="0" xfId="0" applyFont="1" applyAlignment="1">
      <alignment vertical="center"/>
    </xf>
    <xf numFmtId="0" fontId="67" fillId="14" borderId="0" xfId="0" applyFont="1" applyFill="1" applyAlignment="1">
      <alignment horizontal="center"/>
    </xf>
    <xf numFmtId="0" fontId="67" fillId="7" borderId="0" xfId="0" applyFont="1" applyFill="1" applyAlignment="1">
      <alignment horizontal="center"/>
    </xf>
    <xf numFmtId="0" fontId="65" fillId="0" borderId="0" xfId="2" applyFont="1" applyAlignment="1">
      <alignment horizontal="center"/>
    </xf>
    <xf numFmtId="0" fontId="103" fillId="0" borderId="0" xfId="0" applyNumberFormat="1" applyFont="1" applyAlignment="1">
      <alignment horizontal="left"/>
    </xf>
    <xf numFmtId="0" fontId="104" fillId="0" borderId="0" xfId="0" applyNumberFormat="1" applyFont="1"/>
    <xf numFmtId="0" fontId="65" fillId="19" borderId="0" xfId="2" applyFont="1" applyFill="1"/>
    <xf numFmtId="0" fontId="103" fillId="0" borderId="0" xfId="0" applyFont="1" applyAlignment="1">
      <alignment horizontal="right"/>
    </xf>
    <xf numFmtId="16" fontId="103" fillId="0" borderId="0" xfId="0" quotePrefix="1" applyNumberFormat="1" applyFont="1" applyAlignment="1">
      <alignment horizontal="right"/>
    </xf>
    <xf numFmtId="0" fontId="103" fillId="3" borderId="0" xfId="0" applyNumberFormat="1" applyFont="1" applyFill="1" applyAlignment="1">
      <alignment horizontal="left"/>
    </xf>
    <xf numFmtId="0" fontId="105" fillId="0" borderId="41" xfId="0" applyFont="1" applyBorder="1" applyAlignment="1">
      <alignment horizontal="right" vertical="center"/>
    </xf>
    <xf numFmtId="0" fontId="97" fillId="0" borderId="41" xfId="0" applyFont="1" applyBorder="1" applyAlignment="1">
      <alignment vertical="center"/>
    </xf>
    <xf numFmtId="0" fontId="13" fillId="0" borderId="0" xfId="1" applyAlignment="1">
      <alignment horizontal="center"/>
    </xf>
    <xf numFmtId="164" fontId="13" fillId="0" borderId="0" xfId="1" applyNumberFormat="1"/>
    <xf numFmtId="0" fontId="107" fillId="0" borderId="0" xfId="6" applyFont="1"/>
    <xf numFmtId="0" fontId="65" fillId="0" borderId="0" xfId="6" applyFont="1"/>
    <xf numFmtId="0" fontId="76" fillId="0" borderId="0" xfId="6" applyFont="1" applyAlignment="1">
      <alignment vertical="top"/>
    </xf>
    <xf numFmtId="0" fontId="75" fillId="0" borderId="0" xfId="6" applyFont="1"/>
    <xf numFmtId="0" fontId="86" fillId="0" borderId="0" xfId="6" applyFont="1"/>
    <xf numFmtId="0" fontId="65" fillId="0" borderId="42" xfId="6" applyFont="1" applyBorder="1" applyAlignment="1">
      <alignment horizontal="center"/>
    </xf>
    <xf numFmtId="0" fontId="57" fillId="0" borderId="0" xfId="6" applyFont="1" applyAlignment="1">
      <alignment vertical="center"/>
    </xf>
    <xf numFmtId="173" fontId="96" fillId="0" borderId="0" xfId="5" applyNumberFormat="1" applyFont="1" applyAlignment="1">
      <alignment horizontal="right" vertical="center"/>
    </xf>
    <xf numFmtId="0" fontId="65" fillId="0" borderId="43" xfId="6" applyFont="1" applyBorder="1" applyAlignment="1">
      <alignment horizontal="center" vertical="top" wrapText="1"/>
    </xf>
    <xf numFmtId="0" fontId="65" fillId="0" borderId="1" xfId="6" applyFont="1" applyBorder="1" applyAlignment="1">
      <alignment horizontal="left" vertical="center" indent="1"/>
    </xf>
    <xf numFmtId="0" fontId="65" fillId="0" borderId="1" xfId="6" applyFont="1" applyBorder="1"/>
    <xf numFmtId="0" fontId="65" fillId="0" borderId="1" xfId="6" applyFont="1" applyBorder="1" applyAlignment="1">
      <alignment horizontal="center" vertical="center" wrapText="1"/>
    </xf>
    <xf numFmtId="0" fontId="96" fillId="0" borderId="0" xfId="6" applyFont="1" applyAlignment="1">
      <alignment horizontal="right" wrapText="1"/>
    </xf>
    <xf numFmtId="0" fontId="58" fillId="0" borderId="0" xfId="6" applyFont="1"/>
    <xf numFmtId="0" fontId="65" fillId="3" borderId="3" xfId="6" applyFont="1" applyFill="1" applyBorder="1" applyAlignment="1" applyProtection="1">
      <alignment horizontal="center"/>
      <protection locked="0"/>
    </xf>
    <xf numFmtId="0" fontId="65" fillId="3" borderId="11" xfId="6" applyFont="1" applyFill="1" applyBorder="1" applyAlignment="1" applyProtection="1">
      <alignment horizontal="left" indent="1"/>
      <protection locked="0"/>
    </xf>
    <xf numFmtId="0" fontId="65" fillId="3" borderId="12" xfId="6" applyFont="1" applyFill="1" applyBorder="1"/>
    <xf numFmtId="0" fontId="65" fillId="3" borderId="3" xfId="6" applyFont="1" applyFill="1" applyBorder="1" applyAlignment="1" applyProtection="1">
      <protection locked="0"/>
    </xf>
    <xf numFmtId="0" fontId="109" fillId="0" borderId="0" xfId="6" applyFont="1"/>
    <xf numFmtId="0" fontId="65" fillId="0" borderId="3" xfId="6" applyFont="1" applyBorder="1" applyAlignment="1" applyProtection="1">
      <alignment horizontal="center"/>
      <protection locked="0"/>
    </xf>
    <xf numFmtId="0" fontId="65" fillId="0" borderId="11" xfId="6" applyFont="1" applyBorder="1" applyAlignment="1" applyProtection="1">
      <alignment horizontal="left" indent="1"/>
      <protection locked="0"/>
    </xf>
    <xf numFmtId="0" fontId="65" fillId="0" borderId="12" xfId="6" applyFont="1" applyBorder="1"/>
    <xf numFmtId="0" fontId="65" fillId="0" borderId="3" xfId="6" applyFont="1" applyBorder="1" applyAlignment="1" applyProtection="1">
      <protection locked="0"/>
    </xf>
    <xf numFmtId="0" fontId="65" fillId="0" borderId="11" xfId="6" applyFont="1" applyBorder="1" applyAlignment="1" applyProtection="1">
      <alignment horizontal="center"/>
      <protection locked="0"/>
    </xf>
    <xf numFmtId="0" fontId="65" fillId="0" borderId="37" xfId="6" applyFont="1" applyBorder="1" applyAlignment="1" applyProtection="1">
      <protection locked="0"/>
    </xf>
    <xf numFmtId="0" fontId="65" fillId="0" borderId="37" xfId="6" applyFont="1" applyBorder="1" applyAlignment="1" applyProtection="1">
      <alignment horizontal="center"/>
      <protection locked="0"/>
    </xf>
    <xf numFmtId="0" fontId="65" fillId="0" borderId="12" xfId="6" applyFont="1" applyBorder="1" applyAlignment="1" applyProtection="1">
      <alignment horizontal="center"/>
      <protection locked="0"/>
    </xf>
    <xf numFmtId="0" fontId="80" fillId="20" borderId="0" xfId="6" applyFont="1" applyFill="1"/>
    <xf numFmtId="0" fontId="76" fillId="20" borderId="0" xfId="6" applyFont="1" applyFill="1"/>
    <xf numFmtId="0" fontId="65" fillId="20" borderId="0" xfId="6" applyFont="1" applyFill="1"/>
    <xf numFmtId="0" fontId="57" fillId="0" borderId="0" xfId="6" applyFont="1" applyAlignment="1"/>
    <xf numFmtId="0" fontId="110" fillId="0" borderId="0" xfId="6" applyFont="1"/>
    <xf numFmtId="0" fontId="76" fillId="0" borderId="0" xfId="6" applyFont="1" applyFill="1" applyAlignment="1">
      <alignment horizontal="right" vertical="center"/>
    </xf>
    <xf numFmtId="0" fontId="112" fillId="0" borderId="0" xfId="2" applyFont="1" applyAlignment="1">
      <alignment horizontal="center"/>
    </xf>
    <xf numFmtId="0" fontId="113" fillId="15" borderId="36" xfId="2" applyFont="1" applyFill="1" applyBorder="1" applyAlignment="1" applyProtection="1">
      <alignment horizontal="right" indent="1"/>
      <protection locked="0"/>
    </xf>
    <xf numFmtId="0" fontId="113" fillId="15" borderId="37" xfId="2" applyFont="1" applyFill="1" applyBorder="1" applyAlignment="1" applyProtection="1">
      <alignment horizontal="right" indent="1"/>
      <protection locked="0"/>
    </xf>
    <xf numFmtId="0" fontId="115" fillId="0" borderId="0" xfId="4" applyFont="1" applyAlignment="1">
      <alignment horizontal="right" indent="1"/>
    </xf>
    <xf numFmtId="0" fontId="60" fillId="0" borderId="0" xfId="4" applyAlignment="1">
      <alignment horizontal="right" indent="1"/>
    </xf>
    <xf numFmtId="20" fontId="111" fillId="15" borderId="26" xfId="2" applyNumberFormat="1" applyFont="1" applyFill="1" applyBorder="1" applyAlignment="1" applyProtection="1">
      <alignment horizontal="center"/>
      <protection locked="0" hidden="1"/>
    </xf>
    <xf numFmtId="20" fontId="111" fillId="15" borderId="27" xfId="2" applyNumberFormat="1" applyFont="1" applyFill="1" applyBorder="1" applyAlignment="1" applyProtection="1">
      <alignment horizontal="center"/>
      <protection locked="0" hidden="1"/>
    </xf>
    <xf numFmtId="20" fontId="111" fillId="15" borderId="38" xfId="2" applyNumberFormat="1" applyFont="1" applyFill="1" applyBorder="1" applyAlignment="1" applyProtection="1">
      <alignment horizontal="center"/>
      <protection locked="0" hidden="1"/>
    </xf>
    <xf numFmtId="20" fontId="111" fillId="15" borderId="33" xfId="2" applyNumberFormat="1" applyFont="1" applyFill="1" applyBorder="1" applyAlignment="1" applyProtection="1">
      <alignment horizontal="center"/>
      <protection locked="0" hidden="1"/>
    </xf>
    <xf numFmtId="0" fontId="60" fillId="0" borderId="0" xfId="2" applyAlignment="1">
      <alignment horizontal="right"/>
    </xf>
    <xf numFmtId="0" fontId="114" fillId="0" borderId="0" xfId="2" applyFont="1" applyAlignment="1">
      <alignment horizontal="center"/>
    </xf>
    <xf numFmtId="0" fontId="60" fillId="0" borderId="0" xfId="2"/>
    <xf numFmtId="0" fontId="76" fillId="0" borderId="0" xfId="0" applyFont="1" applyAlignment="1">
      <alignment vertical="center"/>
    </xf>
    <xf numFmtId="0" fontId="108" fillId="0" borderId="0" xfId="2" applyFont="1"/>
    <xf numFmtId="0" fontId="69" fillId="0" borderId="0" xfId="0" applyFont="1" applyAlignment="1">
      <alignment horizontal="right" indent="1"/>
    </xf>
    <xf numFmtId="0" fontId="116" fillId="0" borderId="0" xfId="0" applyFont="1" applyAlignment="1">
      <alignment horizontal="left" indent="3"/>
    </xf>
    <xf numFmtId="0" fontId="80" fillId="0" borderId="0" xfId="2" applyNumberFormat="1" applyFont="1" applyAlignment="1">
      <alignment horizontal="center"/>
    </xf>
    <xf numFmtId="0" fontId="65" fillId="0" borderId="0" xfId="0" applyFont="1"/>
    <xf numFmtId="0" fontId="100" fillId="0" borderId="0" xfId="2" applyFont="1" applyAlignment="1">
      <alignment horizontal="left" vertical="center" indent="1"/>
    </xf>
    <xf numFmtId="0" fontId="76" fillId="0" borderId="0" xfId="7" applyFont="1" applyAlignment="1">
      <alignment horizontal="right" indent="1"/>
    </xf>
    <xf numFmtId="0" fontId="79" fillId="3" borderId="1" xfId="7" applyFont="1" applyFill="1" applyBorder="1" applyAlignment="1" applyProtection="1">
      <alignment horizontal="center" vertical="center"/>
      <protection locked="0"/>
    </xf>
    <xf numFmtId="0" fontId="65" fillId="0" borderId="0" xfId="8" applyFont="1" applyAlignment="1">
      <alignment vertical="center"/>
    </xf>
    <xf numFmtId="0" fontId="81" fillId="0" borderId="0" xfId="6" applyFont="1" applyAlignment="1">
      <alignment vertical="center"/>
    </xf>
    <xf numFmtId="0" fontId="81" fillId="0" borderId="0" xfId="6" applyFont="1"/>
    <xf numFmtId="0" fontId="65" fillId="0" borderId="0" xfId="6" applyFont="1" applyAlignment="1">
      <alignment vertical="center"/>
    </xf>
    <xf numFmtId="0" fontId="117" fillId="0" borderId="0" xfId="7" applyFont="1" applyAlignment="1">
      <alignment horizontal="right" vertical="center"/>
    </xf>
    <xf numFmtId="0" fontId="76" fillId="0" borderId="0" xfId="7" applyFont="1"/>
    <xf numFmtId="0" fontId="81" fillId="0" borderId="0" xfId="7" applyFont="1"/>
    <xf numFmtId="0" fontId="76" fillId="0" borderId="0" xfId="7" applyFont="1" applyAlignment="1">
      <alignment horizontal="right" vertical="center"/>
    </xf>
    <xf numFmtId="0" fontId="79" fillId="0" borderId="0" xfId="7" applyFont="1" applyAlignment="1" applyProtection="1">
      <alignment horizontal="center"/>
      <protection locked="0"/>
    </xf>
    <xf numFmtId="0" fontId="118" fillId="22" borderId="0" xfId="7" applyFont="1" applyFill="1" applyAlignment="1">
      <alignment vertical="center"/>
    </xf>
    <xf numFmtId="0" fontId="118" fillId="23" borderId="0" xfId="7" applyFont="1" applyFill="1" applyAlignment="1">
      <alignment vertical="center"/>
    </xf>
    <xf numFmtId="0" fontId="79" fillId="3" borderId="3" xfId="6" applyFont="1" applyFill="1" applyBorder="1" applyAlignment="1" applyProtection="1">
      <alignment horizontal="center" vertical="center"/>
      <protection locked="0"/>
    </xf>
    <xf numFmtId="0" fontId="79" fillId="0" borderId="0" xfId="6" applyFont="1" applyAlignment="1" applyProtection="1">
      <alignment horizontal="center" vertical="center"/>
      <protection locked="0"/>
    </xf>
    <xf numFmtId="0" fontId="65" fillId="0" borderId="0" xfId="7" applyFont="1" applyAlignment="1">
      <alignment horizontal="right"/>
    </xf>
    <xf numFmtId="0" fontId="34" fillId="0" borderId="0" xfId="0" applyFont="1" applyFill="1" applyAlignment="1">
      <alignment vertical="top"/>
    </xf>
    <xf numFmtId="164" fontId="10" fillId="0" borderId="0" xfId="0" applyNumberFormat="1" applyFont="1" applyBorder="1" applyAlignment="1">
      <alignment horizontal="center"/>
    </xf>
    <xf numFmtId="0" fontId="0" fillId="0" borderId="0" xfId="0" applyAlignment="1">
      <alignment horizontal="right" vertical="center"/>
    </xf>
    <xf numFmtId="0" fontId="0" fillId="0" borderId="3" xfId="0" applyBorder="1" applyAlignment="1">
      <alignment horizontal="center"/>
    </xf>
    <xf numFmtId="0" fontId="0" fillId="0" borderId="47" xfId="0" applyBorder="1" applyAlignment="1">
      <alignment horizontal="center"/>
    </xf>
    <xf numFmtId="0" fontId="46" fillId="0" borderId="0" xfId="0" applyFont="1"/>
    <xf numFmtId="0" fontId="0" fillId="0" borderId="26" xfId="0" applyBorder="1" applyAlignment="1">
      <alignment horizontal="center"/>
    </xf>
    <xf numFmtId="0" fontId="12" fillId="24" borderId="0" xfId="0" applyFont="1" applyFill="1"/>
    <xf numFmtId="0" fontId="22" fillId="24" borderId="0" xfId="0" applyFont="1" applyFill="1"/>
    <xf numFmtId="0" fontId="0" fillId="24" borderId="0" xfId="0" applyFill="1"/>
    <xf numFmtId="0" fontId="30" fillId="24" borderId="0" xfId="0" applyFont="1" applyFill="1"/>
    <xf numFmtId="0" fontId="28" fillId="24" borderId="0" xfId="0" applyFont="1" applyFill="1"/>
    <xf numFmtId="0" fontId="30" fillId="24" borderId="0" xfId="0" quotePrefix="1" applyFont="1" applyFill="1"/>
    <xf numFmtId="0" fontId="120" fillId="0" borderId="0" xfId="1" applyFont="1" applyAlignment="1">
      <alignment horizontal="left" indent="1"/>
    </xf>
    <xf numFmtId="164" fontId="13" fillId="26" borderId="0" xfId="1" applyNumberFormat="1" applyFill="1"/>
    <xf numFmtId="0" fontId="13" fillId="27" borderId="0" xfId="1" applyFill="1"/>
    <xf numFmtId="0" fontId="13" fillId="24" borderId="0" xfId="1" applyFill="1" applyAlignment="1">
      <alignment horizontal="right"/>
    </xf>
    <xf numFmtId="0" fontId="13" fillId="24" borderId="0" xfId="1" applyFill="1"/>
    <xf numFmtId="0" fontId="13" fillId="21" borderId="0" xfId="1" applyFill="1"/>
    <xf numFmtId="0" fontId="46" fillId="0" borderId="0" xfId="0" applyFont="1" applyAlignment="1">
      <alignment horizontal="left"/>
    </xf>
    <xf numFmtId="0" fontId="46" fillId="0" borderId="0" xfId="0" applyFont="1" applyAlignment="1"/>
    <xf numFmtId="0" fontId="80" fillId="3" borderId="3" xfId="6" applyFont="1" applyFill="1" applyBorder="1" applyAlignment="1" applyProtection="1">
      <alignment horizontal="center" vertical="center"/>
      <protection locked="0" hidden="1"/>
    </xf>
    <xf numFmtId="0" fontId="65" fillId="0" borderId="0" xfId="7" applyFont="1" applyFill="1" applyAlignment="1">
      <alignment horizontal="right"/>
    </xf>
    <xf numFmtId="0" fontId="34" fillId="0" borderId="0" xfId="0" applyFont="1" applyAlignment="1">
      <alignment horizontal="center"/>
    </xf>
    <xf numFmtId="0" fontId="11" fillId="0" borderId="0" xfId="0" applyFont="1" applyFill="1"/>
    <xf numFmtId="0" fontId="65" fillId="0" borderId="0" xfId="7" applyFont="1" applyFill="1" applyAlignment="1">
      <alignment horizontal="left" indent="1"/>
    </xf>
    <xf numFmtId="0" fontId="119" fillId="0" borderId="0" xfId="0" applyFont="1" applyFill="1"/>
    <xf numFmtId="0" fontId="0" fillId="29" borderId="0" xfId="0" applyFill="1"/>
    <xf numFmtId="0" fontId="12" fillId="0" borderId="0" xfId="0" applyFont="1" applyFill="1"/>
    <xf numFmtId="0" fontId="22" fillId="30" borderId="0" xfId="0" applyFont="1" applyFill="1" applyAlignment="1">
      <alignment horizontal="right"/>
    </xf>
    <xf numFmtId="0" fontId="0" fillId="24" borderId="0" xfId="0" applyFill="1" applyAlignment="1">
      <alignment horizontal="center"/>
    </xf>
    <xf numFmtId="0" fontId="30" fillId="24" borderId="0" xfId="0" applyFont="1" applyFill="1" applyAlignment="1">
      <alignment horizontal="right"/>
    </xf>
    <xf numFmtId="0" fontId="56" fillId="0" borderId="0" xfId="0" applyFont="1" applyAlignment="1">
      <alignment horizontal="center" vertical="center"/>
    </xf>
    <xf numFmtId="0" fontId="30" fillId="24" borderId="0" xfId="0" quotePrefix="1" applyFont="1" applyFill="1" applyAlignment="1">
      <alignment horizontal="left" indent="2"/>
    </xf>
    <xf numFmtId="164" fontId="27" fillId="0" borderId="3" xfId="0" applyNumberFormat="1" applyFont="1" applyBorder="1" applyAlignment="1">
      <alignment horizontal="right" vertical="center" indent="1"/>
    </xf>
    <xf numFmtId="0" fontId="13" fillId="0" borderId="48" xfId="0" applyFont="1" applyBorder="1"/>
    <xf numFmtId="0" fontId="13" fillId="0" borderId="0" xfId="0" applyFont="1" applyBorder="1"/>
    <xf numFmtId="0" fontId="65" fillId="0" borderId="1" xfId="6" applyFont="1" applyBorder="1" applyAlignment="1">
      <alignment horizontal="center" vertical="center"/>
    </xf>
    <xf numFmtId="0" fontId="81" fillId="0" borderId="0" xfId="6" applyFont="1" applyFill="1" applyAlignment="1">
      <alignment horizontal="center" vertical="center"/>
    </xf>
    <xf numFmtId="0" fontId="81" fillId="0" borderId="0" xfId="6" applyFont="1" applyFill="1" applyAlignment="1">
      <alignment horizontal="left" vertical="center"/>
    </xf>
    <xf numFmtId="0" fontId="69" fillId="0" borderId="0" xfId="6" applyFont="1" applyFill="1" applyAlignment="1"/>
    <xf numFmtId="0" fontId="65" fillId="10" borderId="3" xfId="6" applyFont="1" applyFill="1" applyBorder="1" applyAlignment="1" applyProtection="1">
      <alignment horizontal="center"/>
      <protection locked="0"/>
    </xf>
    <xf numFmtId="164" fontId="80" fillId="27" borderId="6" xfId="6" applyNumberFormat="1" applyFont="1" applyFill="1" applyBorder="1" applyAlignment="1">
      <alignment horizontal="center" vertical="center"/>
    </xf>
    <xf numFmtId="0" fontId="65" fillId="0" borderId="0" xfId="6" applyFont="1" applyBorder="1" applyAlignment="1">
      <alignment vertical="center"/>
    </xf>
    <xf numFmtId="0" fontId="65" fillId="0" borderId="0" xfId="6" applyFont="1" applyBorder="1"/>
    <xf numFmtId="0" fontId="65" fillId="0" borderId="0" xfId="6" applyFont="1" applyBorder="1" applyAlignment="1">
      <alignment horizontal="right" vertical="center"/>
    </xf>
    <xf numFmtId="0" fontId="123" fillId="0" borderId="0" xfId="6" applyFont="1" applyBorder="1" applyAlignment="1">
      <alignment vertical="center"/>
    </xf>
    <xf numFmtId="0" fontId="75" fillId="0" borderId="0" xfId="6" applyFont="1" applyAlignment="1">
      <alignment horizontal="right" vertical="center"/>
    </xf>
    <xf numFmtId="0" fontId="122" fillId="0" borderId="0" xfId="0" applyFont="1"/>
    <xf numFmtId="164" fontId="65" fillId="10" borderId="1" xfId="6" applyNumberFormat="1" applyFont="1" applyFill="1" applyBorder="1" applyAlignment="1">
      <alignment horizontal="center" vertical="center"/>
    </xf>
    <xf numFmtId="0" fontId="124" fillId="20" borderId="0" xfId="6" applyFont="1" applyFill="1"/>
    <xf numFmtId="0" fontId="125" fillId="0" borderId="0" xfId="6" applyFont="1" applyAlignment="1"/>
    <xf numFmtId="0" fontId="102" fillId="0" borderId="0" xfId="6" applyFont="1" applyAlignment="1">
      <alignment vertical="center"/>
    </xf>
    <xf numFmtId="0" fontId="126" fillId="0" borderId="0" xfId="0" applyFont="1"/>
    <xf numFmtId="0" fontId="86" fillId="0" borderId="0" xfId="6" applyFont="1" applyAlignment="1">
      <alignment vertical="top"/>
    </xf>
    <xf numFmtId="0" fontId="127" fillId="0" borderId="0" xfId="6" applyFont="1"/>
    <xf numFmtId="166" fontId="0" fillId="0" borderId="3" xfId="0" applyNumberFormat="1" applyFill="1" applyBorder="1" applyAlignment="1" applyProtection="1">
      <alignment horizontal="right" vertical="center" indent="1"/>
    </xf>
    <xf numFmtId="0" fontId="128" fillId="0" borderId="0" xfId="0" applyFont="1" applyFill="1"/>
    <xf numFmtId="0" fontId="32" fillId="0" borderId="3" xfId="0" applyFont="1" applyFill="1" applyBorder="1" applyAlignment="1" applyProtection="1">
      <alignment horizontal="center" vertical="center"/>
    </xf>
    <xf numFmtId="20" fontId="111" fillId="32" borderId="23" xfId="2" applyNumberFormat="1" applyFont="1" applyFill="1" applyBorder="1" applyAlignment="1" applyProtection="1">
      <alignment horizontal="center"/>
      <protection locked="0" hidden="1"/>
    </xf>
    <xf numFmtId="164" fontId="0" fillId="0" borderId="0" xfId="0" applyNumberFormat="1" applyFont="1"/>
    <xf numFmtId="0" fontId="129" fillId="0" borderId="0" xfId="0" applyFont="1" applyFill="1" applyAlignment="1">
      <alignment horizontal="left" indent="4"/>
    </xf>
    <xf numFmtId="0" fontId="11" fillId="0" borderId="0" xfId="0" applyFont="1" applyFill="1" applyAlignment="1">
      <alignment horizontal="left"/>
    </xf>
    <xf numFmtId="0" fontId="20" fillId="0" borderId="0" xfId="0" applyFont="1" applyAlignment="1">
      <alignment horizontal="left" indent="4"/>
    </xf>
    <xf numFmtId="0" fontId="79" fillId="3" borderId="0" xfId="6" applyFont="1" applyFill="1" applyBorder="1" applyAlignment="1" applyProtection="1">
      <alignment vertical="center"/>
      <protection locked="0"/>
    </xf>
    <xf numFmtId="164" fontId="79" fillId="3" borderId="3" xfId="6" applyNumberFormat="1" applyFont="1" applyFill="1" applyBorder="1" applyAlignment="1" applyProtection="1">
      <alignment horizontal="center" vertical="center"/>
      <protection locked="0"/>
    </xf>
    <xf numFmtId="0" fontId="10" fillId="0" borderId="50" xfId="0" applyFont="1" applyBorder="1" applyAlignment="1">
      <alignment vertical="top"/>
    </xf>
    <xf numFmtId="164" fontId="81" fillId="0" borderId="0" xfId="6" applyNumberFormat="1" applyFont="1" applyAlignment="1">
      <alignment horizontal="center"/>
    </xf>
    <xf numFmtId="0" fontId="10" fillId="0" borderId="0" xfId="0" applyFont="1" applyAlignment="1">
      <alignment horizontal="left" indent="3"/>
    </xf>
    <xf numFmtId="0" fontId="130" fillId="33" borderId="0" xfId="6" applyFont="1" applyFill="1" applyAlignment="1" applyProtection="1">
      <alignment vertical="center"/>
      <protection hidden="1"/>
    </xf>
    <xf numFmtId="0" fontId="65" fillId="33" borderId="0" xfId="6" applyFont="1" applyFill="1" applyProtection="1">
      <protection hidden="1"/>
    </xf>
    <xf numFmtId="0" fontId="108" fillId="33" borderId="0" xfId="6" applyFont="1" applyFill="1" applyProtection="1">
      <protection hidden="1"/>
    </xf>
    <xf numFmtId="0" fontId="13" fillId="0" borderId="0" xfId="0" applyFont="1" applyProtection="1">
      <protection hidden="1"/>
    </xf>
    <xf numFmtId="0" fontId="65" fillId="3" borderId="3" xfId="6" applyFont="1" applyFill="1" applyBorder="1" applyAlignment="1" applyProtection="1">
      <alignment horizontal="center"/>
      <protection hidden="1"/>
    </xf>
    <xf numFmtId="0" fontId="65" fillId="3" borderId="11" xfId="6" applyFont="1" applyFill="1" applyBorder="1" applyAlignment="1" applyProtection="1">
      <alignment horizontal="left" indent="1"/>
      <protection hidden="1"/>
    </xf>
    <xf numFmtId="0" fontId="65" fillId="3" borderId="12" xfId="6" applyFont="1" applyFill="1" applyBorder="1" applyProtection="1">
      <protection hidden="1"/>
    </xf>
    <xf numFmtId="0" fontId="65" fillId="3" borderId="3" xfId="6" applyFont="1" applyFill="1" applyBorder="1" applyAlignment="1" applyProtection="1">
      <protection hidden="1"/>
    </xf>
    <xf numFmtId="0" fontId="65" fillId="10" borderId="3" xfId="6" applyFont="1" applyFill="1" applyBorder="1" applyAlignment="1" applyProtection="1">
      <alignment horizontal="center"/>
      <protection hidden="1"/>
    </xf>
    <xf numFmtId="0" fontId="65" fillId="3" borderId="11" xfId="6" applyFont="1" applyFill="1" applyBorder="1" applyAlignment="1" applyProtection="1">
      <alignment horizontal="center"/>
      <protection hidden="1"/>
    </xf>
    <xf numFmtId="0" fontId="13" fillId="0" borderId="48" xfId="0" applyFont="1" applyBorder="1" applyProtection="1">
      <protection hidden="1"/>
    </xf>
    <xf numFmtId="0" fontId="65" fillId="0" borderId="0" xfId="6" applyFont="1" applyProtection="1">
      <protection hidden="1"/>
    </xf>
    <xf numFmtId="0" fontId="65" fillId="34" borderId="0" xfId="6" applyFont="1" applyFill="1"/>
    <xf numFmtId="0" fontId="13" fillId="34" borderId="0" xfId="0" applyFont="1" applyFill="1"/>
    <xf numFmtId="0" fontId="108" fillId="34" borderId="0" xfId="6" applyFont="1" applyFill="1"/>
    <xf numFmtId="0" fontId="65" fillId="34" borderId="0" xfId="6" applyFont="1" applyFill="1" applyProtection="1">
      <protection hidden="1"/>
    </xf>
    <xf numFmtId="0" fontId="13" fillId="34" borderId="0" xfId="0" applyFont="1" applyFill="1" applyProtection="1">
      <protection hidden="1"/>
    </xf>
    <xf numFmtId="0" fontId="13" fillId="34" borderId="0" xfId="0" applyFont="1" applyFill="1" applyBorder="1" applyProtection="1">
      <protection hidden="1"/>
    </xf>
    <xf numFmtId="0" fontId="19" fillId="0" borderId="0" xfId="0" applyFont="1" applyFill="1" applyAlignment="1">
      <alignment horizontal="right"/>
    </xf>
    <xf numFmtId="0" fontId="121" fillId="0" borderId="0" xfId="0" applyFont="1" applyFill="1" applyAlignment="1">
      <alignment horizontal="right" vertical="top"/>
    </xf>
    <xf numFmtId="0" fontId="30" fillId="35" borderId="23" xfId="0" quotePrefix="1" applyFont="1" applyFill="1" applyBorder="1" applyAlignment="1">
      <alignment horizontal="left" indent="2"/>
    </xf>
    <xf numFmtId="0" fontId="0" fillId="35" borderId="0" xfId="0" applyFill="1"/>
    <xf numFmtId="0" fontId="30" fillId="35" borderId="0" xfId="0" applyFont="1" applyFill="1" applyAlignment="1">
      <alignment horizontal="center"/>
    </xf>
    <xf numFmtId="0" fontId="0" fillId="0" borderId="0" xfId="0" applyAlignment="1">
      <alignment horizontal="left" indent="1"/>
    </xf>
    <xf numFmtId="0" fontId="0" fillId="0" borderId="0" xfId="0" applyFill="1" applyAlignment="1">
      <alignment horizontal="left" vertical="center"/>
    </xf>
    <xf numFmtId="164" fontId="27" fillId="0" borderId="3" xfId="0" applyNumberFormat="1" applyFont="1" applyFill="1" applyBorder="1" applyAlignment="1">
      <alignment horizontal="right" vertical="center" indent="1"/>
    </xf>
    <xf numFmtId="0" fontId="65" fillId="0" borderId="0" xfId="9" applyFont="1"/>
    <xf numFmtId="0" fontId="81" fillId="0" borderId="0" xfId="10" applyFont="1"/>
    <xf numFmtId="0" fontId="81" fillId="22" borderId="0" xfId="10" applyFont="1" applyFill="1"/>
    <xf numFmtId="14" fontId="65" fillId="0" borderId="0" xfId="10" applyNumberFormat="1" applyFont="1" applyAlignment="1">
      <alignment horizontal="left"/>
    </xf>
    <xf numFmtId="0" fontId="133" fillId="0" borderId="0" xfId="10" applyFont="1" applyBorder="1" applyAlignment="1">
      <alignment horizontal="left" indent="1"/>
    </xf>
    <xf numFmtId="0" fontId="76" fillId="22" borderId="0" xfId="10" applyFont="1" applyFill="1"/>
    <xf numFmtId="3" fontId="81" fillId="0" borderId="30" xfId="10" applyNumberFormat="1" applyFont="1" applyBorder="1" applyAlignment="1">
      <alignment horizontal="centerContinuous"/>
    </xf>
    <xf numFmtId="3" fontId="81" fillId="0" borderId="31" xfId="10" applyNumberFormat="1" applyFont="1" applyBorder="1" applyAlignment="1">
      <alignment horizontal="center"/>
    </xf>
    <xf numFmtId="3" fontId="81" fillId="0" borderId="7" xfId="10" applyNumberFormat="1" applyFont="1" applyBorder="1" applyAlignment="1">
      <alignment horizontal="center"/>
    </xf>
    <xf numFmtId="0" fontId="82" fillId="22" borderId="0" xfId="10" applyFont="1" applyFill="1" applyAlignment="1">
      <alignment vertical="center"/>
    </xf>
    <xf numFmtId="3" fontId="82" fillId="22" borderId="0" xfId="10" applyNumberFormat="1" applyFont="1" applyFill="1" applyAlignment="1">
      <alignment horizontal="center" vertical="center"/>
    </xf>
    <xf numFmtId="0" fontId="134" fillId="22" borderId="0" xfId="10" applyFont="1" applyFill="1" applyAlignment="1">
      <alignment horizontal="center" vertical="center"/>
    </xf>
    <xf numFmtId="0" fontId="81" fillId="0" borderId="32" xfId="10" applyFont="1" applyBorder="1"/>
    <xf numFmtId="0" fontId="81" fillId="0" borderId="33" xfId="10" applyFont="1" applyBorder="1"/>
    <xf numFmtId="0" fontId="81" fillId="0" borderId="63" xfId="10" applyFont="1" applyBorder="1"/>
    <xf numFmtId="0" fontId="81" fillId="0" borderId="38" xfId="10" applyFont="1" applyBorder="1"/>
    <xf numFmtId="0" fontId="81" fillId="0" borderId="64" xfId="10" applyFont="1" applyBorder="1"/>
    <xf numFmtId="174" fontId="82" fillId="22" borderId="0" xfId="10" applyNumberFormat="1" applyFont="1" applyFill="1"/>
    <xf numFmtId="3" fontId="82" fillId="22" borderId="0" xfId="10" applyNumberFormat="1" applyFont="1" applyFill="1" applyAlignment="1">
      <alignment horizontal="center"/>
    </xf>
    <xf numFmtId="0" fontId="67" fillId="0" borderId="0" xfId="10" applyFont="1" applyAlignment="1">
      <alignment horizontal="right" wrapText="1"/>
    </xf>
    <xf numFmtId="0" fontId="81" fillId="0" borderId="0" xfId="10" applyFont="1" applyAlignment="1">
      <alignment horizontal="left" wrapText="1" indent="1"/>
    </xf>
    <xf numFmtId="0" fontId="81" fillId="0" borderId="51" xfId="10" applyFont="1" applyBorder="1" applyAlignment="1">
      <alignment horizontal="center" textRotation="90" wrapText="1"/>
    </xf>
    <xf numFmtId="0" fontId="81" fillId="0" borderId="22" xfId="10" applyFont="1" applyBorder="1" applyAlignment="1">
      <alignment horizontal="left" textRotation="90" wrapText="1"/>
    </xf>
    <xf numFmtId="0" fontId="81" fillId="0" borderId="23" xfId="10" applyFont="1" applyBorder="1" applyAlignment="1">
      <alignment horizontal="right" textRotation="90" wrapText="1"/>
    </xf>
    <xf numFmtId="0" fontId="81" fillId="0" borderId="51" xfId="10" applyFont="1" applyBorder="1" applyAlignment="1">
      <alignment horizontal="right" textRotation="90" wrapText="1"/>
    </xf>
    <xf numFmtId="0" fontId="69" fillId="0" borderId="0" xfId="10" applyFont="1" applyAlignment="1">
      <alignment horizontal="right"/>
    </xf>
    <xf numFmtId="0" fontId="75" fillId="0" borderId="0" xfId="10" applyFont="1"/>
    <xf numFmtId="0" fontId="136" fillId="0" borderId="0" xfId="10" applyFont="1"/>
    <xf numFmtId="0" fontId="81" fillId="0" borderId="0" xfId="10" applyFont="1" applyAlignment="1">
      <alignment vertical="top"/>
    </xf>
    <xf numFmtId="0" fontId="132" fillId="0" borderId="0" xfId="10" applyFont="1" applyAlignment="1">
      <alignment horizontal="centerContinuous" vertical="center"/>
    </xf>
    <xf numFmtId="0" fontId="69" fillId="0" borderId="0" xfId="10" applyFont="1" applyAlignment="1">
      <alignment horizontal="centerContinuous" vertical="top"/>
    </xf>
    <xf numFmtId="14" fontId="65" fillId="0" borderId="48" xfId="10" applyNumberFormat="1" applyFont="1" applyBorder="1" applyAlignment="1">
      <alignment horizontal="centerContinuous"/>
    </xf>
    <xf numFmtId="14" fontId="76" fillId="0" borderId="48" xfId="10" applyNumberFormat="1" applyFont="1" applyBorder="1" applyAlignment="1" applyProtection="1">
      <alignment horizontal="centerContinuous"/>
      <protection locked="0"/>
    </xf>
    <xf numFmtId="0" fontId="138" fillId="0" borderId="0" xfId="10" applyFont="1" applyAlignment="1">
      <alignment horizontal="right"/>
    </xf>
    <xf numFmtId="0" fontId="140" fillId="28" borderId="0" xfId="11" applyFont="1" applyFill="1" applyAlignment="1" applyProtection="1">
      <alignment horizontal="center" vertical="center"/>
      <protection locked="0"/>
    </xf>
    <xf numFmtId="0" fontId="50" fillId="0" borderId="0" xfId="0" applyFont="1" applyAlignment="1">
      <alignment vertical="center"/>
    </xf>
    <xf numFmtId="0" fontId="0" fillId="34" borderId="0" xfId="0" applyFill="1"/>
    <xf numFmtId="0" fontId="34" fillId="34" borderId="0" xfId="0" applyFont="1" applyFill="1"/>
    <xf numFmtId="0" fontId="0" fillId="34" borderId="0" xfId="0" applyFill="1" applyProtection="1"/>
    <xf numFmtId="0" fontId="44" fillId="34" borderId="0" xfId="0" applyFont="1" applyFill="1" applyProtection="1">
      <protection locked="0"/>
    </xf>
    <xf numFmtId="0" fontId="65" fillId="0" borderId="60" xfId="11" applyFont="1" applyBorder="1" applyAlignment="1" applyProtection="1">
      <alignment horizontal="center" vertical="center"/>
      <protection locked="0"/>
    </xf>
    <xf numFmtId="0" fontId="65" fillId="0" borderId="58" xfId="11" applyFont="1" applyBorder="1" applyAlignment="1" applyProtection="1">
      <alignment horizontal="center" vertical="center"/>
      <protection locked="0"/>
    </xf>
    <xf numFmtId="0" fontId="65" fillId="0" borderId="36" xfId="11" applyFont="1" applyBorder="1" applyAlignment="1" applyProtection="1">
      <alignment horizontal="center" vertical="center"/>
      <protection locked="0"/>
    </xf>
    <xf numFmtId="0" fontId="65" fillId="0" borderId="57" xfId="11" applyFont="1" applyBorder="1" applyAlignment="1" applyProtection="1">
      <alignment horizontal="center" vertical="center"/>
      <protection locked="0"/>
    </xf>
    <xf numFmtId="0" fontId="65" fillId="0" borderId="39" xfId="11" applyFont="1" applyBorder="1" applyAlignment="1" applyProtection="1">
      <alignment horizontal="center" vertical="center"/>
      <protection locked="0"/>
    </xf>
    <xf numFmtId="0" fontId="65" fillId="0" borderId="54" xfId="11" applyFont="1" applyBorder="1" applyAlignment="1" applyProtection="1">
      <alignment horizontal="center" vertical="center"/>
      <protection locked="0"/>
    </xf>
    <xf numFmtId="0" fontId="27" fillId="0" borderId="3" xfId="0" applyNumberFormat="1" applyFont="1" applyFill="1" applyBorder="1" applyAlignment="1">
      <alignment horizontal="right" vertical="center" indent="1"/>
    </xf>
    <xf numFmtId="49" fontId="69" fillId="0" borderId="7" xfId="10" applyNumberFormat="1" applyFont="1" applyBorder="1"/>
    <xf numFmtId="0" fontId="107" fillId="0" borderId="0" xfId="10" applyFont="1" applyAlignment="1">
      <alignment horizontal="right"/>
    </xf>
    <xf numFmtId="0" fontId="141" fillId="0" borderId="0" xfId="10" applyFont="1"/>
    <xf numFmtId="0" fontId="137" fillId="0" borderId="0" xfId="10" applyFont="1" applyFill="1"/>
    <xf numFmtId="0" fontId="81" fillId="0" borderId="0" xfId="10" applyFont="1" applyFill="1"/>
    <xf numFmtId="0" fontId="76" fillId="0" borderId="0" xfId="10" applyFont="1" applyAlignment="1">
      <alignment vertical="top"/>
    </xf>
    <xf numFmtId="0" fontId="67" fillId="0" borderId="0" xfId="10" applyFont="1"/>
    <xf numFmtId="49" fontId="142" fillId="3" borderId="48" xfId="11" applyNumberFormat="1" applyFont="1" applyFill="1" applyBorder="1" applyProtection="1">
      <protection locked="0"/>
    </xf>
    <xf numFmtId="0" fontId="81" fillId="0" borderId="0" xfId="10" applyFont="1" applyAlignment="1">
      <alignment horizontal="center" vertical="top"/>
    </xf>
    <xf numFmtId="3" fontId="65" fillId="0" borderId="62" xfId="10" applyNumberFormat="1" applyFont="1" applyBorder="1" applyAlignment="1" applyProtection="1">
      <alignment horizontal="center" vertical="center"/>
      <protection locked="0"/>
    </xf>
    <xf numFmtId="3" fontId="65" fillId="0" borderId="59" xfId="10" applyNumberFormat="1" applyFont="1" applyBorder="1" applyAlignment="1" applyProtection="1">
      <alignment horizontal="center" vertical="center"/>
      <protection locked="0"/>
    </xf>
    <xf numFmtId="3" fontId="65" fillId="0" borderId="61" xfId="10" applyNumberFormat="1" applyFont="1" applyBorder="1" applyAlignment="1" applyProtection="1">
      <alignment horizontal="center" vertical="center"/>
      <protection locked="0"/>
    </xf>
    <xf numFmtId="0" fontId="65" fillId="0" borderId="58" xfId="10" applyFont="1" applyBorder="1" applyAlignment="1" applyProtection="1">
      <alignment horizontal="center" vertical="center"/>
      <protection locked="0"/>
    </xf>
    <xf numFmtId="0" fontId="65" fillId="0" borderId="53" xfId="10" applyFont="1" applyBorder="1" applyAlignment="1" applyProtection="1">
      <alignment horizontal="left" vertical="center" indent="1"/>
      <protection locked="0"/>
    </xf>
    <xf numFmtId="0" fontId="65" fillId="0" borderId="12" xfId="10" applyFont="1" applyBorder="1" applyAlignment="1">
      <alignment vertical="center"/>
    </xf>
    <xf numFmtId="3" fontId="65" fillId="0" borderId="36" xfId="10" applyNumberFormat="1" applyFont="1" applyBorder="1" applyAlignment="1" applyProtection="1">
      <alignment horizontal="center" vertical="center"/>
      <protection locked="0"/>
    </xf>
    <xf numFmtId="3" fontId="65" fillId="0" borderId="3" xfId="10" applyNumberFormat="1" applyFont="1" applyBorder="1" applyAlignment="1" applyProtection="1">
      <alignment horizontal="center" vertical="center"/>
      <protection locked="0"/>
    </xf>
    <xf numFmtId="3" fontId="65" fillId="0" borderId="11" xfId="10" applyNumberFormat="1" applyFont="1" applyBorder="1" applyAlignment="1" applyProtection="1">
      <alignment horizontal="center" vertical="center"/>
      <protection locked="0"/>
    </xf>
    <xf numFmtId="0" fontId="65" fillId="0" borderId="57" xfId="10" applyFont="1" applyBorder="1" applyAlignment="1" applyProtection="1">
      <alignment horizontal="center" vertical="center"/>
      <protection locked="0"/>
    </xf>
    <xf numFmtId="3" fontId="65" fillId="0" borderId="55" xfId="10" applyNumberFormat="1" applyFont="1" applyBorder="1" applyAlignment="1" applyProtection="1">
      <alignment horizontal="center" vertical="center"/>
      <protection locked="0"/>
    </xf>
    <xf numFmtId="3" fontId="65" fillId="0" borderId="56" xfId="10" applyNumberFormat="1" applyFont="1" applyBorder="1" applyAlignment="1" applyProtection="1">
      <alignment horizontal="center" vertical="center"/>
      <protection locked="0"/>
    </xf>
    <xf numFmtId="0" fontId="65" fillId="0" borderId="54" xfId="10" applyFont="1" applyBorder="1" applyAlignment="1" applyProtection="1">
      <alignment horizontal="center" vertical="center"/>
      <protection locked="0"/>
    </xf>
    <xf numFmtId="3" fontId="65" fillId="0" borderId="52" xfId="10" applyNumberFormat="1" applyFont="1" applyBorder="1" applyAlignment="1">
      <alignment horizontal="centerContinuous"/>
    </xf>
    <xf numFmtId="3" fontId="80" fillId="0" borderId="42" xfId="10" applyNumberFormat="1" applyFont="1" applyBorder="1" applyAlignment="1">
      <alignment horizontal="center"/>
    </xf>
    <xf numFmtId="0" fontId="0" fillId="36" borderId="0" xfId="0" applyFill="1"/>
    <xf numFmtId="0" fontId="143" fillId="35" borderId="0" xfId="0" applyFont="1" applyFill="1"/>
    <xf numFmtId="0" fontId="143" fillId="0" borderId="0" xfId="0" applyFont="1" applyFill="1"/>
    <xf numFmtId="0" fontId="144" fillId="0" borderId="0" xfId="10" applyFont="1" applyAlignment="1">
      <alignment horizontal="right"/>
    </xf>
    <xf numFmtId="0" fontId="145" fillId="0" borderId="48" xfId="10" applyFont="1" applyBorder="1" applyAlignment="1">
      <alignment vertical="center"/>
    </xf>
    <xf numFmtId="14" fontId="142" fillId="0" borderId="0" xfId="10" applyNumberFormat="1" applyFont="1" applyAlignment="1">
      <alignment horizontal="left"/>
    </xf>
    <xf numFmtId="0" fontId="145" fillId="0" borderId="0" xfId="10" applyFont="1"/>
    <xf numFmtId="0" fontId="125" fillId="0" borderId="0" xfId="10" applyFont="1" applyAlignment="1">
      <alignment horizontal="left" vertical="center" indent="1"/>
    </xf>
    <xf numFmtId="0" fontId="146" fillId="0" borderId="0" xfId="10" applyFont="1" applyAlignment="1">
      <alignment vertical="center"/>
    </xf>
    <xf numFmtId="0" fontId="125" fillId="0" borderId="0" xfId="10" applyFont="1" applyAlignment="1">
      <alignment horizontal="left" vertical="center" indent="3"/>
    </xf>
    <xf numFmtId="0" fontId="119" fillId="35" borderId="41" xfId="0" applyFont="1" applyFill="1" applyBorder="1" applyAlignment="1">
      <alignment horizontal="left"/>
    </xf>
    <xf numFmtId="0" fontId="86" fillId="0" borderId="0" xfId="2" applyFont="1" applyAlignment="1">
      <alignment horizontal="right"/>
    </xf>
    <xf numFmtId="0" fontId="10" fillId="0" borderId="0" xfId="0" applyFont="1"/>
    <xf numFmtId="0" fontId="10" fillId="0" borderId="0" xfId="0" applyFont="1" applyAlignment="1">
      <alignment horizontal="right"/>
    </xf>
    <xf numFmtId="0" fontId="10" fillId="0" borderId="0" xfId="0" applyFont="1" applyAlignment="1">
      <alignment horizontal="right" vertical="top"/>
    </xf>
    <xf numFmtId="0" fontId="34" fillId="0" borderId="0" xfId="0" applyFont="1" applyAlignment="1">
      <alignment horizontal="left" indent="3"/>
    </xf>
    <xf numFmtId="0" fontId="34" fillId="0" borderId="0" xfId="0" applyFont="1" applyAlignment="1">
      <alignment horizontal="left" vertical="center" indent="3"/>
    </xf>
    <xf numFmtId="0" fontId="0" fillId="37" borderId="0" xfId="0" applyFill="1"/>
    <xf numFmtId="0" fontId="0" fillId="38" borderId="0" xfId="0" applyFill="1"/>
    <xf numFmtId="0" fontId="0" fillId="0" borderId="0" xfId="0" applyAlignment="1">
      <alignment vertical="top"/>
    </xf>
    <xf numFmtId="0" fontId="0" fillId="0" borderId="0" xfId="0" applyAlignment="1">
      <alignment horizontal="right" vertical="top"/>
    </xf>
    <xf numFmtId="0" fontId="147" fillId="34" borderId="0" xfId="0" applyFont="1" applyFill="1"/>
    <xf numFmtId="0" fontId="141" fillId="0" borderId="0" xfId="6" applyFont="1"/>
    <xf numFmtId="0" fontId="148" fillId="0" borderId="0" xfId="6" applyFont="1"/>
    <xf numFmtId="0" fontId="0" fillId="0" borderId="0" xfId="0" applyAlignment="1">
      <alignment horizontal="left" indent="2"/>
    </xf>
    <xf numFmtId="0" fontId="39" fillId="0" borderId="0" xfId="0" applyFont="1" applyAlignment="1">
      <alignment horizontal="right" vertical="top"/>
    </xf>
    <xf numFmtId="0" fontId="84" fillId="3" borderId="0" xfId="6" applyFont="1" applyFill="1" applyBorder="1" applyAlignment="1" applyProtection="1">
      <protection locked="0"/>
    </xf>
    <xf numFmtId="0" fontId="0" fillId="3" borderId="0" xfId="0" applyFill="1"/>
    <xf numFmtId="0" fontId="0" fillId="39" borderId="0" xfId="0" applyFill="1"/>
    <xf numFmtId="0" fontId="54" fillId="0" borderId="0" xfId="0" applyFont="1" applyAlignment="1">
      <alignment horizontal="right"/>
    </xf>
    <xf numFmtId="0" fontId="149" fillId="40" borderId="0" xfId="0" applyFont="1" applyFill="1" applyAlignment="1">
      <alignment horizontal="right"/>
    </xf>
    <xf numFmtId="0" fontId="150" fillId="0" borderId="0" xfId="0" applyFont="1"/>
    <xf numFmtId="0" fontId="151" fillId="12" borderId="0" xfId="0" applyFont="1" applyFill="1"/>
    <xf numFmtId="0" fontId="21" fillId="39" borderId="0" xfId="0" applyFont="1" applyFill="1" applyAlignment="1">
      <alignment horizontal="right" indent="1"/>
    </xf>
    <xf numFmtId="0" fontId="0" fillId="0" borderId="0" xfId="0" applyAlignment="1">
      <alignment horizontal="center" vertical="top"/>
    </xf>
    <xf numFmtId="0" fontId="152" fillId="0" borderId="0" xfId="0" applyFont="1" applyAlignment="1">
      <alignment vertical="center"/>
    </xf>
    <xf numFmtId="0" fontId="12" fillId="41" borderId="0" xfId="0" applyFont="1" applyFill="1"/>
    <xf numFmtId="0" fontId="28" fillId="41" borderId="0" xfId="0" applyFont="1" applyFill="1"/>
    <xf numFmtId="0" fontId="30" fillId="41" borderId="0" xfId="0" quotePrefix="1" applyFont="1" applyFill="1" applyAlignment="1">
      <alignment horizontal="left" indent="2"/>
    </xf>
    <xf numFmtId="0" fontId="30" fillId="41" borderId="0" xfId="0" quotePrefix="1" applyFont="1" applyFill="1"/>
    <xf numFmtId="0" fontId="0" fillId="41" borderId="0" xfId="0" applyFill="1"/>
    <xf numFmtId="164" fontId="27" fillId="0" borderId="0" xfId="0" applyNumberFormat="1" applyFont="1" applyBorder="1" applyAlignment="1">
      <alignment horizontal="right" vertical="center" indent="1"/>
    </xf>
    <xf numFmtId="0" fontId="107" fillId="41" borderId="0" xfId="6" applyFont="1" applyFill="1"/>
    <xf numFmtId="0" fontId="65" fillId="41" borderId="0" xfId="6" applyFont="1" applyFill="1"/>
    <xf numFmtId="0" fontId="69" fillId="41" borderId="0" xfId="6" applyFont="1" applyFill="1" applyAlignment="1"/>
    <xf numFmtId="0" fontId="13" fillId="41" borderId="0" xfId="0" applyFont="1" applyFill="1" applyBorder="1"/>
    <xf numFmtId="0" fontId="13" fillId="41" borderId="0" xfId="0" applyFont="1" applyFill="1"/>
    <xf numFmtId="0" fontId="76" fillId="41" borderId="0" xfId="6" applyFont="1" applyFill="1" applyAlignment="1">
      <alignment horizontal="right" vertical="center"/>
    </xf>
    <xf numFmtId="0" fontId="153" fillId="0" borderId="0" xfId="6" applyFont="1" applyAlignment="1">
      <alignment textRotation="90"/>
    </xf>
    <xf numFmtId="0" fontId="107" fillId="0" borderId="0" xfId="6" applyFont="1" applyFill="1"/>
    <xf numFmtId="0" fontId="65" fillId="0" borderId="0" xfId="6" applyFont="1" applyFill="1"/>
    <xf numFmtId="0" fontId="13" fillId="0" borderId="0" xfId="0" applyFont="1" applyFill="1" applyBorder="1"/>
    <xf numFmtId="0" fontId="76" fillId="0" borderId="0" xfId="6" applyFont="1" applyFill="1" applyAlignment="1">
      <alignment vertical="center"/>
    </xf>
    <xf numFmtId="0" fontId="80" fillId="31" borderId="0" xfId="6" applyFont="1" applyFill="1" applyBorder="1" applyAlignment="1"/>
    <xf numFmtId="0" fontId="154" fillId="0" borderId="0" xfId="6" applyFont="1"/>
    <xf numFmtId="0" fontId="154" fillId="0" borderId="0" xfId="6" applyFont="1" applyFill="1" applyAlignment="1">
      <alignment horizontal="left" vertical="center" indent="4"/>
    </xf>
    <xf numFmtId="0" fontId="154" fillId="0" borderId="0" xfId="6" applyFont="1" applyFill="1" applyAlignment="1">
      <alignment horizontal="left" vertical="center" indent="5"/>
    </xf>
    <xf numFmtId="0" fontId="65" fillId="0" borderId="0" xfId="6" applyFont="1" applyBorder="1" applyAlignment="1">
      <alignment horizontal="left" indent="1"/>
    </xf>
    <xf numFmtId="0" fontId="65" fillId="0" borderId="0" xfId="6" applyFont="1" applyBorder="1" applyAlignment="1">
      <alignment horizontal="left" indent="4"/>
    </xf>
    <xf numFmtId="0" fontId="156" fillId="41" borderId="0" xfId="6" applyFont="1" applyFill="1"/>
    <xf numFmtId="0" fontId="0" fillId="42" borderId="0" xfId="0" applyFill="1"/>
    <xf numFmtId="0" fontId="143" fillId="41" borderId="0" xfId="0" applyFont="1" applyFill="1"/>
    <xf numFmtId="164" fontId="81" fillId="0" borderId="0" xfId="2" applyNumberFormat="1" applyFont="1" applyBorder="1" applyAlignment="1">
      <alignment horizontal="center"/>
    </xf>
    <xf numFmtId="0" fontId="81" fillId="0" borderId="0" xfId="2" applyFont="1" applyBorder="1" applyAlignment="1">
      <alignment vertical="center"/>
    </xf>
    <xf numFmtId="0" fontId="65" fillId="0" borderId="41" xfId="0" applyFont="1" applyBorder="1" applyAlignment="1">
      <alignment horizontal="left" vertical="top"/>
    </xf>
    <xf numFmtId="0" fontId="67" fillId="0" borderId="28" xfId="0" applyFont="1" applyBorder="1" applyAlignment="1">
      <alignment horizontal="center"/>
    </xf>
    <xf numFmtId="0" fontId="67" fillId="0" borderId="29" xfId="0" applyFont="1" applyBorder="1" applyAlignment="1">
      <alignment horizontal="center"/>
    </xf>
    <xf numFmtId="0" fontId="80" fillId="0" borderId="21" xfId="0" applyFont="1" applyBorder="1" applyAlignment="1">
      <alignment horizontal="center"/>
    </xf>
    <xf numFmtId="0" fontId="80" fillId="0" borderId="34" xfId="0" applyFont="1" applyBorder="1" applyAlignment="1">
      <alignment horizontal="center"/>
    </xf>
    <xf numFmtId="0" fontId="65" fillId="0" borderId="35" xfId="0" applyFont="1" applyBorder="1" applyAlignment="1">
      <alignment horizontal="center"/>
    </xf>
    <xf numFmtId="0" fontId="65" fillId="0" borderId="48" xfId="0" applyFont="1" applyBorder="1" applyAlignment="1">
      <alignment horizontal="center"/>
    </xf>
    <xf numFmtId="0" fontId="113" fillId="15" borderId="39" xfId="2" applyFont="1" applyFill="1" applyBorder="1" applyAlignment="1" applyProtection="1">
      <alignment horizontal="right" indent="1"/>
      <protection locked="0"/>
    </xf>
    <xf numFmtId="0" fontId="113" fillId="15" borderId="40" xfId="2" applyFont="1" applyFill="1" applyBorder="1" applyAlignment="1" applyProtection="1">
      <alignment horizontal="right" indent="1"/>
      <protection locked="0"/>
    </xf>
    <xf numFmtId="0" fontId="159" fillId="44" borderId="0" xfId="0" applyFont="1" applyFill="1"/>
    <xf numFmtId="0" fontId="159" fillId="44" borderId="0" xfId="0" applyFont="1" applyFill="1" applyBorder="1"/>
    <xf numFmtId="0" fontId="95" fillId="0" borderId="0" xfId="0" applyFont="1" applyAlignment="1">
      <alignment horizontal="right" vertical="center"/>
    </xf>
    <xf numFmtId="0" fontId="89" fillId="0" borderId="0" xfId="2" applyFont="1" applyBorder="1" applyAlignment="1">
      <alignment horizontal="center"/>
    </xf>
    <xf numFmtId="0" fontId="67" fillId="0" borderId="0" xfId="0" applyFont="1" applyBorder="1" applyAlignment="1">
      <alignment horizontal="center"/>
    </xf>
    <xf numFmtId="0" fontId="89" fillId="0" borderId="0" xfId="2" applyFont="1" applyBorder="1"/>
    <xf numFmtId="0" fontId="157" fillId="0" borderId="0" xfId="0" applyFont="1"/>
    <xf numFmtId="0" fontId="95" fillId="0" borderId="0" xfId="0" applyFont="1"/>
    <xf numFmtId="0" fontId="95" fillId="0" borderId="0" xfId="0" applyFont="1" applyAlignment="1">
      <alignment horizontal="right"/>
    </xf>
    <xf numFmtId="0" fontId="161" fillId="0" borderId="0" xfId="0" applyFont="1" applyAlignment="1">
      <alignment horizontal="right" indent="1"/>
    </xf>
    <xf numFmtId="0" fontId="162" fillId="0" borderId="0" xfId="0" applyFont="1" applyAlignment="1">
      <alignment horizontal="right" vertical="top"/>
    </xf>
    <xf numFmtId="0" fontId="163" fillId="0" borderId="0" xfId="0" applyFont="1"/>
    <xf numFmtId="0" fontId="95" fillId="0" borderId="0" xfId="0" applyFont="1" applyAlignment="1"/>
    <xf numFmtId="0" fontId="95" fillId="0" borderId="0" xfId="0" applyFont="1" applyAlignment="1">
      <alignment vertical="center"/>
    </xf>
    <xf numFmtId="0" fontId="159" fillId="6" borderId="0" xfId="0" applyFont="1" applyFill="1"/>
    <xf numFmtId="0" fontId="159" fillId="6" borderId="0" xfId="0" applyFont="1" applyFill="1" applyBorder="1"/>
    <xf numFmtId="0" fontId="114" fillId="43" borderId="67" xfId="4" applyNumberFormat="1" applyFont="1" applyFill="1" applyBorder="1" applyAlignment="1" applyProtection="1">
      <alignment horizontal="center"/>
      <protection hidden="1"/>
    </xf>
    <xf numFmtId="0" fontId="114" fillId="43" borderId="68" xfId="4" applyNumberFormat="1" applyFont="1" applyFill="1" applyBorder="1" applyAlignment="1" applyProtection="1">
      <alignment horizontal="center"/>
      <protection hidden="1"/>
    </xf>
    <xf numFmtId="0" fontId="65" fillId="0" borderId="0" xfId="2" applyFont="1" applyFill="1"/>
    <xf numFmtId="0" fontId="65" fillId="0" borderId="0" xfId="0" applyFont="1" applyAlignment="1"/>
    <xf numFmtId="0" fontId="97" fillId="0" borderId="0" xfId="0" applyFont="1" applyBorder="1" applyAlignment="1">
      <alignment vertical="center"/>
    </xf>
    <xf numFmtId="0" fontId="80" fillId="31" borderId="0" xfId="6" applyFont="1" applyFill="1" applyBorder="1" applyAlignment="1">
      <alignment horizontal="right"/>
    </xf>
    <xf numFmtId="0" fontId="65" fillId="0" borderId="0" xfId="0" applyFont="1" applyAlignment="1">
      <alignment horizontal="left"/>
    </xf>
    <xf numFmtId="0" fontId="0" fillId="0" borderId="0" xfId="0" applyFill="1" applyAlignment="1" applyProtection="1">
      <alignment horizontal="right" vertical="center" indent="1"/>
      <protection hidden="1"/>
    </xf>
    <xf numFmtId="0" fontId="65" fillId="0" borderId="0" xfId="2" applyFont="1" applyBorder="1"/>
    <xf numFmtId="0" fontId="114" fillId="3" borderId="53" xfId="4" applyFont="1" applyFill="1" applyBorder="1" applyAlignment="1" applyProtection="1">
      <alignment horizontal="center"/>
      <protection locked="0" hidden="1"/>
    </xf>
    <xf numFmtId="0" fontId="114" fillId="3" borderId="57" xfId="4" applyFont="1" applyFill="1" applyBorder="1" applyAlignment="1" applyProtection="1">
      <alignment horizontal="center"/>
      <protection locked="0" hidden="1"/>
    </xf>
    <xf numFmtId="0" fontId="114" fillId="3" borderId="73" xfId="4" applyFont="1" applyFill="1" applyBorder="1" applyAlignment="1" applyProtection="1">
      <alignment horizontal="center"/>
      <protection locked="0" hidden="1"/>
    </xf>
    <xf numFmtId="0" fontId="114" fillId="3" borderId="54" xfId="4" applyFont="1" applyFill="1" applyBorder="1" applyAlignment="1" applyProtection="1">
      <alignment horizontal="center"/>
      <protection locked="0" hidden="1"/>
    </xf>
    <xf numFmtId="164" fontId="80" fillId="3" borderId="1" xfId="6" applyNumberFormat="1" applyFont="1" applyFill="1" applyBorder="1" applyAlignment="1" applyProtection="1">
      <alignment horizontal="center" vertical="center"/>
      <protection locked="0"/>
    </xf>
    <xf numFmtId="0" fontId="30" fillId="0" borderId="0" xfId="0" applyFont="1" applyAlignment="1">
      <alignment horizontal="left" vertical="center"/>
    </xf>
    <xf numFmtId="0" fontId="164" fillId="0" borderId="0" xfId="1" applyFont="1"/>
    <xf numFmtId="0" fontId="159" fillId="45" borderId="0" xfId="0" applyFont="1" applyFill="1" applyBorder="1"/>
    <xf numFmtId="0" fontId="8" fillId="46" borderId="0" xfId="1" applyFont="1" applyFill="1"/>
    <xf numFmtId="0" fontId="8" fillId="21" borderId="0" xfId="1" applyFont="1" applyFill="1"/>
    <xf numFmtId="0" fontId="7" fillId="0" borderId="0" xfId="0" applyFont="1"/>
    <xf numFmtId="0" fontId="7" fillId="0" borderId="49" xfId="0" applyFont="1" applyBorder="1"/>
    <xf numFmtId="0" fontId="167" fillId="47" borderId="44" xfId="0" applyFont="1" applyFill="1" applyBorder="1" applyAlignment="1">
      <alignment vertical="center"/>
    </xf>
    <xf numFmtId="0" fontId="167" fillId="47" borderId="4" xfId="0" applyFont="1" applyFill="1" applyBorder="1" applyAlignment="1">
      <alignment vertical="center"/>
    </xf>
    <xf numFmtId="0" fontId="167" fillId="47" borderId="4" xfId="0" applyFont="1" applyFill="1" applyBorder="1" applyAlignment="1">
      <alignment horizontal="right" vertical="center"/>
    </xf>
    <xf numFmtId="0" fontId="167" fillId="47" borderId="46" xfId="0" applyFont="1" applyFill="1" applyBorder="1" applyAlignment="1">
      <alignment horizontal="right" vertical="center"/>
    </xf>
    <xf numFmtId="0" fontId="7" fillId="0" borderId="0" xfId="0" applyFont="1" applyAlignment="1">
      <alignment vertical="center"/>
    </xf>
    <xf numFmtId="0" fontId="7" fillId="0" borderId="75" xfId="0" applyFont="1" applyBorder="1"/>
    <xf numFmtId="0" fontId="7" fillId="0" borderId="8" xfId="0" applyFont="1" applyBorder="1"/>
    <xf numFmtId="0" fontId="169" fillId="0" borderId="0" xfId="3" applyFont="1" applyAlignment="1" applyProtection="1"/>
    <xf numFmtId="0" fontId="169" fillId="0" borderId="49" xfId="3" applyFont="1" applyBorder="1" applyAlignment="1" applyProtection="1"/>
    <xf numFmtId="0" fontId="7" fillId="0" borderId="60" xfId="0" applyFont="1" applyBorder="1"/>
    <xf numFmtId="0" fontId="7" fillId="3" borderId="58"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166" fillId="0" borderId="60" xfId="0" applyFont="1" applyBorder="1"/>
    <xf numFmtId="0" fontId="7" fillId="0" borderId="58" xfId="0" applyFont="1" applyFill="1" applyBorder="1" applyAlignment="1" applyProtection="1">
      <alignment horizontal="center"/>
      <protection locked="0"/>
    </xf>
    <xf numFmtId="0" fontId="7" fillId="0" borderId="36" xfId="0" applyFont="1" applyBorder="1"/>
    <xf numFmtId="0" fontId="7" fillId="3" borderId="57" xfId="0" applyFont="1" applyFill="1" applyBorder="1" applyAlignment="1" applyProtection="1">
      <alignment horizontal="center"/>
      <protection locked="0"/>
    </xf>
    <xf numFmtId="0" fontId="7" fillId="0" borderId="45" xfId="0" applyFont="1" applyBorder="1"/>
    <xf numFmtId="0" fontId="7" fillId="0" borderId="0" xfId="0" applyFont="1" applyBorder="1"/>
    <xf numFmtId="0" fontId="7" fillId="0" borderId="39" xfId="0" applyFont="1" applyBorder="1"/>
    <xf numFmtId="0" fontId="7" fillId="3" borderId="54" xfId="0" applyFont="1" applyFill="1" applyBorder="1" applyAlignment="1" applyProtection="1">
      <alignment horizontal="center"/>
      <protection locked="0"/>
    </xf>
    <xf numFmtId="0" fontId="166" fillId="0" borderId="0" xfId="0" applyFont="1"/>
    <xf numFmtId="0" fontId="7" fillId="0" borderId="74" xfId="0" applyFont="1" applyBorder="1"/>
    <xf numFmtId="0" fontId="7" fillId="0" borderId="76" xfId="0" applyFont="1" applyBorder="1"/>
    <xf numFmtId="0" fontId="65" fillId="0" borderId="0" xfId="14" applyFont="1" applyAlignment="1">
      <alignment vertical="center"/>
    </xf>
    <xf numFmtId="0" fontId="65" fillId="0" borderId="0" xfId="14" applyFont="1" applyAlignment="1">
      <alignment horizontal="left" vertical="center"/>
    </xf>
    <xf numFmtId="0" fontId="82" fillId="0" borderId="0" xfId="14" applyFont="1" applyAlignment="1">
      <alignment vertical="center"/>
    </xf>
    <xf numFmtId="0" fontId="64" fillId="0" borderId="0" xfId="14" applyFont="1" applyAlignment="1">
      <alignment vertical="center"/>
    </xf>
    <xf numFmtId="0" fontId="108" fillId="0" borderId="0" xfId="14" applyFont="1" applyAlignment="1">
      <alignment vertical="center"/>
    </xf>
    <xf numFmtId="0" fontId="174" fillId="0" borderId="0" xfId="14" applyFont="1" applyAlignment="1" applyProtection="1">
      <alignment horizontal="left" vertical="top"/>
      <protection locked="0"/>
    </xf>
    <xf numFmtId="0" fontId="65" fillId="0" borderId="8" xfId="14" applyFont="1" applyBorder="1" applyAlignment="1">
      <alignment horizontal="left"/>
    </xf>
    <xf numFmtId="0" fontId="132" fillId="0" borderId="8" xfId="14" applyFont="1" applyBorder="1" applyAlignment="1">
      <alignment horizontal="center" vertical="center" textRotation="90"/>
    </xf>
    <xf numFmtId="0" fontId="182" fillId="0" borderId="0" xfId="14" applyFont="1" applyAlignment="1">
      <alignment horizontal="center" vertical="center" textRotation="90"/>
    </xf>
    <xf numFmtId="0" fontId="65" fillId="0" borderId="0" xfId="15" applyFont="1" applyFill="1" applyBorder="1" applyAlignment="1">
      <alignment vertical="center"/>
    </xf>
    <xf numFmtId="0" fontId="136" fillId="0" borderId="0" xfId="15" applyFont="1" applyFill="1" applyBorder="1" applyAlignment="1">
      <alignment horizontal="right" vertical="center"/>
    </xf>
    <xf numFmtId="0" fontId="189" fillId="0" borderId="0" xfId="15" applyFont="1" applyAlignment="1">
      <alignment vertical="center" textRotation="90"/>
    </xf>
    <xf numFmtId="0" fontId="65" fillId="0" borderId="0" xfId="15" applyFont="1" applyAlignment="1">
      <alignment vertical="center"/>
    </xf>
    <xf numFmtId="0" fontId="80" fillId="0" borderId="96" xfId="14" applyFont="1" applyBorder="1" applyAlignment="1" applyProtection="1">
      <alignment horizontal="center" vertical="center"/>
      <protection locked="0"/>
    </xf>
    <xf numFmtId="0" fontId="65" fillId="0" borderId="96" xfId="14" applyFont="1" applyBorder="1" applyAlignment="1" applyProtection="1">
      <alignment horizontal="center" vertical="center"/>
      <protection locked="0"/>
    </xf>
    <xf numFmtId="0" fontId="65" fillId="0" borderId="97" xfId="14" applyFont="1" applyBorder="1" applyAlignment="1" applyProtection="1">
      <alignment horizontal="center" vertical="center"/>
      <protection locked="0"/>
    </xf>
    <xf numFmtId="0" fontId="81" fillId="0" borderId="95" xfId="14" applyFont="1" applyBorder="1" applyAlignment="1" applyProtection="1">
      <alignment horizontal="left" vertical="center" indent="1"/>
      <protection locked="0"/>
    </xf>
    <xf numFmtId="0" fontId="81" fillId="0" borderId="100" xfId="14" applyFont="1" applyBorder="1" applyAlignment="1" applyProtection="1">
      <alignment horizontal="left" vertical="center" indent="1"/>
      <protection locked="0"/>
    </xf>
    <xf numFmtId="0" fontId="80" fillId="0" borderId="101" xfId="14" applyFont="1" applyBorder="1" applyAlignment="1" applyProtection="1">
      <alignment horizontal="center" vertical="center"/>
      <protection locked="0"/>
    </xf>
    <xf numFmtId="0" fontId="65" fillId="0" borderId="101" xfId="14" applyFont="1" applyBorder="1" applyAlignment="1" applyProtection="1">
      <alignment horizontal="center" vertical="center"/>
      <protection locked="0"/>
    </xf>
    <xf numFmtId="0" fontId="65" fillId="0" borderId="102" xfId="14" applyFont="1" applyBorder="1" applyAlignment="1" applyProtection="1">
      <alignment horizontal="center" vertical="center"/>
      <protection locked="0"/>
    </xf>
    <xf numFmtId="0" fontId="81" fillId="0" borderId="83" xfId="14" applyFont="1" applyBorder="1" applyAlignment="1" applyProtection="1">
      <alignment horizontal="left" vertical="center" indent="1"/>
      <protection locked="0"/>
    </xf>
    <xf numFmtId="0" fontId="80" fillId="0" borderId="104" xfId="14" applyFont="1" applyBorder="1" applyAlignment="1" applyProtection="1">
      <alignment horizontal="center" vertical="center"/>
      <protection locked="0"/>
    </xf>
    <xf numFmtId="0" fontId="65" fillId="0" borderId="104" xfId="14" applyFont="1" applyBorder="1" applyAlignment="1" applyProtection="1">
      <alignment horizontal="center" vertical="center"/>
      <protection locked="0"/>
    </xf>
    <xf numFmtId="0" fontId="65" fillId="0" borderId="105" xfId="14" applyFont="1" applyBorder="1" applyAlignment="1" applyProtection="1">
      <alignment horizontal="center" vertical="center"/>
      <protection locked="0"/>
    </xf>
    <xf numFmtId="0" fontId="81" fillId="0" borderId="106" xfId="14" applyFont="1" applyBorder="1" applyAlignment="1" applyProtection="1">
      <alignment horizontal="left" vertical="center" indent="1"/>
      <protection locked="0"/>
    </xf>
    <xf numFmtId="0" fontId="196" fillId="0" borderId="107" xfId="15" applyFont="1" applyBorder="1" applyAlignment="1" applyProtection="1">
      <alignment horizontal="left"/>
      <protection locked="0"/>
    </xf>
    <xf numFmtId="0" fontId="196" fillId="0" borderId="107" xfId="15" applyFont="1" applyFill="1" applyBorder="1" applyAlignment="1" applyProtection="1">
      <alignment horizontal="left"/>
      <protection locked="0"/>
    </xf>
    <xf numFmtId="0" fontId="65" fillId="0" borderId="109" xfId="15" applyFont="1" applyBorder="1" applyAlignment="1" applyProtection="1">
      <alignment horizontal="center" vertical="center"/>
      <protection locked="0"/>
    </xf>
    <xf numFmtId="0" fontId="65" fillId="0" borderId="101" xfId="15" applyFont="1" applyBorder="1" applyAlignment="1" applyProtection="1">
      <alignment horizontal="center" vertical="center"/>
      <protection locked="0"/>
    </xf>
    <xf numFmtId="0" fontId="65" fillId="0" borderId="101" xfId="15" applyFont="1" applyFill="1" applyBorder="1" applyAlignment="1" applyProtection="1">
      <alignment vertical="center"/>
      <protection locked="0"/>
    </xf>
    <xf numFmtId="0" fontId="65" fillId="0" borderId="104" xfId="15" applyFont="1" applyBorder="1" applyAlignment="1" applyProtection="1">
      <alignment horizontal="center" vertical="center"/>
      <protection locked="0"/>
    </xf>
    <xf numFmtId="0" fontId="65" fillId="0" borderId="104" xfId="15" applyFont="1" applyFill="1" applyBorder="1" applyAlignment="1" applyProtection="1">
      <alignment vertical="center"/>
      <protection locked="0"/>
    </xf>
    <xf numFmtId="0" fontId="79" fillId="0" borderId="0" xfId="14" applyFont="1" applyBorder="1" applyAlignment="1" applyProtection="1">
      <alignment horizontal="left" vertical="center"/>
    </xf>
    <xf numFmtId="0" fontId="64" fillId="0" borderId="0" xfId="14" applyFont="1" applyBorder="1" applyAlignment="1" applyProtection="1">
      <alignment vertical="center"/>
    </xf>
    <xf numFmtId="0" fontId="65" fillId="0" borderId="0" xfId="14" applyFont="1" applyBorder="1" applyAlignment="1" applyProtection="1">
      <alignment vertical="center"/>
    </xf>
    <xf numFmtId="0" fontId="184" fillId="0" borderId="0" xfId="14" applyFont="1" applyBorder="1" applyAlignment="1" applyProtection="1">
      <alignment horizontal="center"/>
    </xf>
    <xf numFmtId="0" fontId="65" fillId="0" borderId="0" xfId="14" applyFont="1" applyBorder="1" applyAlignment="1" applyProtection="1">
      <alignment horizontal="left"/>
    </xf>
    <xf numFmtId="0" fontId="173" fillId="0" borderId="0" xfId="14" applyFont="1" applyAlignment="1" applyProtection="1">
      <alignment horizontal="right" vertical="center"/>
    </xf>
    <xf numFmtId="0" fontId="108" fillId="0" borderId="0" xfId="14" applyFont="1" applyAlignment="1" applyProtection="1">
      <alignment vertical="center"/>
    </xf>
    <xf numFmtId="0" fontId="185" fillId="0" borderId="0" xfId="14" applyFont="1" applyAlignment="1" applyProtection="1">
      <alignment horizontal="right" vertical="top"/>
    </xf>
    <xf numFmtId="0" fontId="186" fillId="0" borderId="0" xfId="14" applyFont="1" applyAlignment="1" applyProtection="1">
      <alignment vertical="center"/>
    </xf>
    <xf numFmtId="0" fontId="187" fillId="0" borderId="0" xfId="14" applyFont="1" applyAlignment="1" applyProtection="1">
      <alignment horizontal="center" vertical="center" textRotation="90"/>
    </xf>
    <xf numFmtId="0" fontId="108" fillId="0" borderId="0" xfId="14" applyFont="1" applyProtection="1"/>
    <xf numFmtId="0" fontId="82" fillId="0" borderId="0" xfId="15" applyFont="1" applyAlignment="1" applyProtection="1">
      <alignment vertical="center"/>
    </xf>
    <xf numFmtId="0" fontId="189" fillId="0" borderId="0" xfId="15" applyFont="1" applyAlignment="1" applyProtection="1">
      <alignment vertical="center" textRotation="90"/>
    </xf>
    <xf numFmtId="0" fontId="65" fillId="0" borderId="0" xfId="15" applyFont="1" applyAlignment="1" applyProtection="1">
      <alignment vertical="center"/>
    </xf>
    <xf numFmtId="0" fontId="141" fillId="0" borderId="85" xfId="14" applyFont="1" applyBorder="1" applyAlignment="1" applyProtection="1">
      <alignment horizontal="right" vertical="center" wrapText="1" indent="3"/>
    </xf>
    <xf numFmtId="0" fontId="141" fillId="0" borderId="41" xfId="14" applyFont="1" applyBorder="1" applyAlignment="1" applyProtection="1">
      <alignment horizontal="center" wrapText="1"/>
    </xf>
    <xf numFmtId="0" fontId="65" fillId="0" borderId="86" xfId="14" applyFont="1" applyBorder="1" applyAlignment="1" applyProtection="1">
      <alignment horizontal="left"/>
    </xf>
    <xf numFmtId="0" fontId="80" fillId="0" borderId="42" xfId="14" applyFont="1" applyBorder="1" applyAlignment="1" applyProtection="1">
      <alignment horizontal="center" textRotation="90" wrapText="1"/>
    </xf>
    <xf numFmtId="0" fontId="80" fillId="0" borderId="42" xfId="15" applyFont="1" applyBorder="1" applyAlignment="1" applyProtection="1">
      <alignment horizontal="center" textRotation="90" wrapText="1"/>
    </xf>
    <xf numFmtId="0" fontId="65" fillId="0" borderId="87" xfId="14" applyFont="1" applyBorder="1" applyAlignment="1" applyProtection="1">
      <alignment horizontal="center" vertical="center" wrapText="1"/>
    </xf>
    <xf numFmtId="0" fontId="80" fillId="0" borderId="42" xfId="14" applyFont="1" applyBorder="1" applyAlignment="1" applyProtection="1">
      <alignment horizontal="center" vertical="center" wrapText="1"/>
    </xf>
    <xf numFmtId="0" fontId="65" fillId="0" borderId="0" xfId="14" applyFont="1" applyAlignment="1" applyProtection="1">
      <alignment vertical="center"/>
    </xf>
    <xf numFmtId="0" fontId="65" fillId="0" borderId="0" xfId="14" applyFont="1" applyAlignment="1" applyProtection="1">
      <alignment horizontal="center" vertical="center"/>
    </xf>
    <xf numFmtId="0" fontId="78" fillId="0" borderId="88" xfId="14" applyFont="1" applyBorder="1" applyAlignment="1" applyProtection="1">
      <alignment vertical="center"/>
    </xf>
    <xf numFmtId="0" fontId="78" fillId="0" borderId="89" xfId="14" applyFont="1" applyBorder="1" applyAlignment="1" applyProtection="1">
      <alignment vertical="center"/>
    </xf>
    <xf numFmtId="0" fontId="78" fillId="0" borderId="90" xfId="14" applyFont="1" applyBorder="1" applyAlignment="1" applyProtection="1">
      <alignment vertical="center"/>
    </xf>
    <xf numFmtId="0" fontId="78" fillId="0" borderId="91" xfId="14" applyFont="1" applyBorder="1" applyAlignment="1" applyProtection="1">
      <alignment vertical="center"/>
    </xf>
    <xf numFmtId="0" fontId="78" fillId="0" borderId="92" xfId="14" applyFont="1" applyBorder="1" applyAlignment="1" applyProtection="1">
      <alignment vertical="center"/>
    </xf>
    <xf numFmtId="0" fontId="78" fillId="0" borderId="0" xfId="14" applyFont="1" applyAlignment="1" applyProtection="1">
      <alignment vertical="center"/>
    </xf>
    <xf numFmtId="0" fontId="82" fillId="0" borderId="0" xfId="14" applyFont="1" applyAlignment="1" applyProtection="1">
      <alignment horizontal="center" vertical="center" textRotation="90"/>
    </xf>
    <xf numFmtId="0" fontId="192" fillId="0" borderId="0" xfId="14" applyFont="1" applyAlignment="1" applyProtection="1">
      <alignment horizontal="center" vertical="center" textRotation="90"/>
    </xf>
    <xf numFmtId="0" fontId="65" fillId="0" borderId="75" xfId="14" applyFont="1" applyBorder="1" applyAlignment="1" applyProtection="1">
      <alignment vertical="center"/>
    </xf>
    <xf numFmtId="0" fontId="192" fillId="0" borderId="0" xfId="14" applyFont="1" applyBorder="1" applyAlignment="1" applyProtection="1">
      <alignment horizontal="center" vertical="center" textRotation="90"/>
    </xf>
    <xf numFmtId="0" fontId="80" fillId="0" borderId="0" xfId="14" applyFont="1" applyAlignment="1" applyProtection="1">
      <alignment horizontal="center" vertical="center"/>
    </xf>
    <xf numFmtId="0" fontId="65" fillId="0" borderId="0" xfId="14" applyFont="1" applyAlignment="1" applyProtection="1">
      <alignment horizontal="left"/>
    </xf>
    <xf numFmtId="0" fontId="65" fillId="0" borderId="0" xfId="14" applyFont="1" applyAlignment="1" applyProtection="1">
      <alignment horizontal="centerContinuous" vertical="center"/>
    </xf>
    <xf numFmtId="0" fontId="188" fillId="49" borderId="0" xfId="15" applyFont="1" applyFill="1" applyAlignment="1" applyProtection="1">
      <alignment horizontal="left" vertical="center"/>
    </xf>
    <xf numFmtId="0" fontId="193" fillId="49" borderId="0" xfId="15" applyFont="1" applyFill="1" applyAlignment="1" applyProtection="1"/>
    <xf numFmtId="0" fontId="64" fillId="49" borderId="0" xfId="15" applyFont="1" applyFill="1" applyAlignment="1" applyProtection="1">
      <alignment horizontal="center" vertical="center"/>
    </xf>
    <xf numFmtId="0" fontId="64" fillId="0" borderId="0" xfId="15" applyFont="1" applyAlignment="1" applyProtection="1">
      <alignment horizontal="center" vertical="center"/>
    </xf>
    <xf numFmtId="0" fontId="194" fillId="50" borderId="0" xfId="15" applyFont="1" applyFill="1" applyAlignment="1" applyProtection="1">
      <alignment vertical="center"/>
    </xf>
    <xf numFmtId="0" fontId="195" fillId="0" borderId="0" xfId="15" applyFont="1" applyAlignment="1" applyProtection="1">
      <alignment vertical="center" textRotation="90"/>
    </xf>
    <xf numFmtId="0" fontId="65" fillId="0" borderId="0" xfId="15" applyFont="1" applyAlignment="1" applyProtection="1">
      <alignment vertical="center" textRotation="90"/>
    </xf>
    <xf numFmtId="0" fontId="196" fillId="0" borderId="0" xfId="15" applyFont="1" applyFill="1" applyAlignment="1" applyProtection="1">
      <alignment horizontal="left" vertical="center"/>
    </xf>
    <xf numFmtId="0" fontId="193" fillId="0" borderId="0" xfId="15" applyFont="1" applyFill="1" applyAlignment="1" applyProtection="1"/>
    <xf numFmtId="0" fontId="64" fillId="0" borderId="0" xfId="15" applyFont="1" applyFill="1" applyAlignment="1" applyProtection="1">
      <alignment horizontal="center" vertical="center"/>
    </xf>
    <xf numFmtId="0" fontId="98" fillId="0" borderId="0" xfId="15" applyFont="1" applyProtection="1"/>
    <xf numFmtId="0" fontId="86" fillId="0" borderId="0" xfId="15" applyFont="1" applyProtection="1"/>
    <xf numFmtId="0" fontId="75" fillId="0" borderId="0" xfId="15" applyFont="1" applyProtection="1"/>
    <xf numFmtId="0" fontId="65" fillId="0" borderId="0" xfId="15" applyFont="1" applyProtection="1"/>
    <xf numFmtId="0" fontId="102" fillId="0" borderId="0" xfId="15" applyFont="1" applyAlignment="1" applyProtection="1">
      <alignment horizontal="right"/>
    </xf>
    <xf numFmtId="0" fontId="141" fillId="0" borderId="0" xfId="15" applyFont="1" applyProtection="1"/>
    <xf numFmtId="0" fontId="76" fillId="0" borderId="0" xfId="15" applyFont="1" applyAlignment="1" applyProtection="1">
      <alignment horizontal="left"/>
    </xf>
    <xf numFmtId="0" fontId="65" fillId="0" borderId="0" xfId="15" applyFont="1" applyAlignment="1" applyProtection="1">
      <alignment horizontal="left" vertical="top"/>
    </xf>
    <xf numFmtId="0" fontId="102" fillId="0" borderId="0" xfId="15" applyFont="1" applyAlignment="1" applyProtection="1">
      <alignment horizontal="left" vertical="top"/>
    </xf>
    <xf numFmtId="0" fontId="102" fillId="0" borderId="0" xfId="15" applyFont="1" applyBorder="1" applyAlignment="1" applyProtection="1">
      <alignment horizontal="left" vertical="top"/>
    </xf>
    <xf numFmtId="0" fontId="65" fillId="0" borderId="0" xfId="15" applyFont="1" applyBorder="1" applyAlignment="1" applyProtection="1">
      <alignment horizontal="left" vertical="top"/>
    </xf>
    <xf numFmtId="0" fontId="198" fillId="0" borderId="0" xfId="15" applyFont="1" applyAlignment="1" applyProtection="1">
      <alignment vertical="top" textRotation="90"/>
    </xf>
    <xf numFmtId="0" fontId="65" fillId="0" borderId="0" xfId="15" applyFont="1" applyAlignment="1" applyProtection="1">
      <alignment vertical="top"/>
    </xf>
    <xf numFmtId="0" fontId="65" fillId="49" borderId="108" xfId="15" applyFont="1" applyFill="1" applyBorder="1" applyAlignment="1" applyProtection="1">
      <alignment vertical="center"/>
    </xf>
    <xf numFmtId="0" fontId="75" fillId="49" borderId="31" xfId="15" applyFont="1" applyFill="1" applyBorder="1" applyAlignment="1" applyProtection="1">
      <alignment horizontal="centerContinuous" vertical="center"/>
    </xf>
    <xf numFmtId="0" fontId="76" fillId="0" borderId="0" xfId="15" applyFont="1" applyBorder="1" applyAlignment="1" applyProtection="1">
      <alignment vertical="center" wrapText="1"/>
    </xf>
    <xf numFmtId="0" fontId="82" fillId="0" borderId="0" xfId="15" applyFont="1" applyAlignment="1" applyProtection="1">
      <alignment vertical="center" textRotation="90"/>
    </xf>
    <xf numFmtId="0" fontId="65" fillId="0" borderId="0" xfId="15" applyFont="1" applyAlignment="1" applyProtection="1">
      <alignment horizontal="left" vertical="center" wrapText="1" indent="1"/>
    </xf>
    <xf numFmtId="0" fontId="200" fillId="0" borderId="0" xfId="15" applyFont="1" applyAlignment="1" applyProtection="1">
      <alignment vertical="center" textRotation="90"/>
    </xf>
    <xf numFmtId="0" fontId="201" fillId="0" borderId="0" xfId="15" applyFont="1" applyAlignment="1" applyProtection="1">
      <alignment vertical="center" textRotation="90"/>
    </xf>
    <xf numFmtId="0" fontId="78" fillId="0" borderId="0" xfId="15" applyFont="1" applyAlignment="1" applyProtection="1">
      <alignment vertical="center"/>
    </xf>
    <xf numFmtId="0" fontId="76" fillId="0" borderId="0" xfId="15" applyFont="1" applyAlignment="1" applyProtection="1">
      <alignment vertical="center"/>
    </xf>
    <xf numFmtId="0" fontId="99" fillId="0" borderId="0" xfId="15" applyFont="1" applyAlignment="1" applyProtection="1">
      <alignment horizontal="centerContinuous" vertical="center" wrapText="1"/>
    </xf>
    <xf numFmtId="0" fontId="99" fillId="0" borderId="0" xfId="15" applyFont="1" applyAlignment="1" applyProtection="1">
      <alignment vertical="center"/>
    </xf>
    <xf numFmtId="0" fontId="198" fillId="0" borderId="0" xfId="15" applyFont="1" applyAlignment="1" applyProtection="1">
      <alignment vertical="center" textRotation="90"/>
    </xf>
    <xf numFmtId="0" fontId="65" fillId="0" borderId="0" xfId="15" applyFont="1" applyAlignment="1" applyProtection="1">
      <alignment horizontal="centerContinuous" vertical="center"/>
    </xf>
    <xf numFmtId="0" fontId="158" fillId="0" borderId="109" xfId="15" applyFont="1" applyBorder="1" applyAlignment="1" applyProtection="1">
      <alignment wrapText="1"/>
      <protection locked="0"/>
    </xf>
    <xf numFmtId="0" fontId="108" fillId="0" borderId="0" xfId="14" applyFont="1" applyBorder="1" applyAlignment="1" applyProtection="1">
      <alignment horizontal="left" vertical="center"/>
    </xf>
    <xf numFmtId="0" fontId="173" fillId="0" borderId="0" xfId="14" applyFont="1" applyAlignment="1" applyProtection="1">
      <alignment horizontal="right"/>
    </xf>
    <xf numFmtId="0" fontId="67" fillId="0" borderId="0" xfId="14" applyFont="1" applyAlignment="1" applyProtection="1">
      <alignment horizontal="center"/>
    </xf>
    <xf numFmtId="0" fontId="65" fillId="0" borderId="8" xfId="14" applyFont="1" applyBorder="1" applyAlignment="1" applyProtection="1">
      <alignment horizontal="center" vertical="center"/>
    </xf>
    <xf numFmtId="0" fontId="65" fillId="0" borderId="0" xfId="14" applyFont="1" applyAlignment="1">
      <alignment horizontal="center" vertical="center"/>
    </xf>
    <xf numFmtId="0" fontId="65" fillId="0" borderId="0" xfId="14" applyFont="1" applyAlignment="1" applyProtection="1">
      <alignment horizontal="centerContinuous" vertical="top"/>
    </xf>
    <xf numFmtId="0" fontId="65" fillId="0" borderId="8" xfId="14" applyFont="1" applyBorder="1" applyAlignment="1" applyProtection="1">
      <alignment horizontal="center"/>
    </xf>
    <xf numFmtId="0" fontId="183" fillId="0" borderId="8" xfId="14" applyFont="1" applyBorder="1" applyAlignment="1" applyProtection="1">
      <alignment horizontal="center" vertical="center"/>
    </xf>
    <xf numFmtId="0" fontId="65" fillId="0" borderId="1" xfId="14" applyFont="1" applyBorder="1" applyAlignment="1" applyProtection="1">
      <alignment horizontal="center" textRotation="90" wrapText="1"/>
    </xf>
    <xf numFmtId="0" fontId="65" fillId="0" borderId="0" xfId="14" applyFont="1" applyBorder="1" applyAlignment="1" applyProtection="1">
      <alignment horizontal="center" vertical="center"/>
    </xf>
    <xf numFmtId="0" fontId="67" fillId="0" borderId="0" xfId="14" applyFont="1" applyAlignment="1" applyProtection="1">
      <alignment horizontal="center" vertical="top"/>
    </xf>
    <xf numFmtId="0" fontId="206" fillId="0" borderId="0" xfId="14" applyFont="1" applyBorder="1" applyAlignment="1" applyProtection="1">
      <alignment vertical="center"/>
    </xf>
    <xf numFmtId="0" fontId="80" fillId="51" borderId="1" xfId="14" applyFont="1" applyFill="1" applyBorder="1" applyAlignment="1" applyProtection="1">
      <alignment horizontal="center" textRotation="90" wrapText="1"/>
    </xf>
    <xf numFmtId="0" fontId="80" fillId="0" borderId="0" xfId="14" applyFont="1" applyAlignment="1">
      <alignment vertical="center"/>
    </xf>
    <xf numFmtId="0" fontId="80" fillId="0" borderId="110" xfId="14" applyFont="1" applyBorder="1" applyAlignment="1">
      <alignment horizontal="center" vertical="center"/>
    </xf>
    <xf numFmtId="0" fontId="80" fillId="0" borderId="112" xfId="14" applyFont="1" applyBorder="1" applyAlignment="1">
      <alignment horizontal="center" vertical="center"/>
    </xf>
    <xf numFmtId="0" fontId="80" fillId="0" borderId="0" xfId="14" applyFont="1" applyAlignment="1">
      <alignment horizontal="left" vertical="center"/>
    </xf>
    <xf numFmtId="0" fontId="80" fillId="0" borderId="111" xfId="14" applyFont="1" applyBorder="1" applyAlignment="1" applyProtection="1">
      <alignment horizontal="center" vertical="center"/>
    </xf>
    <xf numFmtId="0" fontId="80" fillId="0" borderId="91" xfId="14" applyFont="1" applyBorder="1" applyAlignment="1" applyProtection="1">
      <alignment horizontal="center" vertical="center"/>
    </xf>
    <xf numFmtId="0" fontId="207" fillId="0" borderId="0" xfId="14" applyFont="1" applyAlignment="1">
      <alignment horizontal="center" vertical="center"/>
    </xf>
    <xf numFmtId="0" fontId="80" fillId="0" borderId="115" xfId="14" applyFont="1" applyBorder="1" applyAlignment="1">
      <alignment horizontal="center" textRotation="90" wrapText="1"/>
    </xf>
    <xf numFmtId="0" fontId="80" fillId="0" borderId="116" xfId="14" applyFont="1" applyBorder="1" applyAlignment="1">
      <alignment horizontal="center" textRotation="90" wrapText="1"/>
    </xf>
    <xf numFmtId="0" fontId="80" fillId="51" borderId="42" xfId="14" applyFont="1" applyFill="1" applyBorder="1" applyAlignment="1" applyProtection="1">
      <alignment horizontal="center" textRotation="90" wrapText="1"/>
    </xf>
    <xf numFmtId="0" fontId="65" fillId="0" borderId="42" xfId="14" applyFont="1" applyBorder="1" applyAlignment="1" applyProtection="1">
      <alignment horizontal="center" textRotation="90" wrapText="1"/>
    </xf>
    <xf numFmtId="0" fontId="81" fillId="0" borderId="0" xfId="14" applyFont="1" applyAlignment="1">
      <alignment vertical="center"/>
    </xf>
    <xf numFmtId="0" fontId="80" fillId="51" borderId="118" xfId="14" applyFont="1" applyFill="1" applyBorder="1" applyAlignment="1" applyProtection="1">
      <alignment horizontal="center" vertical="center"/>
    </xf>
    <xf numFmtId="0" fontId="80" fillId="53" borderId="42" xfId="14" applyFont="1" applyFill="1" applyBorder="1" applyAlignment="1">
      <alignment horizontal="center" textRotation="90" wrapText="1"/>
    </xf>
    <xf numFmtId="0" fontId="80" fillId="0" borderId="42" xfId="14" applyFont="1" applyFill="1" applyBorder="1" applyAlignment="1">
      <alignment horizontal="center" textRotation="90" wrapText="1"/>
    </xf>
    <xf numFmtId="0" fontId="80" fillId="0" borderId="42" xfId="15" applyFont="1" applyBorder="1" applyAlignment="1">
      <alignment horizontal="center" textRotation="90" wrapText="1"/>
    </xf>
    <xf numFmtId="0" fontId="80" fillId="0" borderId="42" xfId="14" applyFont="1" applyBorder="1" applyAlignment="1">
      <alignment horizontal="center" textRotation="90" wrapText="1"/>
    </xf>
    <xf numFmtId="0" fontId="181" fillId="52" borderId="42" xfId="14" applyFont="1" applyFill="1" applyBorder="1" applyAlignment="1" applyProtection="1">
      <alignment horizontal="center" textRotation="90" wrapText="1"/>
    </xf>
    <xf numFmtId="0" fontId="67" fillId="47" borderId="44" xfId="14" applyFont="1" applyFill="1" applyBorder="1" applyAlignment="1">
      <alignment horizontal="left" vertical="center" wrapText="1"/>
    </xf>
    <xf numFmtId="0" fontId="67" fillId="47" borderId="4" xfId="14" applyFont="1" applyFill="1" applyBorder="1" applyAlignment="1">
      <alignment horizontal="left" vertical="center" wrapText="1"/>
    </xf>
    <xf numFmtId="0" fontId="67" fillId="0" borderId="8" xfId="14" applyFont="1" applyBorder="1" applyAlignment="1">
      <alignment horizontal="left"/>
    </xf>
    <xf numFmtId="0" fontId="67" fillId="47" borderId="113" xfId="14" applyFont="1" applyFill="1" applyBorder="1" applyAlignment="1">
      <alignment horizontal="center" vertical="center" wrapText="1"/>
    </xf>
    <xf numFmtId="0" fontId="67" fillId="47" borderId="114" xfId="14" applyFont="1" applyFill="1" applyBorder="1" applyAlignment="1">
      <alignment horizontal="center" vertical="center" wrapText="1"/>
    </xf>
    <xf numFmtId="0" fontId="67" fillId="47" borderId="117" xfId="14" applyFont="1" applyFill="1" applyBorder="1" applyAlignment="1" applyProtection="1">
      <alignment horizontal="center" vertical="center" wrapText="1"/>
    </xf>
    <xf numFmtId="0" fontId="67" fillId="47" borderId="113" xfId="15" applyFont="1" applyFill="1" applyBorder="1" applyAlignment="1">
      <alignment horizontal="center" vertical="center" wrapText="1"/>
    </xf>
    <xf numFmtId="0" fontId="209" fillId="47" borderId="113" xfId="14" applyFont="1" applyFill="1" applyBorder="1" applyAlignment="1" applyProtection="1">
      <alignment horizontal="center" vertical="center" wrapText="1"/>
    </xf>
    <xf numFmtId="0" fontId="67" fillId="47" borderId="113" xfId="14" applyFont="1" applyFill="1" applyBorder="1" applyAlignment="1" applyProtection="1">
      <alignment horizontal="center" vertical="center" wrapText="1"/>
    </xf>
    <xf numFmtId="0" fontId="67" fillId="47" borderId="114" xfId="14" applyFont="1" applyFill="1" applyBorder="1" applyAlignment="1" applyProtection="1">
      <alignment horizontal="center" vertical="center" wrapText="1"/>
    </xf>
    <xf numFmtId="0" fontId="171" fillId="0" borderId="0" xfId="14" applyFont="1" applyAlignment="1" applyProtection="1">
      <alignment horizontal="left" vertical="center"/>
      <protection locked="0"/>
    </xf>
    <xf numFmtId="0" fontId="210" fillId="0" borderId="0" xfId="20" applyFont="1" applyAlignment="1">
      <alignment horizontal="left"/>
    </xf>
    <xf numFmtId="0" fontId="211" fillId="0" borderId="0" xfId="20" applyFont="1" applyAlignment="1">
      <alignment horizontal="left" vertical="center"/>
    </xf>
    <xf numFmtId="0" fontId="81" fillId="0" borderId="0" xfId="14" applyFont="1" applyAlignment="1">
      <alignment horizontal="left" vertical="center"/>
    </xf>
    <xf numFmtId="0" fontId="13" fillId="20" borderId="0" xfId="1" applyFill="1"/>
    <xf numFmtId="0" fontId="13" fillId="2" borderId="0" xfId="1" applyFill="1"/>
    <xf numFmtId="0" fontId="4" fillId="2" borderId="0" xfId="1" applyFont="1" applyFill="1"/>
    <xf numFmtId="0" fontId="13" fillId="0" borderId="0" xfId="1" applyNumberFormat="1"/>
    <xf numFmtId="0" fontId="65" fillId="2" borderId="0" xfId="1" applyFont="1" applyFill="1"/>
    <xf numFmtId="0" fontId="4" fillId="0" borderId="0" xfId="1" applyFont="1"/>
    <xf numFmtId="0" fontId="13" fillId="0" borderId="0" xfId="1" applyBorder="1"/>
    <xf numFmtId="0" fontId="80" fillId="0" borderId="0" xfId="14" applyFont="1" applyAlignment="1">
      <alignment horizontal="right" vertical="center"/>
    </xf>
    <xf numFmtId="0" fontId="65" fillId="0" borderId="0" xfId="15" applyFont="1" applyBorder="1" applyAlignment="1">
      <alignment horizontal="center" vertical="center"/>
    </xf>
    <xf numFmtId="0" fontId="65" fillId="0" borderId="117" xfId="15" applyFont="1" applyBorder="1" applyAlignment="1">
      <alignment horizontal="center" vertical="center"/>
    </xf>
    <xf numFmtId="0" fontId="65" fillId="0" borderId="114" xfId="15" applyFont="1" applyBorder="1" applyAlignment="1">
      <alignment horizontal="center" vertical="center"/>
    </xf>
    <xf numFmtId="0" fontId="65" fillId="0" borderId="75" xfId="15" applyFont="1" applyBorder="1" applyAlignment="1">
      <alignment horizontal="center" vertical="center"/>
    </xf>
    <xf numFmtId="0" fontId="65" fillId="0" borderId="1" xfId="15" applyFont="1" applyBorder="1" applyAlignment="1">
      <alignment horizontal="center" vertical="center"/>
    </xf>
    <xf numFmtId="0" fontId="65" fillId="54" borderId="117" xfId="15" applyFont="1" applyFill="1" applyBorder="1" applyAlignment="1">
      <alignment horizontal="center" vertical="center"/>
    </xf>
    <xf numFmtId="0" fontId="80" fillId="54" borderId="112" xfId="14" applyFont="1" applyFill="1" applyBorder="1" applyAlignment="1">
      <alignment horizontal="center" vertical="center"/>
    </xf>
    <xf numFmtId="0" fontId="80" fillId="52" borderId="112" xfId="14" applyFont="1" applyFill="1" applyBorder="1" applyAlignment="1">
      <alignment horizontal="center" vertical="center"/>
    </xf>
    <xf numFmtId="0" fontId="80" fillId="51" borderId="110" xfId="14" applyFont="1" applyFill="1" applyBorder="1" applyAlignment="1">
      <alignment horizontal="center" vertical="center"/>
    </xf>
    <xf numFmtId="0" fontId="212" fillId="0" borderId="0" xfId="0" applyFont="1"/>
    <xf numFmtId="0" fontId="157" fillId="0" borderId="0" xfId="1" applyFont="1"/>
    <xf numFmtId="0" fontId="81" fillId="55" borderId="121" xfId="14" applyFont="1" applyFill="1" applyBorder="1" applyAlignment="1" applyProtection="1">
      <alignment horizontal="center" vertical="center"/>
      <protection locked="0"/>
    </xf>
    <xf numFmtId="0" fontId="81" fillId="0" borderId="67" xfId="14" applyFont="1" applyBorder="1" applyAlignment="1" applyProtection="1">
      <alignment horizontal="center" vertical="center"/>
      <protection locked="0"/>
    </xf>
    <xf numFmtId="0" fontId="81" fillId="0" borderId="122" xfId="14" applyFont="1" applyBorder="1" applyAlignment="1" applyProtection="1">
      <alignment horizontal="center" vertical="center"/>
      <protection locked="0"/>
    </xf>
    <xf numFmtId="0" fontId="65" fillId="55" borderId="60" xfId="14" applyFont="1" applyFill="1" applyBorder="1" applyAlignment="1" applyProtection="1">
      <alignment horizontal="center" vertical="center"/>
      <protection locked="0"/>
    </xf>
    <xf numFmtId="0" fontId="65" fillId="55" borderId="59" xfId="14" applyFont="1" applyFill="1" applyBorder="1" applyAlignment="1" applyProtection="1">
      <alignment horizontal="center" vertical="center"/>
      <protection locked="0"/>
    </xf>
    <xf numFmtId="0" fontId="65" fillId="55" borderId="58" xfId="14" applyFont="1" applyFill="1" applyBorder="1" applyAlignment="1" applyProtection="1">
      <alignment horizontal="center" vertical="center"/>
      <protection locked="0"/>
    </xf>
    <xf numFmtId="0" fontId="65" fillId="0" borderId="36" xfId="15" applyFont="1" applyBorder="1" applyAlignment="1" applyProtection="1">
      <alignment horizontal="center" vertical="center"/>
      <protection locked="0"/>
    </xf>
    <xf numFmtId="0" fontId="65" fillId="0" borderId="3" xfId="14" applyFont="1" applyFill="1" applyBorder="1" applyAlignment="1" applyProtection="1">
      <alignment horizontal="center" vertical="center"/>
      <protection locked="0"/>
    </xf>
    <xf numFmtId="0" fontId="65" fillId="52" borderId="3" xfId="6" applyFont="1" applyFill="1" applyBorder="1" applyAlignment="1" applyProtection="1">
      <alignment horizontal="center" vertical="center"/>
      <protection locked="0"/>
    </xf>
    <xf numFmtId="0" fontId="81" fillId="0" borderId="57" xfId="14" applyFont="1" applyBorder="1" applyAlignment="1" applyProtection="1">
      <alignment horizontal="center" vertical="center"/>
      <protection locked="0"/>
    </xf>
    <xf numFmtId="0" fontId="65" fillId="0" borderId="123" xfId="15" applyFont="1" applyBorder="1" applyAlignment="1" applyProtection="1">
      <alignment horizontal="center" vertical="center"/>
      <protection locked="0"/>
    </xf>
    <xf numFmtId="0" fontId="65" fillId="0" borderId="124" xfId="14" applyFont="1" applyFill="1" applyBorder="1" applyAlignment="1" applyProtection="1">
      <alignment horizontal="center" vertical="center"/>
      <protection locked="0"/>
    </xf>
    <xf numFmtId="0" fontId="65" fillId="52" borderId="124" xfId="6" applyFont="1" applyFill="1" applyBorder="1" applyAlignment="1" applyProtection="1">
      <alignment horizontal="center" vertical="center"/>
      <protection locked="0"/>
    </xf>
    <xf numFmtId="0" fontId="81" fillId="0" borderId="125" xfId="14" applyFont="1" applyBorder="1" applyAlignment="1" applyProtection="1">
      <alignment horizontal="center" vertical="center"/>
      <protection locked="0"/>
    </xf>
    <xf numFmtId="0" fontId="79" fillId="55" borderId="32" xfId="14" applyFont="1" applyFill="1" applyBorder="1" applyAlignment="1" applyProtection="1">
      <alignment vertical="center"/>
      <protection locked="0"/>
    </xf>
    <xf numFmtId="0" fontId="65" fillId="55" borderId="127" xfId="15" applyFont="1" applyFill="1" applyBorder="1" applyAlignment="1" applyProtection="1">
      <alignment horizontal="center" vertical="center"/>
      <protection locked="0"/>
    </xf>
    <xf numFmtId="0" fontId="65" fillId="55" borderId="128" xfId="15" applyFont="1" applyFill="1" applyBorder="1" applyAlignment="1" applyProtection="1">
      <alignment horizontal="center" vertical="center"/>
      <protection locked="0"/>
    </xf>
    <xf numFmtId="0" fontId="76" fillId="0" borderId="36" xfId="14" applyFont="1" applyBorder="1" applyAlignment="1" applyProtection="1">
      <alignment horizontal="left" vertical="center"/>
      <protection locked="0"/>
    </xf>
    <xf numFmtId="0" fontId="76" fillId="0" borderId="3" xfId="14" applyFont="1" applyBorder="1" applyAlignment="1" applyProtection="1">
      <alignment horizontal="left" vertical="center"/>
      <protection locked="0"/>
    </xf>
    <xf numFmtId="0" fontId="65" fillId="0" borderId="3" xfId="15" applyFont="1" applyBorder="1" applyAlignment="1" applyProtection="1">
      <alignment horizontal="center" vertical="center"/>
      <protection locked="0"/>
    </xf>
    <xf numFmtId="0" fontId="65" fillId="0" borderId="57" xfId="15" applyFont="1" applyBorder="1" applyAlignment="1" applyProtection="1">
      <alignment horizontal="center" vertical="center"/>
      <protection locked="0"/>
    </xf>
    <xf numFmtId="0" fontId="80" fillId="0" borderId="57" xfId="15" applyFont="1" applyBorder="1" applyAlignment="1" applyProtection="1">
      <alignment horizontal="center" vertical="center"/>
      <protection locked="0"/>
    </xf>
    <xf numFmtId="0" fontId="76" fillId="0" borderId="123" xfId="14" applyFont="1" applyBorder="1" applyAlignment="1" applyProtection="1">
      <alignment horizontal="left" vertical="center"/>
      <protection locked="0"/>
    </xf>
    <xf numFmtId="0" fontId="76" fillId="0" borderId="124" xfId="14" applyFont="1" applyBorder="1" applyAlignment="1" applyProtection="1">
      <alignment horizontal="left" vertical="center"/>
      <protection locked="0"/>
    </xf>
    <xf numFmtId="0" fontId="65" fillId="0" borderId="124" xfId="15" applyFont="1" applyBorder="1" applyAlignment="1" applyProtection="1">
      <alignment horizontal="center" vertical="center"/>
      <protection locked="0"/>
    </xf>
    <xf numFmtId="0" fontId="65" fillId="0" borderId="125" xfId="15" applyFont="1" applyBorder="1" applyAlignment="1" applyProtection="1">
      <alignment horizontal="center" vertical="center"/>
      <protection locked="0"/>
    </xf>
    <xf numFmtId="0" fontId="80" fillId="0" borderId="129" xfId="14" applyFont="1" applyBorder="1" applyAlignment="1">
      <alignment horizontal="center" textRotation="90" wrapText="1"/>
    </xf>
    <xf numFmtId="0" fontId="80" fillId="0" borderId="130" xfId="14" applyFont="1" applyBorder="1" applyAlignment="1">
      <alignment horizontal="center" textRotation="90" wrapText="1"/>
    </xf>
    <xf numFmtId="0" fontId="80" fillId="0" borderId="131" xfId="14" applyFont="1" applyBorder="1" applyAlignment="1">
      <alignment horizontal="center" textRotation="90" wrapText="1"/>
    </xf>
    <xf numFmtId="0" fontId="80" fillId="0" borderId="132" xfId="14" applyFont="1" applyBorder="1" applyAlignment="1" applyProtection="1">
      <alignment horizontal="center" textRotation="90" wrapText="1"/>
    </xf>
    <xf numFmtId="0" fontId="80" fillId="0" borderId="133" xfId="14" applyFont="1" applyFill="1" applyBorder="1" applyAlignment="1">
      <alignment horizontal="center" textRotation="90" wrapText="1"/>
    </xf>
    <xf numFmtId="0" fontId="80" fillId="0" borderId="133" xfId="14" applyFont="1" applyBorder="1" applyAlignment="1">
      <alignment horizontal="center" textRotation="90" wrapText="1"/>
    </xf>
    <xf numFmtId="0" fontId="80" fillId="0" borderId="133" xfId="15" applyFont="1" applyBorder="1" applyAlignment="1">
      <alignment horizontal="center" textRotation="90" wrapText="1"/>
    </xf>
    <xf numFmtId="0" fontId="181" fillId="52" borderId="133" xfId="14" applyFont="1" applyFill="1" applyBorder="1" applyAlignment="1" applyProtection="1">
      <alignment horizontal="center" textRotation="90" wrapText="1"/>
    </xf>
    <xf numFmtId="0" fontId="65" fillId="0" borderId="134" xfId="14" applyFont="1" applyBorder="1" applyAlignment="1" applyProtection="1">
      <alignment horizontal="center" textRotation="90" wrapText="1"/>
    </xf>
    <xf numFmtId="0" fontId="65" fillId="0" borderId="139" xfId="14" applyFont="1" applyBorder="1" applyAlignment="1">
      <alignment vertical="center"/>
    </xf>
    <xf numFmtId="0" fontId="65" fillId="0" borderId="78" xfId="14" applyFont="1" applyBorder="1" applyAlignment="1" applyProtection="1">
      <alignment vertical="center"/>
    </xf>
    <xf numFmtId="0" fontId="65" fillId="53" borderId="119" xfId="14" applyFont="1" applyFill="1" applyBorder="1" applyAlignment="1" applyProtection="1">
      <alignment horizontal="center" vertical="center"/>
    </xf>
    <xf numFmtId="0" fontId="65" fillId="0" borderId="119" xfId="14" applyFont="1" applyBorder="1" applyAlignment="1" applyProtection="1">
      <alignment horizontal="center" vertical="center"/>
    </xf>
    <xf numFmtId="0" fontId="65" fillId="52" borderId="118" xfId="6" applyFont="1" applyFill="1" applyBorder="1" applyAlignment="1" applyProtection="1">
      <alignment horizontal="center" vertical="center"/>
    </xf>
    <xf numFmtId="0" fontId="76" fillId="0" borderId="79" xfId="14" applyFont="1" applyBorder="1" applyAlignment="1" applyProtection="1">
      <alignment horizontal="left" vertical="center"/>
    </xf>
    <xf numFmtId="0" fontId="76" fillId="0" borderId="82" xfId="14" applyFont="1" applyBorder="1" applyAlignment="1" applyProtection="1">
      <alignment horizontal="left" vertical="center"/>
    </xf>
    <xf numFmtId="0" fontId="65" fillId="0" borderId="80" xfId="15" applyFont="1" applyBorder="1" applyAlignment="1" applyProtection="1">
      <alignment horizontal="center" vertical="center"/>
    </xf>
    <xf numFmtId="0" fontId="132" fillId="0" borderId="8" xfId="14" applyFont="1" applyBorder="1" applyAlignment="1" applyProtection="1">
      <alignment horizontal="center" vertical="center" textRotation="90"/>
    </xf>
    <xf numFmtId="0" fontId="76" fillId="0" borderId="75" xfId="14" applyFont="1" applyBorder="1" applyAlignment="1" applyProtection="1">
      <alignment horizontal="left" vertical="center"/>
    </xf>
    <xf numFmtId="0" fontId="76" fillId="0" borderId="0" xfId="14" applyFont="1" applyBorder="1" applyAlignment="1" applyProtection="1">
      <alignment horizontal="left" vertical="center"/>
    </xf>
    <xf numFmtId="0" fontId="65" fillId="0" borderId="135" xfId="15" applyFont="1" applyBorder="1" applyAlignment="1" applyProtection="1">
      <alignment horizontal="center" vertical="center"/>
    </xf>
    <xf numFmtId="0" fontId="65" fillId="53" borderId="45" xfId="14" applyFont="1" applyFill="1" applyBorder="1" applyAlignment="1" applyProtection="1">
      <alignment horizontal="center" vertical="center"/>
    </xf>
    <xf numFmtId="0" fontId="65" fillId="0" borderId="45" xfId="14" applyFont="1" applyBorder="1" applyAlignment="1" applyProtection="1">
      <alignment horizontal="center" vertical="center"/>
    </xf>
    <xf numFmtId="0" fontId="65" fillId="52" borderId="137" xfId="6" applyFont="1" applyFill="1" applyBorder="1" applyAlignment="1" applyProtection="1">
      <alignment horizontal="center" vertical="center"/>
    </xf>
    <xf numFmtId="0" fontId="80" fillId="51" borderId="141" xfId="14" applyFont="1" applyFill="1" applyBorder="1" applyAlignment="1" applyProtection="1">
      <alignment horizontal="center" vertical="center"/>
    </xf>
    <xf numFmtId="0" fontId="80" fillId="54" borderId="143" xfId="14" applyFont="1" applyFill="1" applyBorder="1" applyAlignment="1">
      <alignment horizontal="center" vertical="center"/>
    </xf>
    <xf numFmtId="0" fontId="65" fillId="0" borderId="132" xfId="15" applyFont="1" applyBorder="1" applyAlignment="1">
      <alignment horizontal="center" vertical="center"/>
    </xf>
    <xf numFmtId="0" fontId="65" fillId="0" borderId="134" xfId="15" applyFont="1" applyBorder="1" applyAlignment="1">
      <alignment horizontal="center" vertical="center"/>
    </xf>
    <xf numFmtId="0" fontId="65" fillId="54" borderId="1" xfId="15" applyFont="1" applyFill="1" applyBorder="1" applyAlignment="1">
      <alignment horizontal="center" vertical="center"/>
    </xf>
    <xf numFmtId="0" fontId="3" fillId="28" borderId="0" xfId="1" applyFont="1" applyFill="1"/>
    <xf numFmtId="0" fontId="3" fillId="21" borderId="0" xfId="1" applyFont="1" applyFill="1"/>
    <xf numFmtId="0" fontId="3" fillId="0" borderId="0" xfId="1" applyFont="1"/>
    <xf numFmtId="0" fontId="106" fillId="21" borderId="0" xfId="1" applyFont="1" applyFill="1"/>
    <xf numFmtId="0" fontId="3" fillId="6" borderId="0" xfId="1" applyFont="1" applyFill="1"/>
    <xf numFmtId="0" fontId="106" fillId="28" borderId="0" xfId="1" applyFont="1" applyFill="1"/>
    <xf numFmtId="164" fontId="0" fillId="3" borderId="1" xfId="0" applyNumberFormat="1" applyFill="1" applyBorder="1" applyAlignment="1" applyProtection="1">
      <alignment horizontal="right" vertical="center" indent="1"/>
    </xf>
    <xf numFmtId="0" fontId="214" fillId="0" borderId="0" xfId="0" applyFont="1" applyAlignment="1">
      <alignment horizontal="center" vertical="center" wrapText="1"/>
    </xf>
    <xf numFmtId="0" fontId="89" fillId="0" borderId="0" xfId="2" applyFont="1" applyAlignment="1">
      <alignment horizontal="right" indent="1"/>
    </xf>
    <xf numFmtId="0" fontId="89" fillId="0" borderId="0" xfId="2" applyFont="1" applyBorder="1" applyAlignment="1">
      <alignment horizontal="right" indent="1"/>
    </xf>
    <xf numFmtId="0" fontId="2" fillId="0" borderId="0" xfId="0" applyFont="1"/>
    <xf numFmtId="0" fontId="2" fillId="0" borderId="65" xfId="0" applyFont="1" applyBorder="1"/>
    <xf numFmtId="0" fontId="2" fillId="0" borderId="0" xfId="0" applyFont="1" applyAlignment="1">
      <alignment horizontal="left" vertical="top"/>
    </xf>
    <xf numFmtId="0" fontId="2" fillId="0" borderId="24" xfId="0" applyFont="1" applyBorder="1" applyAlignment="1">
      <alignment horizontal="centerContinuous"/>
    </xf>
    <xf numFmtId="0" fontId="2" fillId="0" borderId="50" xfId="0" applyFont="1" applyBorder="1" applyAlignment="1">
      <alignment horizontal="centerContinuous"/>
    </xf>
    <xf numFmtId="0" fontId="2" fillId="0" borderId="25" xfId="0" applyFont="1" applyBorder="1" applyAlignment="1">
      <alignment horizontal="centerContinuous"/>
    </xf>
    <xf numFmtId="0" fontId="2" fillId="44" borderId="0" xfId="0" applyFont="1" applyFill="1"/>
    <xf numFmtId="0" fontId="2" fillId="6" borderId="0" xfId="0" applyFont="1" applyFill="1"/>
    <xf numFmtId="0" fontId="2" fillId="33" borderId="0" xfId="0" applyFont="1" applyFill="1"/>
    <xf numFmtId="0" fontId="2" fillId="0" borderId="0" xfId="0" applyFont="1" applyFill="1"/>
    <xf numFmtId="0" fontId="216" fillId="0" borderId="0" xfId="2" applyFont="1" applyAlignment="1">
      <alignment horizontal="right" vertical="center"/>
    </xf>
    <xf numFmtId="0" fontId="2" fillId="0" borderId="41" xfId="0" applyFont="1" applyBorder="1" applyAlignment="1"/>
    <xf numFmtId="0" fontId="2" fillId="0" borderId="0" xfId="0" applyFont="1" applyBorder="1" applyAlignment="1"/>
    <xf numFmtId="0" fontId="2" fillId="17" borderId="0" xfId="0" applyFont="1" applyFill="1"/>
    <xf numFmtId="0" fontId="2" fillId="18" borderId="0" xfId="0" applyFont="1" applyFill="1"/>
    <xf numFmtId="1" fontId="93" fillId="0" borderId="0" xfId="0" applyNumberFormat="1" applyFont="1" applyAlignment="1">
      <alignment horizontal="right" vertical="top"/>
    </xf>
    <xf numFmtId="0" fontId="2" fillId="0" borderId="41" xfId="0" applyFont="1" applyBorder="1"/>
    <xf numFmtId="0" fontId="2" fillId="0" borderId="0" xfId="0" applyFont="1" applyBorder="1"/>
    <xf numFmtId="3" fontId="65" fillId="0" borderId="114" xfId="15" applyNumberFormat="1" applyFont="1" applyBorder="1" applyAlignment="1">
      <alignment horizontal="center" vertical="center"/>
    </xf>
    <xf numFmtId="0" fontId="172" fillId="0" borderId="0" xfId="14" applyFont="1" applyAlignment="1" applyProtection="1">
      <alignment horizontal="left" vertical="center"/>
      <protection locked="0"/>
    </xf>
    <xf numFmtId="0" fontId="80" fillId="0" borderId="140" xfId="14" applyFont="1" applyBorder="1" applyAlignment="1">
      <alignment horizontal="center" vertical="center"/>
    </xf>
    <xf numFmtId="0" fontId="65" fillId="0" borderId="81" xfId="15" applyFont="1" applyBorder="1" applyAlignment="1" applyProtection="1">
      <alignment horizontal="center" vertical="center"/>
    </xf>
    <xf numFmtId="0" fontId="65" fillId="0" borderId="136" xfId="15" applyFont="1" applyBorder="1" applyAlignment="1" applyProtection="1">
      <alignment horizontal="center" vertical="center"/>
    </xf>
    <xf numFmtId="0" fontId="79" fillId="55" borderId="126" xfId="14" applyFont="1" applyFill="1" applyBorder="1" applyAlignment="1" applyProtection="1">
      <alignment vertical="center"/>
      <protection locked="0"/>
    </xf>
    <xf numFmtId="0" fontId="79" fillId="55" borderId="79" xfId="14" applyFont="1" applyFill="1" applyBorder="1" applyAlignment="1" applyProtection="1">
      <alignment horizontal="left" vertical="center"/>
    </xf>
    <xf numFmtId="0" fontId="79" fillId="55" borderId="82" xfId="14" applyFont="1" applyFill="1" applyBorder="1" applyAlignment="1" applyProtection="1">
      <alignment horizontal="left" vertical="center"/>
    </xf>
    <xf numFmtId="0" fontId="80" fillId="55" borderId="80" xfId="15" applyFont="1" applyFill="1" applyBorder="1" applyAlignment="1" applyProtection="1">
      <alignment horizontal="center" vertical="center"/>
    </xf>
    <xf numFmtId="0" fontId="76" fillId="55" borderId="120" xfId="14" applyFont="1" applyFill="1" applyBorder="1" applyAlignment="1" applyProtection="1">
      <alignment horizontal="center" vertical="center"/>
    </xf>
    <xf numFmtId="0" fontId="65" fillId="55" borderId="119" xfId="14" applyFont="1" applyFill="1" applyBorder="1" applyAlignment="1" applyProtection="1">
      <alignment horizontal="center" vertical="center"/>
    </xf>
    <xf numFmtId="0" fontId="80" fillId="51" borderId="121" xfId="14" applyFont="1" applyFill="1" applyBorder="1" applyAlignment="1" applyProtection="1">
      <alignment horizontal="center" vertical="center"/>
    </xf>
    <xf numFmtId="0" fontId="80" fillId="51" borderId="67" xfId="14" applyFont="1" applyFill="1" applyBorder="1" applyAlignment="1" applyProtection="1">
      <alignment horizontal="center" vertical="center"/>
    </xf>
    <xf numFmtId="0" fontId="80" fillId="51" borderId="122" xfId="14" applyFont="1" applyFill="1" applyBorder="1" applyAlignment="1" applyProtection="1">
      <alignment horizontal="center" vertical="center"/>
    </xf>
    <xf numFmtId="0" fontId="7" fillId="0" borderId="36" xfId="0" applyFont="1" applyBorder="1" applyProtection="1">
      <protection locked="0"/>
    </xf>
    <xf numFmtId="0" fontId="7" fillId="0" borderId="39" xfId="0" applyFont="1" applyBorder="1" applyProtection="1">
      <protection locked="0"/>
    </xf>
    <xf numFmtId="0" fontId="65" fillId="51" borderId="118" xfId="14" applyFont="1" applyFill="1" applyBorder="1" applyAlignment="1" applyProtection="1">
      <alignment horizontal="center" vertical="center"/>
    </xf>
    <xf numFmtId="0" fontId="65" fillId="51" borderId="137" xfId="14" applyFont="1" applyFill="1" applyBorder="1" applyAlignment="1" applyProtection="1">
      <alignment horizontal="center" vertical="center"/>
    </xf>
    <xf numFmtId="0" fontId="65" fillId="53" borderId="142" xfId="14" applyFont="1" applyFill="1" applyBorder="1" applyAlignment="1" applyProtection="1">
      <alignment horizontal="center" vertical="center"/>
    </xf>
    <xf numFmtId="0" fontId="65" fillId="0" borderId="142" xfId="14" applyFont="1" applyBorder="1" applyAlignment="1" applyProtection="1">
      <alignment horizontal="center" vertical="center"/>
    </xf>
    <xf numFmtId="0" fontId="80" fillId="54" borderId="142" xfId="14" applyFont="1" applyFill="1" applyBorder="1" applyAlignment="1" applyProtection="1">
      <alignment horizontal="center" vertical="center"/>
    </xf>
    <xf numFmtId="0" fontId="80" fillId="52" borderId="142" xfId="14" applyFont="1" applyFill="1" applyBorder="1" applyAlignment="1" applyProtection="1">
      <alignment horizontal="center" vertical="center"/>
    </xf>
    <xf numFmtId="0" fontId="65" fillId="53" borderId="132" xfId="15" applyFont="1" applyFill="1" applyBorder="1" applyAlignment="1">
      <alignment horizontal="center" vertical="center"/>
    </xf>
    <xf numFmtId="0" fontId="217" fillId="0" borderId="138" xfId="14" applyFont="1" applyBorder="1" applyAlignment="1">
      <alignment vertical="center"/>
    </xf>
    <xf numFmtId="0" fontId="217" fillId="0" borderId="139" xfId="14" applyFont="1" applyBorder="1" applyAlignment="1">
      <alignment vertical="center"/>
    </xf>
    <xf numFmtId="0" fontId="1" fillId="0" borderId="0" xfId="0" applyFont="1"/>
    <xf numFmtId="0" fontId="65" fillId="0" borderId="7" xfId="14" applyFont="1" applyBorder="1" applyAlignment="1">
      <alignment vertical="center"/>
    </xf>
    <xf numFmtId="0" fontId="65" fillId="0" borderId="7" xfId="14" applyFont="1" applyBorder="1" applyAlignment="1">
      <alignment horizontal="center" vertical="center"/>
    </xf>
    <xf numFmtId="0" fontId="65" fillId="0" borderId="7" xfId="14" applyFont="1" applyBorder="1" applyAlignment="1">
      <alignment horizontal="left" vertical="center"/>
    </xf>
    <xf numFmtId="0" fontId="65" fillId="0" borderId="7" xfId="14" applyFont="1" applyBorder="1" applyAlignment="1" applyProtection="1">
      <alignment vertical="center"/>
    </xf>
    <xf numFmtId="0" fontId="65" fillId="0" borderId="7" xfId="14" applyFont="1" applyBorder="1" applyAlignment="1" applyProtection="1">
      <alignment horizontal="center" vertical="center"/>
    </xf>
    <xf numFmtId="0" fontId="80" fillId="0" borderId="0" xfId="14" applyFont="1" applyBorder="1" applyAlignment="1">
      <alignment horizontal="right" vertical="center"/>
    </xf>
    <xf numFmtId="0" fontId="65" fillId="0" borderId="0" xfId="14" applyFont="1" applyAlignment="1">
      <alignment horizontal="right" vertical="center"/>
    </xf>
    <xf numFmtId="0" fontId="80" fillId="54" borderId="1" xfId="15" applyFont="1" applyFill="1" applyBorder="1" applyAlignment="1">
      <alignment horizontal="center" vertical="center"/>
    </xf>
    <xf numFmtId="0" fontId="65" fillId="0" borderId="49" xfId="14" applyFont="1" applyBorder="1" applyAlignment="1">
      <alignment vertical="center"/>
    </xf>
    <xf numFmtId="0" fontId="65" fillId="0" borderId="49" xfId="14" applyFont="1" applyBorder="1" applyAlignment="1">
      <alignment horizontal="center" vertical="center"/>
    </xf>
    <xf numFmtId="0" fontId="65" fillId="0" borderId="49" xfId="14" applyFont="1" applyBorder="1" applyAlignment="1">
      <alignment horizontal="left" vertical="center"/>
    </xf>
    <xf numFmtId="0" fontId="65" fillId="0" borderId="49" xfId="14" applyFont="1" applyBorder="1" applyAlignment="1" applyProtection="1">
      <alignment vertical="center"/>
    </xf>
    <xf numFmtId="0" fontId="65" fillId="0" borderId="49" xfId="14" applyFont="1" applyBorder="1" applyAlignment="1" applyProtection="1">
      <alignment horizontal="center" vertical="center"/>
    </xf>
    <xf numFmtId="170" fontId="57" fillId="8" borderId="0" xfId="0" quotePrefix="1" applyNumberFormat="1" applyFont="1" applyFill="1" applyBorder="1" applyAlignment="1">
      <alignment horizontal="center"/>
    </xf>
    <xf numFmtId="0" fontId="34" fillId="25" borderId="0" xfId="0" applyFont="1" applyFill="1" applyAlignment="1" applyProtection="1">
      <alignment horizontal="left" vertical="top" wrapText="1"/>
      <protection locked="0"/>
    </xf>
    <xf numFmtId="0" fontId="10" fillId="3" borderId="44" xfId="0" applyFont="1" applyFill="1" applyBorder="1" applyAlignment="1" applyProtection="1">
      <alignment horizontal="left" vertical="center" indent="1"/>
      <protection locked="0"/>
    </xf>
    <xf numFmtId="0" fontId="10" fillId="3" borderId="4" xfId="0" applyFont="1" applyFill="1" applyBorder="1" applyAlignment="1" applyProtection="1">
      <alignment horizontal="left" vertical="center" indent="1"/>
      <protection locked="0"/>
    </xf>
    <xf numFmtId="0" fontId="10" fillId="3" borderId="46" xfId="0" applyFont="1" applyFill="1" applyBorder="1" applyAlignment="1" applyProtection="1">
      <alignment horizontal="left" vertical="center" indent="1"/>
      <protection locked="0"/>
    </xf>
    <xf numFmtId="0" fontId="0" fillId="0" borderId="0" xfId="0" applyAlignment="1">
      <alignment horizontal="center"/>
    </xf>
    <xf numFmtId="0" fontId="0" fillId="0" borderId="26" xfId="0" applyBorder="1" applyAlignment="1">
      <alignment horizontal="center"/>
    </xf>
    <xf numFmtId="0" fontId="0" fillId="0" borderId="27" xfId="0" applyBorder="1" applyAlignment="1">
      <alignment horizontal="center"/>
    </xf>
    <xf numFmtId="0" fontId="56" fillId="0" borderId="0" xfId="0" applyFont="1" applyAlignment="1">
      <alignment horizontal="center" vertical="center"/>
    </xf>
    <xf numFmtId="0" fontId="36" fillId="0" borderId="0" xfId="0" applyFont="1" applyBorder="1" applyAlignment="1">
      <alignment horizontal="right" vertical="center"/>
    </xf>
    <xf numFmtId="0" fontId="11" fillId="25" borderId="0" xfId="0" applyFont="1" applyFill="1" applyAlignment="1" applyProtection="1">
      <alignment horizontal="left" vertical="top" wrapText="1"/>
      <protection locked="0"/>
    </xf>
    <xf numFmtId="0" fontId="26" fillId="0" borderId="0" xfId="0" applyFont="1" applyAlignment="1" applyProtection="1">
      <alignment horizontal="left" vertical="top" wrapText="1" indent="1"/>
      <protection hidden="1"/>
    </xf>
    <xf numFmtId="0" fontId="36" fillId="0" borderId="0" xfId="0" applyFont="1" applyBorder="1" applyAlignment="1">
      <alignment horizontal="center" vertical="center"/>
    </xf>
    <xf numFmtId="0" fontId="45" fillId="11" borderId="0" xfId="0" applyFont="1" applyFill="1" applyAlignment="1">
      <alignment horizontal="center" vertical="center"/>
    </xf>
    <xf numFmtId="0" fontId="38" fillId="0" borderId="0" xfId="0" applyFont="1" applyBorder="1" applyAlignment="1">
      <alignment horizontal="right" vertical="top" wrapText="1" indent="2"/>
    </xf>
    <xf numFmtId="0" fontId="38" fillId="0" borderId="7" xfId="0" applyFont="1" applyBorder="1" applyAlignment="1">
      <alignment horizontal="right" vertical="top" wrapText="1" indent="2"/>
    </xf>
    <xf numFmtId="0" fontId="34" fillId="0" borderId="9" xfId="0" applyNumberFormat="1" applyFont="1" applyBorder="1" applyAlignment="1">
      <alignment horizontal="center" vertical="center"/>
    </xf>
    <xf numFmtId="0" fontId="34" fillId="0" borderId="10" xfId="0" applyNumberFormat="1" applyFont="1" applyBorder="1" applyAlignment="1">
      <alignment horizontal="center" vertical="center"/>
    </xf>
    <xf numFmtId="0" fontId="43" fillId="0" borderId="0" xfId="0" applyFont="1" applyBorder="1" applyAlignment="1">
      <alignment horizontal="left" wrapText="1" indent="1"/>
    </xf>
    <xf numFmtId="0" fontId="32" fillId="0" borderId="0" xfId="0" applyFont="1" applyAlignment="1">
      <alignment horizontal="right" wrapText="1" indent="1"/>
    </xf>
    <xf numFmtId="0" fontId="49" fillId="0" borderId="0" xfId="0" applyFont="1" applyFill="1" applyAlignment="1">
      <alignment horizontal="left" indent="1"/>
    </xf>
    <xf numFmtId="0" fontId="0" fillId="0" borderId="0" xfId="0" applyFill="1" applyAlignment="1">
      <alignment horizontal="left"/>
    </xf>
    <xf numFmtId="0" fontId="79" fillId="3" borderId="0" xfId="0" applyFont="1" applyFill="1" applyAlignment="1" applyProtection="1">
      <alignment vertical="center" wrapText="1"/>
      <protection locked="0"/>
    </xf>
    <xf numFmtId="1" fontId="213" fillId="0" borderId="7" xfId="0" applyNumberFormat="1" applyFont="1" applyBorder="1" applyAlignment="1">
      <alignment horizontal="center" vertical="center" wrapText="1"/>
    </xf>
    <xf numFmtId="0" fontId="0" fillId="0" borderId="7" xfId="0" applyBorder="1" applyAlignment="1">
      <alignment horizontal="center" vertical="center"/>
    </xf>
    <xf numFmtId="0" fontId="215" fillId="0" borderId="0" xfId="3" applyFont="1" applyAlignment="1" applyProtection="1">
      <alignment horizontal="center" vertical="center"/>
    </xf>
    <xf numFmtId="0" fontId="165" fillId="0" borderId="0" xfId="0" applyFont="1" applyAlignment="1">
      <alignment horizontal="center" vertical="center" wrapText="1"/>
    </xf>
    <xf numFmtId="0" fontId="165" fillId="0" borderId="0" xfId="0" applyFont="1" applyBorder="1" applyAlignment="1">
      <alignment horizontal="center" vertical="center" wrapText="1"/>
    </xf>
    <xf numFmtId="0" fontId="67" fillId="56" borderId="0" xfId="0" applyFont="1" applyFill="1" applyBorder="1" applyAlignment="1">
      <alignment horizontal="center" vertical="center" wrapText="1"/>
    </xf>
    <xf numFmtId="0" fontId="0" fillId="0" borderId="0" xfId="0" applyBorder="1" applyAlignment="1">
      <alignment horizontal="center" vertical="center"/>
    </xf>
    <xf numFmtId="0" fontId="98" fillId="0" borderId="0" xfId="0" applyFont="1" applyAlignment="1" applyProtection="1">
      <alignment horizontal="center"/>
      <protection hidden="1"/>
    </xf>
    <xf numFmtId="0" fontId="98" fillId="0" borderId="0" xfId="4" applyFont="1" applyFill="1" applyBorder="1" applyAlignment="1" applyProtection="1">
      <alignment horizontal="center"/>
      <protection hidden="1"/>
    </xf>
    <xf numFmtId="14" fontId="216" fillId="0" borderId="0" xfId="0" applyNumberFormat="1" applyFont="1" applyAlignment="1" applyProtection="1">
      <alignment horizontal="left" vertical="center"/>
      <protection locked="0"/>
    </xf>
    <xf numFmtId="0" fontId="216" fillId="0" borderId="0" xfId="0" applyFont="1" applyAlignment="1" applyProtection="1">
      <alignment horizontal="left" vertical="center"/>
      <protection locked="0"/>
    </xf>
    <xf numFmtId="0" fontId="98" fillId="0" borderId="0" xfId="0" applyFont="1" applyFill="1" applyBorder="1" applyAlignment="1">
      <alignment horizontal="center"/>
    </xf>
    <xf numFmtId="172" fontId="98" fillId="0" borderId="0" xfId="0" applyNumberFormat="1" applyFont="1" applyBorder="1" applyAlignment="1">
      <alignment horizontal="center" vertical="center"/>
    </xf>
    <xf numFmtId="0" fontId="160" fillId="43" borderId="69" xfId="4" applyFont="1" applyFill="1" applyBorder="1" applyAlignment="1" applyProtection="1">
      <alignment horizontal="center" wrapText="1"/>
      <protection hidden="1"/>
    </xf>
    <xf numFmtId="0" fontId="160" fillId="43" borderId="70" xfId="4" applyFont="1" applyFill="1" applyBorder="1" applyAlignment="1" applyProtection="1">
      <alignment horizontal="center" wrapText="1"/>
      <protection hidden="1"/>
    </xf>
    <xf numFmtId="0" fontId="160" fillId="43" borderId="71" xfId="4" applyFont="1" applyFill="1" applyBorder="1" applyAlignment="1" applyProtection="1">
      <alignment horizontal="center" wrapText="1"/>
      <protection hidden="1"/>
    </xf>
    <xf numFmtId="0" fontId="160" fillId="43" borderId="72" xfId="4" applyFont="1" applyFill="1" applyBorder="1" applyAlignment="1" applyProtection="1">
      <alignment horizontal="center" wrapText="1"/>
      <protection hidden="1"/>
    </xf>
    <xf numFmtId="0" fontId="2" fillId="0" borderId="0" xfId="0" applyFont="1" applyAlignment="1">
      <alignment horizontal="center"/>
    </xf>
    <xf numFmtId="0" fontId="2" fillId="6" borderId="0" xfId="0" applyFont="1" applyFill="1" applyAlignment="1">
      <alignment horizontal="center"/>
    </xf>
    <xf numFmtId="0" fontId="158" fillId="43" borderId="66" xfId="0" applyFont="1" applyFill="1" applyBorder="1" applyAlignment="1">
      <alignment horizontal="center" vertical="center" textRotation="90" wrapText="1"/>
    </xf>
    <xf numFmtId="0" fontId="158" fillId="43" borderId="27" xfId="0" applyFont="1" applyFill="1" applyBorder="1" applyAlignment="1">
      <alignment horizontal="center" vertical="center" textRotation="90"/>
    </xf>
    <xf numFmtId="0" fontId="158" fillId="43" borderId="35" xfId="0" applyFont="1" applyFill="1" applyBorder="1" applyAlignment="1">
      <alignment horizontal="center" vertical="center" textRotation="90"/>
    </xf>
    <xf numFmtId="0" fontId="80" fillId="0" borderId="41" xfId="0" applyFont="1" applyBorder="1" applyAlignment="1">
      <alignment horizontal="center" vertical="top"/>
    </xf>
    <xf numFmtId="0" fontId="87" fillId="0" borderId="23" xfId="2" applyFont="1" applyBorder="1" applyAlignment="1">
      <alignment horizontal="left" vertical="center" indent="1"/>
    </xf>
    <xf numFmtId="0" fontId="87" fillId="0" borderId="22" xfId="2" applyFont="1" applyBorder="1" applyAlignment="1">
      <alignment horizontal="left" vertical="center" indent="1"/>
    </xf>
    <xf numFmtId="0" fontId="87" fillId="0" borderId="26" xfId="2" applyFont="1" applyBorder="1" applyAlignment="1">
      <alignment horizontal="left" vertical="center" indent="1"/>
    </xf>
    <xf numFmtId="0" fontId="87" fillId="0" borderId="27" xfId="2" applyFont="1" applyBorder="1" applyAlignment="1">
      <alignment horizontal="left" vertical="center" indent="1"/>
    </xf>
    <xf numFmtId="1" fontId="79" fillId="32" borderId="13" xfId="2" applyNumberFormat="1" applyFont="1" applyFill="1" applyBorder="1" applyAlignment="1" applyProtection="1">
      <alignment horizontal="center" vertical="center"/>
      <protection locked="0"/>
    </xf>
    <xf numFmtId="1" fontId="79" fillId="32" borderId="14" xfId="2" applyNumberFormat="1" applyFont="1" applyFill="1" applyBorder="1" applyAlignment="1" applyProtection="1">
      <alignment horizontal="center" vertical="center"/>
      <protection locked="0"/>
    </xf>
    <xf numFmtId="0" fontId="65" fillId="10" borderId="42" xfId="6" applyFont="1" applyFill="1" applyBorder="1" applyAlignment="1">
      <alignment horizontal="center" textRotation="90" wrapText="1"/>
    </xf>
    <xf numFmtId="0" fontId="65" fillId="10" borderId="45" xfId="6" applyFont="1" applyFill="1" applyBorder="1" applyAlignment="1">
      <alignment horizontal="center" textRotation="90"/>
    </xf>
    <xf numFmtId="0" fontId="65" fillId="10" borderId="43" xfId="6" applyFont="1" applyFill="1" applyBorder="1" applyAlignment="1">
      <alignment horizontal="center" textRotation="90"/>
    </xf>
    <xf numFmtId="0" fontId="81" fillId="0" borderId="42" xfId="6" applyFont="1" applyBorder="1" applyAlignment="1">
      <alignment horizontal="right" textRotation="90" wrapText="1"/>
    </xf>
    <xf numFmtId="0" fontId="81" fillId="0" borderId="45" xfId="6" applyFont="1" applyBorder="1" applyAlignment="1">
      <alignment horizontal="right" textRotation="90"/>
    </xf>
    <xf numFmtId="0" fontId="81" fillId="0" borderId="43" xfId="6" applyFont="1" applyBorder="1" applyAlignment="1">
      <alignment horizontal="right" textRotation="90"/>
    </xf>
    <xf numFmtId="0" fontId="65" fillId="0" borderId="0" xfId="6" applyFont="1" applyBorder="1" applyAlignment="1">
      <alignment horizontal="center" vertical="center"/>
    </xf>
    <xf numFmtId="0" fontId="65" fillId="0" borderId="49" xfId="6" applyFont="1" applyBorder="1" applyAlignment="1">
      <alignment horizontal="center" vertical="center"/>
    </xf>
    <xf numFmtId="0" fontId="65" fillId="3" borderId="0" xfId="6" applyFont="1" applyFill="1" applyAlignment="1" applyProtection="1">
      <alignment horizontal="left" vertical="top" wrapText="1"/>
      <protection locked="0"/>
    </xf>
    <xf numFmtId="0" fontId="139" fillId="28" borderId="0" xfId="10" applyFont="1" applyFill="1" applyAlignment="1">
      <alignment vertical="center"/>
    </xf>
    <xf numFmtId="3" fontId="65" fillId="0" borderId="36" xfId="10" applyNumberFormat="1" applyFont="1" applyBorder="1" applyAlignment="1" applyProtection="1">
      <alignment horizontal="center" vertical="center"/>
    </xf>
    <xf numFmtId="3" fontId="65" fillId="0" borderId="3" xfId="10" applyNumberFormat="1" applyFont="1" applyBorder="1" applyAlignment="1" applyProtection="1">
      <alignment horizontal="center" vertical="center"/>
    </xf>
    <xf numFmtId="3" fontId="65" fillId="0" borderId="39" xfId="10" applyNumberFormat="1" applyFont="1" applyBorder="1" applyAlignment="1" applyProtection="1">
      <alignment horizontal="center" vertical="center"/>
    </xf>
    <xf numFmtId="3" fontId="65" fillId="0" borderId="55" xfId="10" applyNumberFormat="1" applyFont="1" applyBorder="1" applyAlignment="1" applyProtection="1">
      <alignment horizontal="center" vertical="center"/>
    </xf>
    <xf numFmtId="0" fontId="135" fillId="22" borderId="0" xfId="10" applyFont="1" applyFill="1" applyAlignment="1">
      <alignment horizontal="center" vertical="center" wrapText="1"/>
    </xf>
    <xf numFmtId="0" fontId="75" fillId="22" borderId="26" xfId="10" applyFont="1" applyFill="1" applyBorder="1" applyAlignment="1">
      <alignment horizontal="center" vertical="center" wrapText="1"/>
    </xf>
    <xf numFmtId="3" fontId="65" fillId="0" borderId="60" xfId="10" applyNumberFormat="1" applyFont="1" applyBorder="1" applyAlignment="1" applyProtection="1">
      <alignment horizontal="center" vertical="center"/>
    </xf>
    <xf numFmtId="3" fontId="65" fillId="0" borderId="59" xfId="10" applyNumberFormat="1" applyFont="1" applyBorder="1" applyAlignment="1" applyProtection="1">
      <alignment horizontal="center" vertical="center"/>
    </xf>
    <xf numFmtId="0" fontId="168" fillId="48" borderId="74" xfId="0" applyFont="1" applyFill="1" applyBorder="1" applyAlignment="1">
      <alignment horizontal="center" vertical="center"/>
    </xf>
    <xf numFmtId="0" fontId="168" fillId="48" borderId="49" xfId="0" applyFont="1" applyFill="1" applyBorder="1" applyAlignment="1">
      <alignment horizontal="center" vertical="center"/>
    </xf>
    <xf numFmtId="0" fontId="170" fillId="48" borderId="0" xfId="3" applyFont="1" applyFill="1" applyAlignment="1" applyProtection="1">
      <alignment horizontal="center" vertical="center"/>
    </xf>
    <xf numFmtId="0" fontId="175" fillId="0" borderId="75" xfId="14" applyFont="1" applyFill="1" applyBorder="1" applyAlignment="1">
      <alignment horizontal="center" vertical="center" wrapText="1"/>
    </xf>
    <xf numFmtId="0" fontId="175" fillId="0" borderId="0" xfId="14" applyFont="1" applyFill="1" applyBorder="1" applyAlignment="1">
      <alignment horizontal="center" vertical="center" wrapText="1"/>
    </xf>
    <xf numFmtId="0" fontId="202" fillId="49" borderId="0" xfId="15" applyFont="1" applyFill="1" applyBorder="1" applyAlignment="1">
      <alignment horizontal="left" vertical="center" wrapText="1"/>
    </xf>
    <xf numFmtId="0" fontId="202" fillId="49" borderId="0" xfId="15" applyFont="1" applyFill="1" applyBorder="1" applyAlignment="1">
      <alignment horizontal="left" vertical="center"/>
    </xf>
    <xf numFmtId="0" fontId="76" fillId="0" borderId="93" xfId="14" applyFont="1" applyBorder="1" applyAlignment="1" applyProtection="1">
      <alignment horizontal="left" vertical="center" indent="1"/>
      <protection locked="0"/>
    </xf>
    <xf numFmtId="0" fontId="76" fillId="0" borderId="94" xfId="14" applyFont="1" applyBorder="1" applyAlignment="1" applyProtection="1">
      <alignment horizontal="left" vertical="center" indent="1"/>
      <protection locked="0"/>
    </xf>
    <xf numFmtId="0" fontId="76" fillId="0" borderId="95" xfId="14" applyFont="1" applyBorder="1" applyAlignment="1" applyProtection="1">
      <alignment horizontal="left" vertical="center" indent="1"/>
      <protection locked="0"/>
    </xf>
    <xf numFmtId="0" fontId="76" fillId="0" borderId="98" xfId="14" applyFont="1" applyBorder="1" applyAlignment="1" applyProtection="1">
      <alignment horizontal="left" vertical="center" indent="1"/>
      <protection locked="0"/>
    </xf>
    <xf numFmtId="0" fontId="76" fillId="0" borderId="99" xfId="14" applyFont="1" applyBorder="1" applyAlignment="1" applyProtection="1">
      <alignment horizontal="left" vertical="center" indent="1"/>
      <protection locked="0"/>
    </xf>
    <xf numFmtId="0" fontId="76" fillId="0" borderId="100" xfId="14" applyFont="1" applyBorder="1" applyAlignment="1" applyProtection="1">
      <alignment horizontal="left" vertical="center" indent="1"/>
      <protection locked="0"/>
    </xf>
    <xf numFmtId="0" fontId="205" fillId="49" borderId="0" xfId="15" applyFont="1" applyFill="1" applyBorder="1" applyAlignment="1">
      <alignment horizontal="left" vertical="center" wrapText="1"/>
    </xf>
    <xf numFmtId="0" fontId="65" fillId="3" borderId="87" xfId="15" applyFont="1" applyFill="1" applyBorder="1" applyAlignment="1" applyProtection="1">
      <alignment horizontal="left" vertical="top"/>
      <protection locked="0"/>
    </xf>
    <xf numFmtId="0" fontId="65" fillId="3" borderId="7" xfId="15" applyFont="1" applyFill="1" applyBorder="1" applyAlignment="1" applyProtection="1">
      <alignment horizontal="left" vertical="top"/>
      <protection locked="0"/>
    </xf>
    <xf numFmtId="0" fontId="65" fillId="3" borderId="31" xfId="15" applyFont="1" applyFill="1" applyBorder="1" applyAlignment="1" applyProtection="1">
      <alignment horizontal="left" vertical="top"/>
      <protection locked="0"/>
    </xf>
    <xf numFmtId="0" fontId="65" fillId="3" borderId="75" xfId="15" applyFont="1" applyFill="1" applyBorder="1" applyAlignment="1" applyProtection="1">
      <alignment horizontal="left" vertical="top"/>
      <protection locked="0"/>
    </xf>
    <xf numFmtId="0" fontId="65" fillId="3" borderId="0" xfId="15" applyFont="1" applyFill="1" applyBorder="1" applyAlignment="1" applyProtection="1">
      <alignment horizontal="left" vertical="top"/>
      <protection locked="0"/>
    </xf>
    <xf numFmtId="0" fontId="65" fillId="3" borderId="8" xfId="15" applyFont="1" applyFill="1" applyBorder="1" applyAlignment="1" applyProtection="1">
      <alignment horizontal="left" vertical="top"/>
      <protection locked="0"/>
    </xf>
    <xf numFmtId="0" fontId="65" fillId="3" borderId="74" xfId="15" applyFont="1" applyFill="1" applyBorder="1" applyAlignment="1" applyProtection="1">
      <alignment horizontal="left" vertical="top"/>
      <protection locked="0"/>
    </xf>
    <xf numFmtId="0" fontId="65" fillId="3" borderId="49" xfId="15" applyFont="1" applyFill="1" applyBorder="1" applyAlignment="1" applyProtection="1">
      <alignment horizontal="left" vertical="top"/>
      <protection locked="0"/>
    </xf>
    <xf numFmtId="0" fontId="65" fillId="3" borderId="76" xfId="15" applyFont="1" applyFill="1" applyBorder="1" applyAlignment="1" applyProtection="1">
      <alignment horizontal="left" vertical="top"/>
      <protection locked="0"/>
    </xf>
    <xf numFmtId="0" fontId="158" fillId="0" borderId="42" xfId="15" applyFont="1" applyBorder="1" applyAlignment="1" applyProtection="1">
      <alignment horizontal="center" textRotation="90" wrapText="1"/>
    </xf>
    <xf numFmtId="0" fontId="158" fillId="0" borderId="91" xfId="15" applyFont="1" applyBorder="1" applyAlignment="1" applyProtection="1">
      <alignment horizontal="center" textRotation="90" wrapText="1"/>
    </xf>
    <xf numFmtId="0" fontId="80" fillId="0" borderId="42" xfId="15" applyFont="1" applyBorder="1" applyAlignment="1" applyProtection="1">
      <alignment horizontal="center" textRotation="90" wrapText="1"/>
    </xf>
    <xf numFmtId="0" fontId="158" fillId="0" borderId="45" xfId="15" applyFont="1" applyBorder="1" applyAlignment="1" applyProtection="1">
      <alignment horizontal="center" textRotation="90" wrapText="1"/>
    </xf>
    <xf numFmtId="0" fontId="76" fillId="0" borderId="109" xfId="15" applyFont="1" applyBorder="1" applyAlignment="1" applyProtection="1">
      <alignment horizontal="left" vertical="center" indent="1"/>
      <protection locked="0"/>
    </xf>
    <xf numFmtId="0" fontId="76" fillId="0" borderId="101" xfId="15" applyFont="1" applyBorder="1" applyAlignment="1" applyProtection="1">
      <alignment horizontal="left" vertical="center" indent="1"/>
      <protection locked="0"/>
    </xf>
    <xf numFmtId="0" fontId="188" fillId="49" borderId="75" xfId="15" applyFont="1" applyFill="1" applyBorder="1" applyAlignment="1" applyProtection="1">
      <alignment horizontal="center" vertical="top" wrapText="1"/>
    </xf>
    <xf numFmtId="0" fontId="188" fillId="49" borderId="0" xfId="15" applyFont="1" applyFill="1" applyBorder="1" applyAlignment="1" applyProtection="1">
      <alignment horizontal="center" vertical="top"/>
    </xf>
    <xf numFmtId="0" fontId="188" fillId="49" borderId="8" xfId="15" applyFont="1" applyFill="1" applyBorder="1" applyAlignment="1" applyProtection="1">
      <alignment horizontal="center" vertical="top"/>
    </xf>
    <xf numFmtId="0" fontId="188" fillId="49" borderId="75" xfId="15" applyFont="1" applyFill="1" applyBorder="1" applyAlignment="1" applyProtection="1">
      <alignment horizontal="center" vertical="top"/>
    </xf>
    <xf numFmtId="0" fontId="80" fillId="0" borderId="45" xfId="15" applyFont="1" applyBorder="1" applyAlignment="1" applyProtection="1">
      <alignment horizontal="center" textRotation="90" wrapText="1"/>
    </xf>
    <xf numFmtId="0" fontId="179" fillId="0" borderId="42" xfId="15" applyFont="1" applyBorder="1" applyAlignment="1" applyProtection="1">
      <alignment horizontal="center" textRotation="90" wrapText="1"/>
    </xf>
    <xf numFmtId="0" fontId="181" fillId="0" borderId="42" xfId="15" applyFont="1" applyBorder="1" applyAlignment="1" applyProtection="1">
      <alignment horizontal="center" textRotation="90" wrapText="1"/>
    </xf>
    <xf numFmtId="0" fontId="76" fillId="0" borderId="104" xfId="15" applyFont="1" applyBorder="1" applyAlignment="1" applyProtection="1">
      <alignment horizontal="left" vertical="center" indent="1"/>
      <protection locked="0"/>
    </xf>
    <xf numFmtId="0" fontId="75" fillId="3" borderId="87" xfId="15" applyFont="1" applyFill="1" applyBorder="1" applyAlignment="1" applyProtection="1">
      <alignment horizontal="center" vertical="top" wrapText="1"/>
      <protection locked="0"/>
    </xf>
    <xf numFmtId="0" fontId="75" fillId="3" borderId="7" xfId="15" applyFont="1" applyFill="1" applyBorder="1" applyAlignment="1" applyProtection="1">
      <alignment horizontal="center" vertical="top" wrapText="1"/>
      <protection locked="0"/>
    </xf>
    <xf numFmtId="0" fontId="75" fillId="3" borderId="31" xfId="15" applyFont="1" applyFill="1" applyBorder="1" applyAlignment="1" applyProtection="1">
      <alignment horizontal="center" vertical="top" wrapText="1"/>
      <protection locked="0"/>
    </xf>
    <xf numFmtId="0" fontId="75" fillId="3" borderId="75" xfId="15" applyFont="1" applyFill="1" applyBorder="1" applyAlignment="1" applyProtection="1">
      <alignment horizontal="center" vertical="top" wrapText="1"/>
      <protection locked="0"/>
    </xf>
    <xf numFmtId="0" fontId="75" fillId="3" borderId="0" xfId="15" applyFont="1" applyFill="1" applyBorder="1" applyAlignment="1" applyProtection="1">
      <alignment horizontal="center" vertical="top" wrapText="1"/>
      <protection locked="0"/>
    </xf>
    <xf numFmtId="0" fontId="75" fillId="3" borderId="8" xfId="15" applyFont="1" applyFill="1" applyBorder="1" applyAlignment="1" applyProtection="1">
      <alignment horizontal="center" vertical="top" wrapText="1"/>
      <protection locked="0"/>
    </xf>
    <xf numFmtId="0" fontId="75" fillId="3" borderId="74" xfId="15" applyFont="1" applyFill="1" applyBorder="1" applyAlignment="1" applyProtection="1">
      <alignment horizontal="center" vertical="top" wrapText="1"/>
      <protection locked="0"/>
    </xf>
    <xf numFmtId="0" fontId="75" fillId="3" borderId="49" xfId="15" applyFont="1" applyFill="1" applyBorder="1" applyAlignment="1" applyProtection="1">
      <alignment horizontal="center" vertical="top" wrapText="1"/>
      <protection locked="0"/>
    </xf>
    <xf numFmtId="0" fontId="75" fillId="3" borderId="76" xfId="15" applyFont="1" applyFill="1" applyBorder="1" applyAlignment="1" applyProtection="1">
      <alignment horizontal="center" vertical="top" wrapText="1"/>
      <protection locked="0"/>
    </xf>
    <xf numFmtId="0" fontId="76" fillId="0" borderId="84" xfId="14" applyFont="1" applyBorder="1" applyAlignment="1" applyProtection="1">
      <alignment horizontal="left" vertical="center" indent="1"/>
      <protection locked="0"/>
    </xf>
    <xf numFmtId="0" fontId="76" fillId="0" borderId="103" xfId="14" applyFont="1" applyBorder="1" applyAlignment="1" applyProtection="1">
      <alignment horizontal="left" vertical="center" indent="1"/>
      <protection locked="0"/>
    </xf>
    <xf numFmtId="0" fontId="76" fillId="0" borderId="77" xfId="14" applyFont="1" applyBorder="1" applyAlignment="1" applyProtection="1">
      <alignment horizontal="left" vertical="center" indent="1"/>
      <protection locked="0"/>
    </xf>
    <xf numFmtId="0" fontId="76" fillId="0" borderId="0" xfId="14" applyFont="1" applyAlignment="1" applyProtection="1">
      <alignment horizontal="left" vertical="center" indent="1"/>
    </xf>
    <xf numFmtId="0" fontId="81" fillId="0" borderId="0" xfId="14" applyFont="1" applyBorder="1" applyAlignment="1" applyProtection="1">
      <alignment horizontal="left" vertical="center" indent="1"/>
    </xf>
    <xf numFmtId="0" fontId="196" fillId="0" borderId="74" xfId="15" applyFont="1" applyBorder="1" applyAlignment="1" applyProtection="1">
      <alignment horizontal="center" vertical="center" wrapText="1"/>
    </xf>
    <xf numFmtId="0" fontId="196" fillId="0" borderId="49" xfId="15" applyFont="1" applyBorder="1" applyAlignment="1" applyProtection="1">
      <alignment horizontal="center" vertical="center" wrapText="1"/>
    </xf>
  </cellXfs>
  <cellStyles count="21">
    <cellStyle name="Link" xfId="3" builtinId="8"/>
    <cellStyle name="Prozent" xfId="5" builtinId="5"/>
    <cellStyle name="Standard" xfId="0" builtinId="0"/>
    <cellStyle name="Standard 2" xfId="1"/>
    <cellStyle name="Standard 2 2" xfId="10"/>
    <cellStyle name="Standard 2 2 2" xfId="18"/>
    <cellStyle name="Standard 2 2 3" xfId="17"/>
    <cellStyle name="Standard 2 3" xfId="12"/>
    <cellStyle name="Standard 2 4" xfId="16"/>
    <cellStyle name="Standard 2 5" xfId="19"/>
    <cellStyle name="Standard 3" xfId="6"/>
    <cellStyle name="Standard 4" xfId="9"/>
    <cellStyle name="Standard 4 2" xfId="13"/>
    <cellStyle name="Standard 6" xfId="20"/>
    <cellStyle name="Standard__2006_H" xfId="2"/>
    <cellStyle name="Standard__2006_Vg" xfId="11"/>
    <cellStyle name="Standard_2007_Vk" xfId="4"/>
    <cellStyle name="Standard_Bed_V" xfId="15"/>
    <cellStyle name="Standard_h1E_ohne'BN" xfId="8"/>
    <cellStyle name="Standard_neu" xfId="7"/>
    <cellStyle name="Standard_Seit 2+" xfId="14"/>
  </cellStyles>
  <dxfs count="202">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rgb="FFFF66CC"/>
        </patternFill>
      </fill>
    </dxf>
    <dxf>
      <fill>
        <patternFill>
          <bgColor rgb="FFFFC000"/>
        </patternFill>
      </fill>
    </dxf>
    <dxf>
      <fill>
        <patternFill>
          <bgColor rgb="FFFFC000"/>
        </patternFill>
      </fill>
    </dxf>
    <dxf>
      <fill>
        <patternFill>
          <bgColor rgb="FFFFFF99"/>
        </patternFill>
      </fill>
    </dxf>
    <dxf>
      <fill>
        <patternFill>
          <bgColor theme="3" tint="0.79998168889431442"/>
        </patternFill>
      </fill>
    </dxf>
    <dxf>
      <fill>
        <patternFill>
          <bgColor indexed="14"/>
        </patternFill>
      </fill>
    </dxf>
    <dxf>
      <fill>
        <patternFill>
          <bgColor theme="3" tint="0.79998168889431442"/>
        </patternFill>
      </fill>
    </dxf>
    <dxf>
      <fill>
        <patternFill>
          <bgColor indexed="14"/>
        </patternFill>
      </fill>
    </dxf>
    <dxf>
      <fill>
        <patternFill>
          <bgColor indexed="14"/>
        </patternFill>
      </fill>
    </dxf>
    <dxf>
      <fill>
        <patternFill>
          <bgColor theme="3" tint="0.79998168889431442"/>
        </patternFill>
      </fill>
    </dxf>
    <dxf>
      <fill>
        <patternFill>
          <bgColor theme="0"/>
        </patternFill>
      </fill>
      <border>
        <left/>
        <right/>
        <bottom/>
        <vertical/>
        <horizontal/>
      </border>
    </dxf>
    <dxf>
      <fill>
        <patternFill patternType="solid">
          <fgColor rgb="FFFFFFCC"/>
          <bgColor rgb="FFFF99FF"/>
        </patternFill>
      </fill>
    </dxf>
    <dxf>
      <fill>
        <patternFill>
          <bgColor theme="9" tint="0.59996337778862885"/>
        </patternFill>
      </fill>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border>
        <left style="hair">
          <color indexed="64"/>
        </left>
        <right style="hair">
          <color indexed="64"/>
        </right>
      </border>
    </dxf>
    <dxf>
      <fill>
        <gradientFill>
          <stop position="0">
            <color theme="0"/>
          </stop>
          <stop position="1">
            <color rgb="FF66FFCC"/>
          </stop>
        </gradientFill>
      </fill>
      <border>
        <bottom style="hair">
          <color auto="1"/>
        </bottom>
      </border>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gradientFill>
          <stop position="0">
            <color rgb="FF9E0B0E"/>
          </stop>
          <stop position="1">
            <color rgb="FFFF0000"/>
          </stop>
        </gradientFill>
      </fill>
      <border>
        <left style="hair">
          <color auto="1"/>
        </left>
        <right style="hair">
          <color auto="1"/>
        </right>
        <bottom style="hair">
          <color auto="1"/>
        </bottom>
      </border>
    </dxf>
    <dxf>
      <fill>
        <patternFill>
          <bgColor rgb="FF66FFCC"/>
        </patternFill>
      </fill>
      <border>
        <left style="hair">
          <color indexed="64"/>
        </left>
        <right style="hair">
          <color indexed="64"/>
        </right>
        <top style="hair">
          <color indexed="64"/>
        </top>
        <bottom style="hair">
          <color indexed="64"/>
        </bottom>
      </border>
    </dxf>
    <dxf>
      <fill>
        <gradientFill degree="180">
          <stop position="0">
            <color theme="0"/>
          </stop>
          <stop position="1">
            <color rgb="FF66FFCC"/>
          </stop>
        </gradientFill>
      </fill>
    </dxf>
    <dxf>
      <fill>
        <gradientFill degree="180">
          <stop position="0">
            <color theme="0"/>
          </stop>
          <stop position="1">
            <color rgb="FF66FFCC"/>
          </stop>
        </gradientFill>
      </fill>
    </dxf>
    <dxf>
      <fill>
        <gradientFill degree="180">
          <stop position="0">
            <color theme="0"/>
          </stop>
          <stop position="1">
            <color rgb="FF66FFCC"/>
          </stop>
        </gradientFill>
      </fill>
    </dxf>
    <dxf>
      <fill>
        <gradientFill degree="180">
          <stop position="0">
            <color theme="0"/>
          </stop>
          <stop position="1">
            <color rgb="FF66FFCC"/>
          </stop>
        </gradientFill>
      </fill>
    </dxf>
    <dxf>
      <fill>
        <gradientFill degree="180">
          <stop position="0">
            <color theme="0"/>
          </stop>
          <stop position="1">
            <color rgb="FF66FFCC"/>
          </stop>
        </gradientFill>
      </fill>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gradientFill>
          <stop position="0">
            <color theme="0"/>
          </stop>
          <stop position="1">
            <color rgb="FF66FFCC"/>
          </stop>
        </gradientFill>
      </fill>
      <border>
        <bottom style="hair">
          <color auto="1"/>
        </bottom>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rgb="FF66FFCC"/>
        </patternFill>
      </fill>
      <border>
        <left/>
        <right style="hair">
          <color auto="1"/>
        </right>
        <bottom style="hair">
          <color auto="1"/>
        </bottom>
        <vertical/>
        <horizontal/>
      </border>
    </dxf>
    <dxf>
      <fill>
        <patternFill>
          <bgColor theme="9" tint="0.39994506668294322"/>
        </patternFill>
      </fill>
    </dxf>
    <dxf>
      <fill>
        <patternFill>
          <bgColor rgb="FFFF0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bgColor rgb="FFFF0000"/>
        </patternFill>
      </fill>
    </dxf>
    <dxf>
      <fill>
        <patternFill>
          <bgColor rgb="FFFF8181"/>
        </patternFill>
      </fill>
    </dxf>
    <dxf>
      <font>
        <color theme="1"/>
      </font>
      <fill>
        <patternFill patternType="solid">
          <fgColor rgb="FFFFFFFF"/>
          <bgColor rgb="FFFF8181"/>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lightGray">
          <fgColor theme="0"/>
          <bgColor rgb="FFFFC000"/>
        </patternFill>
      </fill>
      <border>
        <left style="thin">
          <color auto="1"/>
        </left>
        <right style="thin">
          <color auto="1"/>
        </right>
        <top style="thin">
          <color auto="1"/>
        </top>
        <bottom style="thin">
          <color auto="1"/>
        </bottom>
      </border>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ont>
        <name val="Cambria"/>
        <scheme val="none"/>
      </font>
      <fill>
        <patternFill patternType="gray0625"/>
      </fill>
      <border>
        <left style="thin">
          <color indexed="64"/>
        </left>
        <right style="thin">
          <color indexed="64"/>
        </right>
        <top style="thin">
          <color indexed="64"/>
        </top>
        <bottom style="thin">
          <color indexed="64"/>
        </bottom>
      </border>
    </dxf>
    <dxf>
      <fill>
        <patternFill patternType="mediumGray">
          <fgColor indexed="10"/>
          <bgColor indexed="65"/>
        </patternFill>
      </fill>
    </dxf>
    <dxf>
      <fill>
        <patternFill patternType="darkUp">
          <fgColor rgb="FFFFC000"/>
        </patternFill>
      </fill>
    </dxf>
    <dxf>
      <fill>
        <patternFill patternType="solid">
          <fgColor indexed="64"/>
          <bgColor indexed="26"/>
        </patternFill>
      </fill>
    </dxf>
    <dxf>
      <fill>
        <patternFill>
          <bgColor indexed="26"/>
        </patternFill>
      </fill>
    </dxf>
    <dxf>
      <fill>
        <patternFill>
          <bgColor indexed="10"/>
        </patternFill>
      </fill>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1AFFFF"/>
        </patternFill>
      </fill>
    </dxf>
    <dxf>
      <border>
        <left style="hair">
          <color auto="1"/>
        </left>
        <right style="hair">
          <color auto="1"/>
        </right>
        <top style="hair">
          <color auto="1"/>
        </top>
        <bottom style="hair">
          <color auto="1"/>
        </bottom>
        <vertical/>
        <horizontal/>
      </border>
    </dxf>
    <dxf>
      <border>
        <left style="hair">
          <color auto="1"/>
        </left>
        <right style="hair">
          <color auto="1"/>
        </right>
        <top style="hair">
          <color auto="1"/>
        </top>
        <bottom style="hair">
          <color auto="1"/>
        </bottom>
        <vertical/>
        <horizontal/>
      </border>
    </dxf>
    <dxf>
      <fill>
        <patternFill>
          <bgColor rgb="FFFF0000"/>
        </patternFill>
      </fill>
    </dxf>
    <dxf>
      <border>
        <left style="thin">
          <color auto="1"/>
        </left>
        <right style="thin">
          <color auto="1"/>
        </right>
        <top style="thin">
          <color auto="1"/>
        </top>
        <bottom style="thin">
          <color auto="1"/>
        </bottom>
        <vertical/>
        <horizontal/>
      </border>
    </dxf>
    <dxf>
      <fill>
        <patternFill>
          <bgColor rgb="FFFF0000"/>
        </patternFill>
      </fill>
      <border>
        <left style="hair">
          <color auto="1"/>
        </left>
        <right style="hair">
          <color auto="1"/>
        </right>
        <top style="hair">
          <color auto="1"/>
        </top>
        <bottom style="hair">
          <color auto="1"/>
        </bottom>
      </border>
    </dxf>
    <dxf>
      <fill>
        <patternFill>
          <bgColor rgb="FFFFFF00"/>
        </patternFill>
      </fill>
    </dxf>
    <dxf>
      <fill>
        <patternFill>
          <bgColor rgb="FFFFFF00"/>
        </patternFill>
      </fill>
    </dxf>
    <dxf>
      <fill>
        <patternFill>
          <bgColor rgb="FFFF99FF"/>
        </patternFill>
      </fill>
    </dxf>
    <dxf>
      <border>
        <left style="thin">
          <color auto="1"/>
        </left>
        <right style="thin">
          <color auto="1"/>
        </right>
        <top style="thin">
          <color auto="1"/>
        </top>
        <bottom style="thin">
          <color auto="1"/>
        </bottom>
        <vertical/>
        <horizontal/>
      </border>
    </dxf>
    <dxf>
      <font>
        <b val="0"/>
        <i val="0"/>
        <color theme="0" tint="-0.24994659260841701"/>
      </font>
    </dxf>
    <dxf>
      <font>
        <color theme="5" tint="0.39994506668294322"/>
      </font>
    </dxf>
    <dxf>
      <border>
        <left style="thin">
          <color auto="1"/>
        </left>
        <right style="thin">
          <color auto="1"/>
        </right>
        <top style="thin">
          <color auto="1"/>
        </top>
        <bottom style="thin">
          <color auto="1"/>
        </bottom>
        <vertical/>
        <horizontal/>
      </border>
    </dxf>
    <dxf>
      <border>
        <left style="hair">
          <color auto="1"/>
        </left>
        <right style="hair">
          <color auto="1"/>
        </right>
        <top/>
        <bottom style="hair">
          <color auto="1"/>
        </bottom>
        <vertical/>
        <horizontal/>
      </border>
    </dxf>
    <dxf>
      <border>
        <left style="hair">
          <color auto="1"/>
        </left>
        <right style="hair">
          <color auto="1"/>
        </right>
        <top style="hair">
          <color auto="1"/>
        </top>
        <bottom/>
        <vertical/>
        <horizontal/>
      </border>
    </dxf>
    <dxf>
      <border>
        <left style="hair">
          <color auto="1"/>
        </left>
        <right style="hair">
          <color auto="1"/>
        </right>
        <top style="hair">
          <color auto="1"/>
        </top>
        <bottom/>
        <vertical/>
        <horizontal/>
      </border>
    </dxf>
    <dxf>
      <border>
        <left style="hair">
          <color auto="1"/>
        </left>
        <right style="hair">
          <color auto="1"/>
        </right>
        <top/>
        <bottom style="hair">
          <color auto="1"/>
        </bottom>
        <vertical/>
        <horizontal/>
      </border>
    </dxf>
    <dxf>
      <fill>
        <patternFill>
          <bgColor rgb="FF66FFCC"/>
        </patternFill>
      </fill>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bgColor rgb="FF66FFCC"/>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0000"/>
        </patternFill>
      </fill>
    </dxf>
    <dxf>
      <border>
        <left style="hair">
          <color auto="1"/>
        </left>
        <right style="hair">
          <color auto="1"/>
        </right>
        <top style="hair">
          <color auto="1"/>
        </top>
        <bottom style="hair">
          <color auto="1"/>
        </bottom>
        <vertical/>
        <horizontal/>
      </border>
    </dxf>
    <dxf>
      <border>
        <left style="dashed">
          <color auto="1"/>
        </left>
        <right style="dashed">
          <color auto="1"/>
        </right>
        <top style="dashed">
          <color auto="1"/>
        </top>
        <bottom style="dashed">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border>
        <left style="hair">
          <color auto="1"/>
        </left>
        <right style="hair">
          <color auto="1"/>
        </right>
        <top style="hair">
          <color auto="1"/>
        </top>
        <bottom style="hair">
          <color auto="1"/>
        </bottom>
        <vertical/>
        <horizontal/>
      </border>
    </dxf>
    <dxf>
      <fill>
        <patternFill>
          <bgColor theme="5" tint="0.59996337778862885"/>
        </patternFill>
      </fill>
      <border>
        <left style="hair">
          <color indexed="64"/>
        </left>
        <right style="hair">
          <color indexed="64"/>
        </right>
        <top style="hair">
          <color indexed="64"/>
        </top>
        <bottom style="hair">
          <color indexed="64"/>
        </bottom>
      </border>
    </dxf>
    <dxf>
      <fill>
        <patternFill>
          <bgColor rgb="FF66FFCC"/>
        </patternFill>
      </fill>
    </dxf>
    <dxf>
      <fill>
        <patternFill patternType="none">
          <bgColor indexed="65"/>
        </patternFill>
      </fill>
    </dxf>
    <dxf>
      <font>
        <color theme="0" tint="-0.34998626667073579"/>
      </font>
    </dxf>
    <dxf>
      <fill>
        <patternFill>
          <bgColor rgb="FFFFFF00"/>
        </patternFill>
      </fill>
    </dxf>
    <dxf>
      <font>
        <color auto="1"/>
      </font>
      <fill>
        <patternFill>
          <bgColor rgb="FF00FFCC"/>
        </patternFill>
      </fill>
    </dxf>
    <dxf>
      <fill>
        <patternFill>
          <bgColor rgb="FF00FFCC"/>
        </patternFill>
      </fill>
    </dxf>
    <dxf>
      <fill>
        <patternFill>
          <bgColor rgb="FFFFFF00"/>
        </patternFill>
      </fill>
    </dxf>
    <dxf>
      <border>
        <left style="thin">
          <color auto="1"/>
        </left>
        <right style="thin">
          <color auto="1"/>
        </right>
        <top style="thin">
          <color auto="1"/>
        </top>
        <bottom style="thin">
          <color auto="1"/>
        </bottom>
        <vertical/>
        <horizontal/>
      </border>
    </dxf>
    <dxf>
      <font>
        <color auto="1"/>
      </font>
    </dxf>
    <dxf>
      <fill>
        <patternFill>
          <bgColor rgb="FFFFFF00"/>
        </patternFill>
      </fill>
    </dxf>
    <dxf>
      <fill>
        <patternFill>
          <bgColor rgb="FF65D7FF"/>
        </patternFill>
      </fill>
      <border>
        <left style="thin">
          <color auto="1"/>
        </left>
        <right style="thin">
          <color auto="1"/>
        </right>
        <top/>
        <bottom style="thin">
          <color auto="1"/>
        </bottom>
      </border>
    </dxf>
  </dxfs>
  <tableStyles count="0" defaultTableStyle="TableStyleMedium2" defaultPivotStyle="PivotStyleLight16"/>
  <colors>
    <mruColors>
      <color rgb="FFE6EDD7"/>
      <color rgb="FFEFF9FF"/>
      <color rgb="FFE6B4CD"/>
      <color rgb="FFDDFFF4"/>
      <color rgb="FFCCFFFF"/>
      <color rgb="FF66FFCC"/>
      <color rgb="FFFFF2CC"/>
      <color rgb="FFFFFF99"/>
      <color rgb="FFFF818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142875</xdr:colOff>
      <xdr:row>86</xdr:row>
      <xdr:rowOff>153058</xdr:rowOff>
    </xdr:to>
    <xdr:sp macro="" textlink="">
      <xdr:nvSpPr>
        <xdr:cNvPr id="5" name="Textfeld 4"/>
        <xdr:cNvSpPr txBox="1"/>
      </xdr:nvSpPr>
      <xdr:spPr>
        <a:xfrm>
          <a:off x="0" y="0"/>
          <a:ext cx="8924925" cy="165360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AT" sz="2000" b="1">
            <a:solidFill>
              <a:schemeClr val="dk1"/>
            </a:solidFill>
            <a:effectLst/>
            <a:latin typeface="+mn-lt"/>
            <a:ea typeface="+mn-ea"/>
            <a:cs typeface="+mn-cs"/>
          </a:endParaRPr>
        </a:p>
        <a:p>
          <a:r>
            <a:rPr lang="de-AT" sz="2000" b="1">
              <a:solidFill>
                <a:schemeClr val="dk1"/>
              </a:solidFill>
              <a:effectLst/>
              <a:latin typeface="+mn-lt"/>
              <a:ea typeface="+mn-ea"/>
              <a:cs typeface="+mn-cs"/>
            </a:rPr>
            <a:t>Informationen und Begriffsbestimmungen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Hier in diesem Tabellenblatt sind die maßgeblichen Kriterien und Faktoren zusammengefasst.</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Das nächstfolgende Tabellenblatt dieser Mappe ist für die konkreten Berechnungen vorgesehen,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wobei gegebenenfalls ergänzende Einträge in den weiteren Blättern &lt;Assistenz&gt; und &lt;GTS&gt; vorzunehmen sind.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Kopfquote:</a:t>
          </a:r>
        </a:p>
        <a:p>
          <a:r>
            <a:rPr lang="de-AT" sz="1400">
              <a:solidFill>
                <a:schemeClr val="dk1"/>
              </a:solidFill>
              <a:effectLst/>
              <a:latin typeface="+mn-lt"/>
              <a:ea typeface="+mn-ea"/>
              <a:cs typeface="+mn-cs"/>
            </a:rPr>
            <a:t>Für die Berechnung der Stundenkontingente wurde eine Pro-Kopfquote eingeführt.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Klassenzahl: </a:t>
          </a:r>
        </a:p>
        <a:p>
          <a:r>
            <a:rPr lang="de-AT" sz="1400">
              <a:solidFill>
                <a:schemeClr val="dk1"/>
              </a:solidFill>
              <a:effectLst/>
              <a:latin typeface="+mn-lt"/>
              <a:ea typeface="+mn-ea"/>
              <a:cs typeface="+mn-cs"/>
            </a:rPr>
            <a:t>Die Anzahl der Klassen ist nicht mehr unmittelbarer Auslöser für die Zuweisung von Kontingenten an die Schule und spielt (nach Einführung der Stundenressourcen über eine Kopfquote) nur mehr in Spezialfällen eine Rolle.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Klassenvorstandschaft: </a:t>
          </a:r>
        </a:p>
        <a:p>
          <a:r>
            <a:rPr lang="de-AT" sz="1400">
              <a:solidFill>
                <a:schemeClr val="dk1"/>
              </a:solidFill>
              <a:effectLst/>
              <a:latin typeface="+mn-lt"/>
              <a:ea typeface="+mn-ea"/>
              <a:cs typeface="+mn-cs"/>
            </a:rPr>
            <a:t>Für jede gesondert eingerichtete Klasse besteht Anspruch auf Vergütung der Klassenvorstandschaft, also auch wenn am Standort autonom zusätzliche Klassen gebildet werden. An Schulen, an denen der Unterricht durch Fachlehrer erteilt wird, hat der Schulleiter für jede Klasse </a:t>
          </a:r>
          <a:r>
            <a:rPr lang="de-AT" sz="1400" b="1" u="sng">
              <a:solidFill>
                <a:schemeClr val="dk1"/>
              </a:solidFill>
              <a:effectLst/>
              <a:latin typeface="+mn-lt"/>
              <a:ea typeface="+mn-ea"/>
              <a:cs typeface="+mn-cs"/>
            </a:rPr>
            <a:t>eine</a:t>
          </a:r>
          <a:r>
            <a:rPr lang="de-AT" sz="1400">
              <a:solidFill>
                <a:schemeClr val="dk1"/>
              </a:solidFill>
              <a:effectLst/>
              <a:latin typeface="+mn-lt"/>
              <a:ea typeface="+mn-ea"/>
              <a:cs typeface="+mn-cs"/>
            </a:rPr>
            <a:t> Lehrperson (ausgenommen Lehrbeauftragte) dieser Klasse als Klassenvorstand zu bestellen.</a:t>
          </a:r>
        </a:p>
        <a:p>
          <a:r>
            <a:rPr lang="de-AT" sz="1400">
              <a:solidFill>
                <a:schemeClr val="dk1"/>
              </a:solidFill>
              <a:effectLst/>
              <a:latin typeface="+mn-lt"/>
              <a:ea typeface="+mn-ea"/>
              <a:cs typeface="+mn-cs"/>
            </a:rPr>
            <a:t>An Schulen mit Klassenlehrersystem kommen die Aufgaben des Klassenvorstandes dem Klassenlehrer zu.</a:t>
          </a:r>
        </a:p>
        <a:p>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Eine „Deutschförderklasse“ ist zwar als Klasse bezeichnet, jedoch nicht organisatorisch eigenständig geführt. Somit kann für dieses Förderprogramm keine KV-Vergütung bezahlt werden.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Was ist organisatorisch als „Klasse“ zu verstehen? </a:t>
          </a:r>
        </a:p>
        <a:p>
          <a:r>
            <a:rPr lang="de-AT" sz="1400">
              <a:solidFill>
                <a:schemeClr val="dk1"/>
              </a:solidFill>
              <a:effectLst/>
              <a:latin typeface="+mn-lt"/>
              <a:ea typeface="+mn-ea"/>
              <a:cs typeface="+mn-cs"/>
            </a:rPr>
            <a:t>Alle Pflichtgegenstände werden grundsätzlich im Klassenverband unterrichtet, eine Zusammenlegung bzw ein gemeinsames Führen mit SuS aus verschiedenen Klassen ist nur in Ausnahmefällen unter Vorlage eines pädagogischen Konzeptes an das zuständige Schulpartnerschaftsgremium und dessen Beschluss acht Wochen vor Ende des vorangehenden Unterrichtsjahres (§ 8a SchOG) vorgesehen. Ausgenommen davon sind die alternativen Pflichtgegenstände, die gesondert zusammengesetzten Unterrichtsgruppen zur gezielten Leistungsförderung zB in Hauptfächern an der MS, sowie der Religionsunterricht (wegen der Möglichkeit/Notwendigkeit zur Bildung von klassenübergreifenden Unterrichtsgruppen).</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Im Rahmen des Gesamtkonzeptes möglich sind ..</a:t>
          </a:r>
        </a:p>
        <a:p>
          <a:r>
            <a:rPr lang="de-AT" sz="1400">
              <a:solidFill>
                <a:schemeClr val="dk1"/>
              </a:solidFill>
              <a:effectLst/>
              <a:latin typeface="+mn-lt"/>
              <a:ea typeface="+mn-ea"/>
              <a:cs typeface="+mn-cs"/>
            </a:rPr>
            <a:t>die Teilung einer Klasse für einzelne Gegenstände in mehrere Unterrichtsgruppen,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die Einrichtung von Freigegenständen und Unverbindlichen Übungen sowie Förderunterricht, </a:t>
          </a:r>
        </a:p>
        <a:p>
          <a:r>
            <a:rPr lang="de-AT" sz="1400">
              <a:solidFill>
                <a:schemeClr val="dk1"/>
              </a:solidFill>
              <a:effectLst/>
              <a:latin typeface="+mn-lt"/>
              <a:ea typeface="+mn-ea"/>
              <a:cs typeface="+mn-cs"/>
            </a:rPr>
            <a:t>die Förderung im Klassenverband durch eine Zusatzlehrperson im Team-Teaching. </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Autonome Bildung von Klassen: </a:t>
          </a:r>
        </a:p>
        <a:p>
          <a:r>
            <a:rPr lang="de-AT" sz="1400">
              <a:solidFill>
                <a:schemeClr val="dk1"/>
              </a:solidFill>
              <a:effectLst/>
              <a:latin typeface="+mn-lt"/>
              <a:ea typeface="+mn-ea"/>
              <a:cs typeface="+mn-cs"/>
            </a:rPr>
            <a:t>Im Rahmen der schulautonomen Gestaltungsmöglichkeiten können am Standort Klassen in einer Zahl eingerichtet werden, die von der durch die Behörde nach Schülerzahlen und Zusammensetzung fiktiv berechneten Anzahl der Klassen abweicht. Daraus ergibt sich die Leitereinrechnung bzw Leiter-Freistellung nach Dienstrecht-Alt.</a:t>
          </a:r>
        </a:p>
        <a:p>
          <a:r>
            <a:rPr lang="de-AT" sz="1400">
              <a:solidFill>
                <a:schemeClr val="dk1"/>
              </a:solidFill>
              <a:effectLst/>
              <a:latin typeface="+mn-lt"/>
              <a:ea typeface="+mn-ea"/>
              <a:cs typeface="+mn-cs"/>
            </a:rPr>
            <a:t> </a:t>
          </a:r>
        </a:p>
        <a:p>
          <a:r>
            <a:rPr lang="de-AT" sz="1400" b="1">
              <a:solidFill>
                <a:schemeClr val="dk1"/>
              </a:solidFill>
              <a:effectLst/>
              <a:latin typeface="+mn-lt"/>
              <a:ea typeface="+mn-ea"/>
              <a:cs typeface="+mn-cs"/>
            </a:rPr>
            <a:t>Stichtag für die Ressourcen und die Schulorganisation:</a:t>
          </a:r>
        </a:p>
        <a:p>
          <a:pPr marL="0" marR="0" lvl="0" indent="0" defTabSz="914400" eaLnBrk="1" fontAlgn="auto" latinLnBrk="0" hangingPunct="1">
            <a:lnSpc>
              <a:spcPct val="100000"/>
            </a:lnSpc>
            <a:spcBef>
              <a:spcPts val="0"/>
            </a:spcBef>
            <a:spcAft>
              <a:spcPts val="0"/>
            </a:spcAft>
            <a:buClrTx/>
            <a:buSzTx/>
            <a:buFontTx/>
            <a:buNone/>
            <a:tabLst/>
            <a:defRPr/>
          </a:pPr>
          <a:r>
            <a:rPr lang="de-AT" sz="1400">
              <a:solidFill>
                <a:schemeClr val="dk1"/>
              </a:solidFill>
              <a:effectLst/>
              <a:latin typeface="+mn-lt"/>
              <a:ea typeface="+mn-ea"/>
              <a:cs typeface="+mn-cs"/>
            </a:rPr>
            <a:t>Als Stichtag für die verbindliche Berechnung der Stundenressourcen ist der 2. Montag im Unterrichtsjahr maßgeblich. Sprengelfremde SchülerInnen werden dabei ohne Einschränkungen in die Berechnung einbezogen.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b="1">
              <a:solidFill>
                <a:schemeClr val="dk1"/>
              </a:solidFill>
              <a:effectLst/>
              <a:latin typeface="+mn-lt"/>
              <a:ea typeface="+mn-ea"/>
              <a:cs typeface="+mn-cs"/>
            </a:rPr>
            <a:t>IT - Mobile Device Management für PDler</a:t>
          </a:r>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An der Stammschule ist eine Einrechnung von insgesamt max. 3 Stunden für IT-Betreuung, MDM pädagogisch oder Bibliothek möglich. Wenn ausschließlich IT-Betreuung (inklusive MDM pädagogisch) übernommen wird, kann an bis zu 3 Standorten max. 3 Stunden – somit maximal gesamt 9 Stunden – eingerechnet werden.</a:t>
          </a:r>
        </a:p>
        <a:p>
          <a:endParaRPr lang="de-AT" sz="1400">
            <a:solidFill>
              <a:schemeClr val="dk1"/>
            </a:solidFill>
            <a:effectLst/>
            <a:latin typeface="+mn-lt"/>
            <a:ea typeface="+mn-ea"/>
            <a:cs typeface="+mn-cs"/>
          </a:endParaRPr>
        </a:p>
        <a:p>
          <a:endParaRPr lang="de-AT" sz="1400">
            <a:solidFill>
              <a:schemeClr val="dk1"/>
            </a:solidFill>
            <a:effectLst/>
            <a:latin typeface="+mn-lt"/>
            <a:ea typeface="+mn-ea"/>
            <a:cs typeface="+mn-cs"/>
          </a:endParaRPr>
        </a:p>
        <a:p>
          <a:r>
            <a:rPr lang="de-AT" sz="1400" b="1">
              <a:solidFill>
                <a:schemeClr val="dk1"/>
              </a:solidFill>
              <a:effectLst/>
              <a:latin typeface="+mn-lt"/>
              <a:ea typeface="+mn-ea"/>
              <a:cs typeface="+mn-cs"/>
            </a:rPr>
            <a:t>Änderungen während des Schuljahres: </a:t>
          </a:r>
        </a:p>
        <a:p>
          <a:r>
            <a:rPr lang="de-AT" sz="1400">
              <a:solidFill>
                <a:schemeClr val="dk1"/>
              </a:solidFill>
              <a:effectLst/>
              <a:latin typeface="+mn-lt"/>
              <a:ea typeface="+mn-ea"/>
              <a:cs typeface="+mn-cs"/>
            </a:rPr>
            <a:t>Der Schulwechsel eines Schülers bewirkt grundsätzlich keine Verschiebung der Stundenressourcen bzw löst keine Mitnahme von Stunden aus, mit Ausnahme bei SuS mit SPF, wo die Stunden für den Unterricht (= mindestens 2,0) und auch für die Assistenz grundsätzlich mit dem Schüler mitgehen. </a:t>
          </a:r>
        </a:p>
        <a:p>
          <a:r>
            <a:rPr lang="de-AT" sz="1400">
              <a:solidFill>
                <a:schemeClr val="dk1"/>
              </a:solidFill>
              <a:effectLst/>
              <a:latin typeface="+mn-lt"/>
              <a:ea typeface="+mn-ea"/>
              <a:cs typeface="+mn-cs"/>
            </a:rPr>
            <a:t>Bei unterrichtlicher Notwendigkeit oder bei Status ao-u kann die aufnehmende Schule beim SQM eine Prüfung der Situation beantragen. Sinkt eine DFöKL unter acht SuS, kann diese bis zum Ende des Semesters weitergeführt werden.</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Was im schülerkopf-bezogenen Stundenkontingent NICHT enthalten ist: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Einrechnungen für Schulleitung, Bibliothek, IT usw. </a:t>
          </a:r>
        </a:p>
        <a:p>
          <a:r>
            <a:rPr lang="de-AT" sz="1400">
              <a:solidFill>
                <a:schemeClr val="dk1"/>
              </a:solidFill>
              <a:effectLst/>
              <a:latin typeface="+mn-lt"/>
              <a:ea typeface="+mn-ea"/>
              <a:cs typeface="+mn-cs"/>
            </a:rPr>
            <a:t>Diese Einrechnungen werden in den auf die Stundenkontingente für die Unterrichtserteilung folgenden Zeilen gesondert ermittelt bzw von der Schule für die anstehende Bedarfsplanung beantragt. </a:t>
          </a: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Aus spezifischen Stundentöpfen und jedenfalls außerhalb des berechneten Schulkontingents werden gesondert Stunden zugewiesen </a:t>
          </a:r>
        </a:p>
        <a:p>
          <a:r>
            <a:rPr lang="de-AT" sz="1400">
              <a:solidFill>
                <a:schemeClr val="dk1"/>
              </a:solidFill>
              <a:effectLst/>
              <a:latin typeface="+mn-lt"/>
              <a:ea typeface="+mn-ea"/>
              <a:cs typeface="+mn-cs"/>
            </a:rPr>
            <a:t>für den Religionsunterricht (alle Bekenntnisse), für den Muttersprach-lichen Unterricht, sowie für andere Mobile Lehrpersonen.</a:t>
          </a:r>
        </a:p>
        <a:p>
          <a:r>
            <a:rPr lang="de-AT" sz="1400">
              <a:solidFill>
                <a:schemeClr val="dk1"/>
              </a:solidFill>
              <a:effectLst/>
              <a:latin typeface="+mn-lt"/>
              <a:ea typeface="+mn-ea"/>
              <a:cs typeface="+mn-cs"/>
            </a:rPr>
            <a:t/>
          </a:r>
          <a:br>
            <a:rPr lang="de-AT" sz="1400">
              <a:solidFill>
                <a:schemeClr val="dk1"/>
              </a:solidFill>
              <a:effectLst/>
              <a:latin typeface="+mn-lt"/>
              <a:ea typeface="+mn-ea"/>
              <a:cs typeface="+mn-cs"/>
            </a:rPr>
          </a:br>
          <a:r>
            <a:rPr lang="de-AT" sz="1400">
              <a:solidFill>
                <a:schemeClr val="dk1"/>
              </a:solidFill>
              <a:effectLst/>
              <a:latin typeface="+mn-lt"/>
              <a:ea typeface="+mn-ea"/>
              <a:cs typeface="+mn-cs"/>
            </a:rPr>
            <a:t>Für röm</a:t>
          </a:r>
          <a:r>
            <a:rPr lang="de-AT" sz="1400" i="1">
              <a:solidFill>
                <a:schemeClr val="dk1"/>
              </a:solidFill>
              <a:effectLst/>
              <a:latin typeface="+mn-lt"/>
              <a:ea typeface="+mn-ea"/>
              <a:cs typeface="+mn-cs"/>
            </a:rPr>
            <a:t>.-kath. Religion ist jedoch ein eigenes Tabellenblatt zur Meldung bzw Beantragung der Unterrichtsressourcen aufgenommen. </a:t>
          </a:r>
          <a:endParaRPr lang="de-AT" sz="1400">
            <a:solidFill>
              <a:schemeClr val="dk1"/>
            </a:solidFill>
            <a:effectLst/>
            <a:latin typeface="+mn-lt"/>
            <a:ea typeface="+mn-ea"/>
            <a:cs typeface="+mn-cs"/>
          </a:endParaRPr>
        </a:p>
        <a:p>
          <a:r>
            <a:rPr lang="de-AT" sz="1400">
              <a:solidFill>
                <a:schemeClr val="dk1"/>
              </a:solidFill>
              <a:effectLst/>
              <a:latin typeface="+mn-lt"/>
              <a:ea typeface="+mn-ea"/>
              <a:cs typeface="+mn-cs"/>
            </a:rPr>
            <a:t> </a:t>
          </a:r>
        </a:p>
        <a:p>
          <a:r>
            <a:rPr lang="de-AT" sz="1400">
              <a:solidFill>
                <a:schemeClr val="dk1"/>
              </a:solidFill>
              <a:effectLst/>
              <a:latin typeface="+mn-lt"/>
              <a:ea typeface="+mn-ea"/>
              <a:cs typeface="+mn-cs"/>
            </a:rPr>
            <a:t>Schulische Assistenz:  Die zur individuellen Unterstützung erforderlichen genehmigten Stunden sind über das Tabellenblatt &lt;Assistenz&gt; bekannt zu geben, und zwar im gesamten Ausmaß und in weiterer Folge, welches Personal dafür eingesetzt wird (SAF oder Bildi). Lehrpersonen, welche Assistenzstunden abgedecken, müssen zwingend einen Dienstvertrag haben welcher auf „Stütz- und BegleitlehrerIn“ lautet. Für diese Lehrpersonen sind die entsprechenden Stunden im Blatt &lt;Lehrpersonen&gt; zuzuteilen. </a:t>
          </a:r>
        </a:p>
        <a:p>
          <a:endParaRPr lang="de-AT"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370284</xdr:colOff>
      <xdr:row>17</xdr:row>
      <xdr:rowOff>65942</xdr:rowOff>
    </xdr:from>
    <xdr:to>
      <xdr:col>2</xdr:col>
      <xdr:colOff>370284</xdr:colOff>
      <xdr:row>20</xdr:row>
      <xdr:rowOff>56417</xdr:rowOff>
    </xdr:to>
    <xdr:cxnSp macro="">
      <xdr:nvCxnSpPr>
        <xdr:cNvPr id="5" name="Gerade Verbindung mit Pfeil 4">
          <a:extLst>
            <a:ext uri="{FF2B5EF4-FFF2-40B4-BE49-F238E27FC236}">
              <a16:creationId xmlns:a16="http://schemas.microsoft.com/office/drawing/2014/main" id="{00000000-0008-0000-0200-000005000000}"/>
            </a:ext>
          </a:extLst>
        </xdr:cNvPr>
        <xdr:cNvCxnSpPr/>
      </xdr:nvCxnSpPr>
      <xdr:spPr>
        <a:xfrm>
          <a:off x="1220207" y="3531577"/>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671763</xdr:colOff>
      <xdr:row>17</xdr:row>
      <xdr:rowOff>23232</xdr:rowOff>
    </xdr:from>
    <xdr:to>
      <xdr:col>5</xdr:col>
      <xdr:colOff>148684</xdr:colOff>
      <xdr:row>19</xdr:row>
      <xdr:rowOff>55145</xdr:rowOff>
    </xdr:to>
    <xdr:cxnSp macro="">
      <xdr:nvCxnSpPr>
        <xdr:cNvPr id="34" name="Gerader Verbinder 33">
          <a:extLst>
            <a:ext uri="{FF2B5EF4-FFF2-40B4-BE49-F238E27FC236}">
              <a16:creationId xmlns:a16="http://schemas.microsoft.com/office/drawing/2014/main" id="{00000000-0008-0000-0200-000022000000}"/>
            </a:ext>
          </a:extLst>
        </xdr:cNvPr>
        <xdr:cNvCxnSpPr/>
      </xdr:nvCxnSpPr>
      <xdr:spPr>
        <a:xfrm flipH="1">
          <a:off x="2957763" y="3682837"/>
          <a:ext cx="153697" cy="412913"/>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566487</xdr:colOff>
      <xdr:row>19</xdr:row>
      <xdr:rowOff>50133</xdr:rowOff>
    </xdr:from>
    <xdr:to>
      <xdr:col>5</xdr:col>
      <xdr:colOff>179</xdr:colOff>
      <xdr:row>19</xdr:row>
      <xdr:rowOff>55145</xdr:rowOff>
    </xdr:to>
    <xdr:cxnSp macro="">
      <xdr:nvCxnSpPr>
        <xdr:cNvPr id="37" name="Gerader Verbinder 36">
          <a:extLst>
            <a:ext uri="{FF2B5EF4-FFF2-40B4-BE49-F238E27FC236}">
              <a16:creationId xmlns:a16="http://schemas.microsoft.com/office/drawing/2014/main" id="{00000000-0008-0000-0200-000025000000}"/>
            </a:ext>
          </a:extLst>
        </xdr:cNvPr>
        <xdr:cNvCxnSpPr/>
      </xdr:nvCxnSpPr>
      <xdr:spPr>
        <a:xfrm flipH="1" flipV="1">
          <a:off x="1413711" y="4090738"/>
          <a:ext cx="1549244" cy="5012"/>
        </a:xfrm>
        <a:prstGeom prst="line">
          <a:avLst/>
        </a:prstGeom>
        <a:ln w="3175">
          <a:solidFill>
            <a:srgbClr val="00B050"/>
          </a:solidFill>
          <a:prstDash val="sysDot"/>
          <a:headEnd w="med" len="sm"/>
          <a:tailEnd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19</xdr:row>
      <xdr:rowOff>50132</xdr:rowOff>
    </xdr:from>
    <xdr:to>
      <xdr:col>2</xdr:col>
      <xdr:colOff>571500</xdr:colOff>
      <xdr:row>20</xdr:row>
      <xdr:rowOff>66675</xdr:rowOff>
    </xdr:to>
    <xdr:cxnSp macro="">
      <xdr:nvCxnSpPr>
        <xdr:cNvPr id="40" name="Gerade Verbindung mit Pfeil 39">
          <a:extLst>
            <a:ext uri="{FF2B5EF4-FFF2-40B4-BE49-F238E27FC236}">
              <a16:creationId xmlns:a16="http://schemas.microsoft.com/office/drawing/2014/main" id="{00000000-0008-0000-0200-000028000000}"/>
            </a:ext>
          </a:extLst>
        </xdr:cNvPr>
        <xdr:cNvCxnSpPr/>
      </xdr:nvCxnSpPr>
      <xdr:spPr>
        <a:xfrm>
          <a:off x="1418724" y="4090737"/>
          <a:ext cx="0" cy="207043"/>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17</xdr:row>
      <xdr:rowOff>57150</xdr:rowOff>
    </xdr:from>
    <xdr:to>
      <xdr:col>5</xdr:col>
      <xdr:colOff>276225</xdr:colOff>
      <xdr:row>20</xdr:row>
      <xdr:rowOff>47625</xdr:rowOff>
    </xdr:to>
    <xdr:cxnSp macro="">
      <xdr:nvCxnSpPr>
        <xdr:cNvPr id="61" name="Gerade Verbindung mit Pfeil 60">
          <a:extLst>
            <a:ext uri="{FF2B5EF4-FFF2-40B4-BE49-F238E27FC236}">
              <a16:creationId xmlns:a16="http://schemas.microsoft.com/office/drawing/2014/main" id="{00000000-0008-0000-0200-00003D000000}"/>
            </a:ext>
          </a:extLst>
        </xdr:cNvPr>
        <xdr:cNvCxnSpPr/>
      </xdr:nvCxnSpPr>
      <xdr:spPr>
        <a:xfrm>
          <a:off x="3238500" y="3514725"/>
          <a:ext cx="0" cy="371475"/>
        </a:xfrm>
        <a:prstGeom prst="straightConnector1">
          <a:avLst/>
        </a:prstGeom>
        <a:ln w="3175">
          <a:solidFill>
            <a:srgbClr val="00B050"/>
          </a:solidFill>
          <a:prstDash val="sysDot"/>
          <a:headEnd w="med" len="sm"/>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574428</xdr:colOff>
      <xdr:row>7</xdr:row>
      <xdr:rowOff>33474</xdr:rowOff>
    </xdr:from>
    <xdr:to>
      <xdr:col>8</xdr:col>
      <xdr:colOff>239159</xdr:colOff>
      <xdr:row>39</xdr:row>
      <xdr:rowOff>34144</xdr:rowOff>
    </xdr:to>
    <xdr:sp macro="" textlink="">
      <xdr:nvSpPr>
        <xdr:cNvPr id="63" name="Bogen 62">
          <a:extLst>
            <a:ext uri="{FF2B5EF4-FFF2-40B4-BE49-F238E27FC236}">
              <a16:creationId xmlns:a16="http://schemas.microsoft.com/office/drawing/2014/main" id="{00000000-0008-0000-0200-00003F000000}"/>
            </a:ext>
          </a:extLst>
        </xdr:cNvPr>
        <xdr:cNvSpPr/>
      </xdr:nvSpPr>
      <xdr:spPr>
        <a:xfrm rot="21280733">
          <a:off x="4108203" y="1662249"/>
          <a:ext cx="722006" cy="6039520"/>
        </a:xfrm>
        <a:prstGeom prst="arc">
          <a:avLst>
            <a:gd name="adj1" fmla="val 16236528"/>
            <a:gd name="adj2" fmla="val 5476232"/>
          </a:avLst>
        </a:prstGeom>
        <a:ln w="3175">
          <a:solidFill>
            <a:srgbClr val="C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AT" sz="1100"/>
        </a:p>
      </xdr:txBody>
    </xdr:sp>
    <xdr:clientData/>
  </xdr:twoCellAnchor>
  <xdr:twoCellAnchor editAs="oneCell">
    <xdr:from>
      <xdr:col>11</xdr:col>
      <xdr:colOff>28575</xdr:colOff>
      <xdr:row>90</xdr:row>
      <xdr:rowOff>28575</xdr:rowOff>
    </xdr:from>
    <xdr:to>
      <xdr:col>19</xdr:col>
      <xdr:colOff>400050</xdr:colOff>
      <xdr:row>94</xdr:row>
      <xdr:rowOff>20887</xdr:rowOff>
    </xdr:to>
    <xdr:pic>
      <xdr:nvPicPr>
        <xdr:cNvPr id="12" name="Grafik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5810250" y="15925800"/>
          <a:ext cx="5343525" cy="801937"/>
        </a:xfrm>
        <a:prstGeom prst="rect">
          <a:avLst/>
        </a:prstGeom>
        <a:noFill/>
        <a:effectLst>
          <a:innerShdw blurRad="228600">
            <a:schemeClr val="accent4">
              <a:lumMod val="75000"/>
            </a:schemeClr>
          </a:innerShdw>
        </a:effec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466725</xdr:colOff>
      <xdr:row>21</xdr:row>
      <xdr:rowOff>85725</xdr:rowOff>
    </xdr:from>
    <xdr:ext cx="4010025" cy="601980"/>
    <xdr:sp macro="" textlink="">
      <xdr:nvSpPr>
        <xdr:cNvPr id="3" name="Text Box 12">
          <a:extLst>
            <a:ext uri="{FF2B5EF4-FFF2-40B4-BE49-F238E27FC236}">
              <a16:creationId xmlns:a16="http://schemas.microsoft.com/office/drawing/2014/main" id="{00000000-0008-0000-0400-000003000000}"/>
            </a:ext>
          </a:extLst>
        </xdr:cNvPr>
        <xdr:cNvSpPr txBox="1">
          <a:spLocks noChangeArrowheads="1"/>
        </xdr:cNvSpPr>
      </xdr:nvSpPr>
      <xdr:spPr bwMode="auto">
        <a:xfrm>
          <a:off x="2409825" y="4371975"/>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22 und 66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8</xdr:col>
      <xdr:colOff>1121215</xdr:colOff>
      <xdr:row>10</xdr:row>
      <xdr:rowOff>169959</xdr:rowOff>
    </xdr:from>
    <xdr:ext cx="2340915" cy="1718475"/>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5328780" y="2961198"/>
          <a:ext cx="2340915" cy="1718475"/>
        </a:xfrm>
        <a:prstGeom prst="rect">
          <a:avLst/>
        </a:prstGeom>
        <a:solidFill>
          <a:srgbClr val="6FF141">
            <a:alpha val="8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de-AT" sz="1200" b="1" u="none" baseline="0"/>
            <a:t/>
          </a:r>
          <a:br>
            <a:rPr lang="de-AT" sz="1200" b="1" u="none" baseline="0"/>
          </a:br>
          <a:r>
            <a:rPr lang="de-AT" sz="1200" b="1" u="none" baseline="0"/>
            <a:t>Hier sollen jetzt schon die Unterrichtsgruppen in der voraussichtlichen Einteilung eingetragen </a:t>
          </a:r>
          <a:r>
            <a:rPr lang="de-AT" sz="1200" b="0" u="none" baseline="0"/>
            <a:t>und </a:t>
          </a:r>
          <a:r>
            <a:rPr lang="de-AT" sz="1100" b="0" baseline="0">
              <a:solidFill>
                <a:schemeClr val="dk1"/>
              </a:solidFill>
              <a:effectLst/>
              <a:latin typeface="+mn-lt"/>
              <a:ea typeface="+mn-ea"/>
              <a:cs typeface="+mn-cs"/>
            </a:rPr>
            <a:t>möglichst </a:t>
          </a:r>
          <a:br>
            <a:rPr lang="de-AT" sz="1100" b="0" baseline="0">
              <a:solidFill>
                <a:schemeClr val="dk1"/>
              </a:solidFill>
              <a:effectLst/>
              <a:latin typeface="+mn-lt"/>
              <a:ea typeface="+mn-ea"/>
              <a:cs typeface="+mn-cs"/>
            </a:rPr>
          </a:br>
          <a:r>
            <a:rPr lang="de-AT" sz="1100" b="0" baseline="0">
              <a:solidFill>
                <a:schemeClr val="dk1"/>
              </a:solidFill>
              <a:effectLst/>
              <a:latin typeface="+mn-lt"/>
              <a:ea typeface="+mn-ea"/>
              <a:cs typeface="+mn-cs"/>
            </a:rPr>
            <a:t>auch </a:t>
          </a:r>
          <a:r>
            <a:rPr lang="de-AT" sz="1200" b="0" u="none" baseline="0"/>
            <a:t>die eventuell vorgesehenen bzw. gewünschten Lehrpersonen namentlich angeführt werden.</a:t>
          </a:r>
        </a:p>
        <a:p>
          <a:pPr>
            <a:lnSpc>
              <a:spcPts val="1100"/>
            </a:lnSpc>
          </a:pPr>
          <a:r>
            <a:rPr lang="de-AT" sz="1200" b="0" u="none" baseline="0"/>
            <a:t> </a:t>
          </a:r>
          <a:br>
            <a:rPr lang="de-AT" sz="1200" b="0" u="none" baseline="0"/>
          </a:br>
          <a:r>
            <a:rPr lang="de-AT" sz="800" b="0" i="1" u="none" baseline="0"/>
            <a:t>Nach Anklicken kann dieses Textfeld verschoben oder entfernt werden ...</a:t>
          </a:r>
          <a:endParaRPr lang="de-AT" sz="900" b="0" i="1" u="none"/>
        </a:p>
      </xdr:txBody>
    </xdr:sp>
    <xdr:clientData fLocksWithSheet="0" fPrintsWithSheet="0"/>
  </xdr:oneCellAnchor>
  <xdr:oneCellAnchor>
    <xdr:from>
      <xdr:col>4</xdr:col>
      <xdr:colOff>198783</xdr:colOff>
      <xdr:row>19</xdr:row>
      <xdr:rowOff>207065</xdr:rowOff>
    </xdr:from>
    <xdr:ext cx="4010025" cy="601980"/>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2435087" y="5309152"/>
          <a:ext cx="4010025" cy="601980"/>
        </a:xfrm>
        <a:prstGeom prst="rect">
          <a:avLst/>
        </a:prstGeom>
        <a:solidFill>
          <a:schemeClr val="accent4">
            <a:lumMod val="40000"/>
            <a:lumOff val="60000"/>
          </a:schemeClr>
        </a:solidFill>
        <a:ln w="635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36576" tIns="27432" rIns="36576" bIns="27432" anchor="ctr" upright="1"/>
        <a:lstStyle/>
        <a:p>
          <a:pPr algn="ctr" rtl="0">
            <a:defRPr sz="1000"/>
          </a:pPr>
          <a:r>
            <a:rPr lang="de-AT" sz="1000" b="0" i="1" u="none" strike="noStrike" baseline="0">
              <a:solidFill>
                <a:srgbClr val="000000"/>
              </a:solidFill>
              <a:latin typeface="Arial"/>
              <a:cs typeface="Arial"/>
            </a:rPr>
            <a:t>wenn mehr Zeilen benötigt werden:  mit gedrückter Maustaste </a:t>
          </a:r>
          <a:br>
            <a:rPr lang="de-AT" sz="1000" b="0" i="1" u="none" strike="noStrike" baseline="0">
              <a:solidFill>
                <a:srgbClr val="000000"/>
              </a:solidFill>
              <a:latin typeface="Arial"/>
              <a:cs typeface="Arial"/>
            </a:rPr>
          </a:br>
          <a:r>
            <a:rPr lang="de-AT" sz="1000" b="0" i="1" u="none" strike="noStrike" baseline="0">
              <a:solidFill>
                <a:srgbClr val="000000"/>
              </a:solidFill>
              <a:latin typeface="Arial"/>
              <a:cs typeface="Arial"/>
            </a:rPr>
            <a:t>links die Zeilen(nummern) 20 und 34 gemeinsam markieren, </a:t>
          </a:r>
        </a:p>
        <a:p>
          <a:pPr algn="ctr" rtl="0">
            <a:defRPr sz="1000"/>
          </a:pPr>
          <a:r>
            <a:rPr lang="de-AT" sz="1000" b="0" i="1" u="none" strike="noStrike" baseline="0">
              <a:solidFill>
                <a:srgbClr val="000000"/>
              </a:solidFill>
              <a:latin typeface="Arial"/>
              <a:cs typeface="Arial"/>
            </a:rPr>
            <a:t>danach rechts Mausklicken, Einblenden auswählen</a:t>
          </a:r>
          <a:endParaRPr lang="de-AT" i="1"/>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4"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021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twoCellAnchor>
    <xdr:from>
      <xdr:col>16</xdr:col>
      <xdr:colOff>345520</xdr:colOff>
      <xdr:row>2</xdr:row>
      <xdr:rowOff>342900</xdr:rowOff>
    </xdr:from>
    <xdr:to>
      <xdr:col>16</xdr:col>
      <xdr:colOff>345556</xdr:colOff>
      <xdr:row>3</xdr:row>
      <xdr:rowOff>349</xdr:rowOff>
    </xdr:to>
    <xdr:cxnSp macro="">
      <xdr:nvCxnSpPr>
        <xdr:cNvPr id="24" name="Gerade Verbindung mit Pfeil 23"/>
        <xdr:cNvCxnSpPr/>
      </xdr:nvCxnSpPr>
      <xdr:spPr>
        <a:xfrm flipH="1">
          <a:off x="3679270" y="914400"/>
          <a:ext cx="36" cy="76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345515</xdr:colOff>
      <xdr:row>2</xdr:row>
      <xdr:rowOff>155620</xdr:rowOff>
    </xdr:from>
    <xdr:to>
      <xdr:col>16</xdr:col>
      <xdr:colOff>346529</xdr:colOff>
      <xdr:row>2</xdr:row>
      <xdr:rowOff>334618</xdr:rowOff>
    </xdr:to>
    <xdr:cxnSp macro="">
      <xdr:nvCxnSpPr>
        <xdr:cNvPr id="25" name="Gerader Verbinder 24"/>
        <xdr:cNvCxnSpPr/>
      </xdr:nvCxnSpPr>
      <xdr:spPr>
        <a:xfrm>
          <a:off x="3679265" y="727120"/>
          <a:ext cx="1014" cy="178998"/>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340482</xdr:colOff>
      <xdr:row>2</xdr:row>
      <xdr:rowOff>344097</xdr:rowOff>
    </xdr:from>
    <xdr:to>
      <xdr:col>6</xdr:col>
      <xdr:colOff>340518</xdr:colOff>
      <xdr:row>2</xdr:row>
      <xdr:rowOff>417567</xdr:rowOff>
    </xdr:to>
    <xdr:cxnSp macro="">
      <xdr:nvCxnSpPr>
        <xdr:cNvPr id="26" name="Gerade Verbindung mit Pfeil 25"/>
        <xdr:cNvCxnSpPr/>
      </xdr:nvCxnSpPr>
      <xdr:spPr>
        <a:xfrm flipH="1" flipV="1">
          <a:off x="58173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339871</xdr:colOff>
      <xdr:row>2</xdr:row>
      <xdr:rowOff>163636</xdr:rowOff>
    </xdr:from>
    <xdr:to>
      <xdr:col>6</xdr:col>
      <xdr:colOff>339929</xdr:colOff>
      <xdr:row>2</xdr:row>
      <xdr:rowOff>372196</xdr:rowOff>
    </xdr:to>
    <xdr:cxnSp macro="">
      <xdr:nvCxnSpPr>
        <xdr:cNvPr id="27" name="Gerader Verbinder 26"/>
        <xdr:cNvCxnSpPr/>
      </xdr:nvCxnSpPr>
      <xdr:spPr>
        <a:xfrm flipH="1">
          <a:off x="58167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340482</xdr:colOff>
      <xdr:row>2</xdr:row>
      <xdr:rowOff>344097</xdr:rowOff>
    </xdr:from>
    <xdr:to>
      <xdr:col>7</xdr:col>
      <xdr:colOff>340518</xdr:colOff>
      <xdr:row>2</xdr:row>
      <xdr:rowOff>417567</xdr:rowOff>
    </xdr:to>
    <xdr:cxnSp macro="">
      <xdr:nvCxnSpPr>
        <xdr:cNvPr id="28" name="Gerade Verbindung mit Pfeil 27"/>
        <xdr:cNvCxnSpPr/>
      </xdr:nvCxnSpPr>
      <xdr:spPr>
        <a:xfrm flipH="1" flipV="1">
          <a:off x="64936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339871</xdr:colOff>
      <xdr:row>2</xdr:row>
      <xdr:rowOff>163636</xdr:rowOff>
    </xdr:from>
    <xdr:to>
      <xdr:col>7</xdr:col>
      <xdr:colOff>339929</xdr:colOff>
      <xdr:row>2</xdr:row>
      <xdr:rowOff>372196</xdr:rowOff>
    </xdr:to>
    <xdr:cxnSp macro="">
      <xdr:nvCxnSpPr>
        <xdr:cNvPr id="29" name="Gerader Verbinder 28"/>
        <xdr:cNvCxnSpPr/>
      </xdr:nvCxnSpPr>
      <xdr:spPr>
        <a:xfrm flipH="1">
          <a:off x="64930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340482</xdr:colOff>
      <xdr:row>2</xdr:row>
      <xdr:rowOff>344097</xdr:rowOff>
    </xdr:from>
    <xdr:to>
      <xdr:col>8</xdr:col>
      <xdr:colOff>340518</xdr:colOff>
      <xdr:row>2</xdr:row>
      <xdr:rowOff>417567</xdr:rowOff>
    </xdr:to>
    <xdr:cxnSp macro="">
      <xdr:nvCxnSpPr>
        <xdr:cNvPr id="30" name="Gerade Verbindung mit Pfeil 29"/>
        <xdr:cNvCxnSpPr/>
      </xdr:nvCxnSpPr>
      <xdr:spPr>
        <a:xfrm flipH="1" flipV="1">
          <a:off x="71699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339871</xdr:colOff>
      <xdr:row>2</xdr:row>
      <xdr:rowOff>163636</xdr:rowOff>
    </xdr:from>
    <xdr:to>
      <xdr:col>8</xdr:col>
      <xdr:colOff>339929</xdr:colOff>
      <xdr:row>2</xdr:row>
      <xdr:rowOff>372196</xdr:rowOff>
    </xdr:to>
    <xdr:cxnSp macro="">
      <xdr:nvCxnSpPr>
        <xdr:cNvPr id="31" name="Gerader Verbinder 30"/>
        <xdr:cNvCxnSpPr/>
      </xdr:nvCxnSpPr>
      <xdr:spPr>
        <a:xfrm flipH="1">
          <a:off x="71692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340482</xdr:colOff>
      <xdr:row>2</xdr:row>
      <xdr:rowOff>344097</xdr:rowOff>
    </xdr:from>
    <xdr:to>
      <xdr:col>9</xdr:col>
      <xdr:colOff>340518</xdr:colOff>
      <xdr:row>2</xdr:row>
      <xdr:rowOff>417567</xdr:rowOff>
    </xdr:to>
    <xdr:cxnSp macro="">
      <xdr:nvCxnSpPr>
        <xdr:cNvPr id="32" name="Gerade Verbindung mit Pfeil 31"/>
        <xdr:cNvCxnSpPr/>
      </xdr:nvCxnSpPr>
      <xdr:spPr>
        <a:xfrm flipH="1" flipV="1">
          <a:off x="78461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339871</xdr:colOff>
      <xdr:row>2</xdr:row>
      <xdr:rowOff>163636</xdr:rowOff>
    </xdr:from>
    <xdr:to>
      <xdr:col>9</xdr:col>
      <xdr:colOff>339929</xdr:colOff>
      <xdr:row>2</xdr:row>
      <xdr:rowOff>372196</xdr:rowOff>
    </xdr:to>
    <xdr:cxnSp macro="">
      <xdr:nvCxnSpPr>
        <xdr:cNvPr id="33" name="Gerader Verbinder 32"/>
        <xdr:cNvCxnSpPr/>
      </xdr:nvCxnSpPr>
      <xdr:spPr>
        <a:xfrm flipH="1">
          <a:off x="78455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340482</xdr:colOff>
      <xdr:row>2</xdr:row>
      <xdr:rowOff>344097</xdr:rowOff>
    </xdr:from>
    <xdr:to>
      <xdr:col>10</xdr:col>
      <xdr:colOff>340518</xdr:colOff>
      <xdr:row>2</xdr:row>
      <xdr:rowOff>417567</xdr:rowOff>
    </xdr:to>
    <xdr:cxnSp macro="">
      <xdr:nvCxnSpPr>
        <xdr:cNvPr id="34" name="Gerade Verbindung mit Pfeil 33"/>
        <xdr:cNvCxnSpPr/>
      </xdr:nvCxnSpPr>
      <xdr:spPr>
        <a:xfrm flipH="1" flipV="1">
          <a:off x="852245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339871</xdr:colOff>
      <xdr:row>2</xdr:row>
      <xdr:rowOff>163636</xdr:rowOff>
    </xdr:from>
    <xdr:to>
      <xdr:col>10</xdr:col>
      <xdr:colOff>339929</xdr:colOff>
      <xdr:row>2</xdr:row>
      <xdr:rowOff>372196</xdr:rowOff>
    </xdr:to>
    <xdr:cxnSp macro="">
      <xdr:nvCxnSpPr>
        <xdr:cNvPr id="35" name="Gerader Verbinder 34"/>
        <xdr:cNvCxnSpPr/>
      </xdr:nvCxnSpPr>
      <xdr:spPr>
        <a:xfrm flipH="1">
          <a:off x="852184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340482</xdr:colOff>
      <xdr:row>2</xdr:row>
      <xdr:rowOff>344097</xdr:rowOff>
    </xdr:from>
    <xdr:to>
      <xdr:col>11</xdr:col>
      <xdr:colOff>340518</xdr:colOff>
      <xdr:row>2</xdr:row>
      <xdr:rowOff>417567</xdr:rowOff>
    </xdr:to>
    <xdr:cxnSp macro="">
      <xdr:nvCxnSpPr>
        <xdr:cNvPr id="36" name="Gerade Verbindung mit Pfeil 35"/>
        <xdr:cNvCxnSpPr/>
      </xdr:nvCxnSpPr>
      <xdr:spPr>
        <a:xfrm flipH="1" flipV="1">
          <a:off x="919873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339871</xdr:colOff>
      <xdr:row>2</xdr:row>
      <xdr:rowOff>163636</xdr:rowOff>
    </xdr:from>
    <xdr:to>
      <xdr:col>11</xdr:col>
      <xdr:colOff>339929</xdr:colOff>
      <xdr:row>2</xdr:row>
      <xdr:rowOff>372196</xdr:rowOff>
    </xdr:to>
    <xdr:cxnSp macro="">
      <xdr:nvCxnSpPr>
        <xdr:cNvPr id="37" name="Gerader Verbinder 36"/>
        <xdr:cNvCxnSpPr/>
      </xdr:nvCxnSpPr>
      <xdr:spPr>
        <a:xfrm flipH="1">
          <a:off x="919812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340482</xdr:colOff>
      <xdr:row>2</xdr:row>
      <xdr:rowOff>344097</xdr:rowOff>
    </xdr:from>
    <xdr:to>
      <xdr:col>12</xdr:col>
      <xdr:colOff>340518</xdr:colOff>
      <xdr:row>2</xdr:row>
      <xdr:rowOff>417567</xdr:rowOff>
    </xdr:to>
    <xdr:cxnSp macro="">
      <xdr:nvCxnSpPr>
        <xdr:cNvPr id="38" name="Gerade Verbindung mit Pfeil 37"/>
        <xdr:cNvCxnSpPr/>
      </xdr:nvCxnSpPr>
      <xdr:spPr>
        <a:xfrm flipH="1" flipV="1">
          <a:off x="9875007"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339871</xdr:colOff>
      <xdr:row>2</xdr:row>
      <xdr:rowOff>163636</xdr:rowOff>
    </xdr:from>
    <xdr:to>
      <xdr:col>12</xdr:col>
      <xdr:colOff>339929</xdr:colOff>
      <xdr:row>2</xdr:row>
      <xdr:rowOff>372196</xdr:rowOff>
    </xdr:to>
    <xdr:cxnSp macro="">
      <xdr:nvCxnSpPr>
        <xdr:cNvPr id="39" name="Gerader Verbinder 38"/>
        <xdr:cNvCxnSpPr/>
      </xdr:nvCxnSpPr>
      <xdr:spPr>
        <a:xfrm flipH="1">
          <a:off x="9874396"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14</xdr:col>
      <xdr:colOff>340482</xdr:colOff>
      <xdr:row>2</xdr:row>
      <xdr:rowOff>344097</xdr:rowOff>
    </xdr:from>
    <xdr:to>
      <xdr:col>14</xdr:col>
      <xdr:colOff>340518</xdr:colOff>
      <xdr:row>2</xdr:row>
      <xdr:rowOff>417567</xdr:rowOff>
    </xdr:to>
    <xdr:cxnSp macro="">
      <xdr:nvCxnSpPr>
        <xdr:cNvPr id="40" name="Gerade Verbindung mit Pfeil 39"/>
        <xdr:cNvCxnSpPr/>
      </xdr:nvCxnSpPr>
      <xdr:spPr>
        <a:xfrm flipH="1" flipV="1">
          <a:off x="10627482" y="915597"/>
          <a:ext cx="36" cy="734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339871</xdr:colOff>
      <xdr:row>2</xdr:row>
      <xdr:rowOff>163636</xdr:rowOff>
    </xdr:from>
    <xdr:to>
      <xdr:col>14</xdr:col>
      <xdr:colOff>339929</xdr:colOff>
      <xdr:row>2</xdr:row>
      <xdr:rowOff>372196</xdr:rowOff>
    </xdr:to>
    <xdr:cxnSp macro="">
      <xdr:nvCxnSpPr>
        <xdr:cNvPr id="41" name="Gerader Verbinder 40"/>
        <xdr:cNvCxnSpPr/>
      </xdr:nvCxnSpPr>
      <xdr:spPr>
        <a:xfrm flipH="1">
          <a:off x="10626871" y="735136"/>
          <a:ext cx="58" cy="208560"/>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339587</xdr:colOff>
      <xdr:row>2</xdr:row>
      <xdr:rowOff>140804</xdr:rowOff>
    </xdr:from>
    <xdr:to>
      <xdr:col>16</xdr:col>
      <xdr:colOff>347870</xdr:colOff>
      <xdr:row>2</xdr:row>
      <xdr:rowOff>140805</xdr:rowOff>
    </xdr:to>
    <xdr:cxnSp macro="">
      <xdr:nvCxnSpPr>
        <xdr:cNvPr id="42" name="Gerader Verbinder 41"/>
        <xdr:cNvCxnSpPr/>
      </xdr:nvCxnSpPr>
      <xdr:spPr>
        <a:xfrm flipH="1">
          <a:off x="5135217" y="712304"/>
          <a:ext cx="5648740" cy="1"/>
        </a:xfrm>
        <a:prstGeom prst="line">
          <a:avLst/>
        </a:prstGeom>
        <a:ln w="9525" cap="flat" cmpd="sng" algn="ctr">
          <a:solidFill>
            <a:schemeClr val="accent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7</xdr:col>
      <xdr:colOff>0</xdr:colOff>
      <xdr:row>3</xdr:row>
      <xdr:rowOff>9525</xdr:rowOff>
    </xdr:from>
    <xdr:ext cx="2716268" cy="313764"/>
    <xdr:sp macro="" textlink="">
      <xdr:nvSpPr>
        <xdr:cNvPr id="23" name="Text 111">
          <a:extLst>
            <a:ext uri="{FF2B5EF4-FFF2-40B4-BE49-F238E27FC236}">
              <a16:creationId xmlns:a16="http://schemas.microsoft.com/office/drawing/2014/main" id="{45783DCE-77DE-46D9-BC69-9926AB884924}"/>
            </a:ext>
          </a:extLst>
        </xdr:cNvPr>
        <xdr:cNvSpPr txBox="1">
          <a:spLocks noChangeArrowheads="1"/>
        </xdr:cNvSpPr>
      </xdr:nvSpPr>
      <xdr:spPr bwMode="auto">
        <a:xfrm>
          <a:off x="5457825" y="1000125"/>
          <a:ext cx="2716268" cy="31376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100" b="1" i="0" u="none" strike="noStrike" baseline="0">
              <a:solidFill>
                <a:srgbClr val="000000"/>
              </a:solidFill>
              <a:latin typeface="+mn-lt"/>
              <a:cs typeface="Arial"/>
            </a:rPr>
            <a:t>Anzahl der Stunden in</a:t>
          </a:r>
          <a:endParaRPr lang="de-AT" sz="1100" b="1">
            <a:latin typeface="+mn-l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45720</xdr:colOff>
      <xdr:row>51</xdr:row>
      <xdr:rowOff>0</xdr:rowOff>
    </xdr:from>
    <xdr:to>
      <xdr:col>1</xdr:col>
      <xdr:colOff>0</xdr:colOff>
      <xdr:row>51</xdr:row>
      <xdr:rowOff>0</xdr:rowOff>
    </xdr:to>
    <xdr:sp macro="" textlink="">
      <xdr:nvSpPr>
        <xdr:cNvPr id="3" name="Text 101">
          <a:extLst>
            <a:ext uri="{FF2B5EF4-FFF2-40B4-BE49-F238E27FC236}">
              <a16:creationId xmlns:a16="http://schemas.microsoft.com/office/drawing/2014/main" id="{87F18885-550A-4220-AA53-A162105EACAA}"/>
            </a:ext>
          </a:extLst>
        </xdr:cNvPr>
        <xdr:cNvSpPr txBox="1">
          <a:spLocks noChangeArrowheads="1"/>
        </xdr:cNvSpPr>
      </xdr:nvSpPr>
      <xdr:spPr bwMode="auto">
        <a:xfrm>
          <a:off x="45720" y="16840200"/>
          <a:ext cx="164973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de-AT" sz="600" b="0" i="0" u="none" strike="noStrike" baseline="0">
              <a:solidFill>
                <a:srgbClr val="000000"/>
              </a:solidFill>
              <a:latin typeface="Arial"/>
              <a:cs typeface="Arial"/>
            </a:rPr>
            <a:t>[ Anzahl bzw. allfälligen Namensvorschlag angeben !! ] </a:t>
          </a:r>
          <a:endParaRPr lang="de-AT"/>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39</xdr:row>
      <xdr:rowOff>0</xdr:rowOff>
    </xdr:from>
    <xdr:to>
      <xdr:col>1</xdr:col>
      <xdr:colOff>137160</xdr:colOff>
      <xdr:row>39</xdr:row>
      <xdr:rowOff>0</xdr:rowOff>
    </xdr:to>
    <xdr:sp macro="" textlink="">
      <xdr:nvSpPr>
        <xdr:cNvPr id="2" name="Text 96">
          <a:extLst>
            <a:ext uri="{FF2B5EF4-FFF2-40B4-BE49-F238E27FC236}">
              <a16:creationId xmlns:a16="http://schemas.microsoft.com/office/drawing/2014/main" id="{90B5F721-68AC-4109-B91F-3FA87D5CBB00}"/>
            </a:ext>
          </a:extLst>
        </xdr:cNvPr>
        <xdr:cNvSpPr txBox="1">
          <a:spLocks noChangeArrowheads="1"/>
        </xdr:cNvSpPr>
      </xdr:nvSpPr>
      <xdr:spPr bwMode="auto">
        <a:xfrm>
          <a:off x="38100" y="13639800"/>
          <a:ext cx="32766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de-AT" sz="600" b="0" i="0" u="none" strike="noStrike" baseline="0">
              <a:solidFill>
                <a:srgbClr val="000000"/>
              </a:solidFill>
              <a:latin typeface="Arial"/>
              <a:cs typeface="Arial"/>
            </a:rPr>
            <a:t>Leiter:</a:t>
          </a:r>
          <a:endParaRPr lang="de-AT"/>
        </a:p>
      </xdr:txBody>
    </xdr:sp>
    <xdr:clientData/>
  </xdr:twoCellAnchor>
  <xdr:twoCellAnchor>
    <xdr:from>
      <xdr:col>8</xdr:col>
      <xdr:colOff>162999</xdr:colOff>
      <xdr:row>3</xdr:row>
      <xdr:rowOff>19050</xdr:rowOff>
    </xdr:from>
    <xdr:to>
      <xdr:col>9</xdr:col>
      <xdr:colOff>744025</xdr:colOff>
      <xdr:row>3</xdr:row>
      <xdr:rowOff>895350</xdr:rowOff>
    </xdr:to>
    <xdr:sp macro="" textlink="">
      <xdr:nvSpPr>
        <xdr:cNvPr id="3" name="Text 111">
          <a:extLst>
            <a:ext uri="{FF2B5EF4-FFF2-40B4-BE49-F238E27FC236}">
              <a16:creationId xmlns:a16="http://schemas.microsoft.com/office/drawing/2014/main" id="{8E6C7718-6AD2-48D7-AC70-7F6936155E06}"/>
            </a:ext>
          </a:extLst>
        </xdr:cNvPr>
        <xdr:cNvSpPr txBox="1">
          <a:spLocks noChangeArrowheads="1"/>
        </xdr:cNvSpPr>
      </xdr:nvSpPr>
      <xdr:spPr bwMode="auto">
        <a:xfrm>
          <a:off x="8002074" y="1228725"/>
          <a:ext cx="1581151" cy="8763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27432" anchor="ctr" upright="1"/>
        <a:lstStyle/>
        <a:p>
          <a:pPr algn="ctr" rtl="0">
            <a:defRPr sz="1000"/>
          </a:pPr>
          <a:r>
            <a:rPr lang="de-AT" sz="1000" b="1" i="0" u="none" strike="noStrike" baseline="0">
              <a:solidFill>
                <a:srgbClr val="000000"/>
              </a:solidFill>
              <a:latin typeface="Arial"/>
              <a:cs typeface="Arial"/>
            </a:rPr>
            <a:t>sonstiger </a:t>
          </a:r>
          <a:r>
            <a:rPr lang="de-AT" sz="1000" b="0" i="0" u="none" strike="noStrike" baseline="0">
              <a:solidFill>
                <a:srgbClr val="000000"/>
              </a:solidFill>
              <a:latin typeface="Arial"/>
              <a:cs typeface="Arial"/>
            </a:rPr>
            <a:t>Unterricht</a:t>
          </a:r>
          <a:endParaRPr lang="de-AT"/>
        </a:p>
      </xdr:txBody>
    </xdr:sp>
    <xdr:clientData/>
  </xdr:twoCellAnchor>
  <xdr:oneCellAnchor>
    <xdr:from>
      <xdr:col>0</xdr:col>
      <xdr:colOff>37111</xdr:colOff>
      <xdr:row>37</xdr:row>
      <xdr:rowOff>257404</xdr:rowOff>
    </xdr:from>
    <xdr:ext cx="1407565" cy="342786"/>
    <xdr:sp macro="" textlink="">
      <xdr:nvSpPr>
        <xdr:cNvPr id="4" name="Textfeld 3">
          <a:extLst>
            <a:ext uri="{FF2B5EF4-FFF2-40B4-BE49-F238E27FC236}">
              <a16:creationId xmlns:a16="http://schemas.microsoft.com/office/drawing/2014/main" id="{232F3062-16B9-4C14-8155-263DD31A0BFD}"/>
            </a:ext>
          </a:extLst>
        </xdr:cNvPr>
        <xdr:cNvSpPr txBox="1"/>
      </xdr:nvSpPr>
      <xdr:spPr>
        <a:xfrm>
          <a:off x="37111" y="12868504"/>
          <a:ext cx="1407565" cy="342786"/>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de-AT" sz="1600" i="1" u="sng"/>
            <a:t>Anmerkungen:</a:t>
          </a: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2</xdr:col>
      <xdr:colOff>714375</xdr:colOff>
      <xdr:row>5</xdr:row>
      <xdr:rowOff>38100</xdr:rowOff>
    </xdr:from>
    <xdr:ext cx="2733675" cy="436786"/>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228725" y="1104900"/>
          <a:ext cx="2733675" cy="43678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de-AT" sz="1100"/>
            <a:t> blau in Spalte D  = anders zum</a:t>
          </a:r>
          <a:r>
            <a:rPr lang="de-AT" sz="1100" baseline="0"/>
            <a:t> Schulstart</a:t>
          </a:r>
        </a:p>
        <a:p>
          <a:r>
            <a:rPr lang="de-AT" sz="1100" baseline="0"/>
            <a:t> gelb in Spalte E  = jährlich prüfen/anpassen</a:t>
          </a:r>
          <a:endParaRPr lang="de-AT"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2.vobs.at/ftp-pub/allgemein/formulare/GTS.PDF"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bildung-vbg.gv.at/unterricht/paedagogische-themen/Erstsprachenunterricht.html" TargetMode="External"/><Relationship Id="rId1" Type="http://schemas.openxmlformats.org/officeDocument/2006/relationships/hyperlink" Target="mailto:mustafa.can@bildung-vbg.gv.at"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1">
    <tabColor rgb="FF7030A0"/>
    <pageSetUpPr fitToPage="1"/>
  </sheetPr>
  <dimension ref="A1:Y409"/>
  <sheetViews>
    <sheetView zoomScaleNormal="100" workbookViewId="0">
      <pane ySplit="2" topLeftCell="A3" activePane="bottomLeft" state="frozen"/>
      <selection activeCell="A2" sqref="A2"/>
      <selection pane="bottomLeft" activeCell="C7" sqref="C7"/>
    </sheetView>
  </sheetViews>
  <sheetFormatPr baseColWidth="10" defaultColWidth="11.42578125" defaultRowHeight="15" x14ac:dyDescent="0.25"/>
  <cols>
    <col min="1" max="1" width="9.140625" style="8" bestFit="1" customWidth="1"/>
    <col min="2" max="2" width="19" style="23" customWidth="1"/>
    <col min="3" max="3" width="7" style="8" bestFit="1" customWidth="1"/>
    <col min="4" max="4" width="49.85546875" style="8" customWidth="1"/>
    <col min="5" max="5" width="8.5703125" style="8" bestFit="1" customWidth="1"/>
    <col min="6" max="6" width="6.5703125" style="8" customWidth="1"/>
    <col min="7" max="7" width="9.5703125" style="8" bestFit="1" customWidth="1"/>
    <col min="8" max="8" width="13" style="8" bestFit="1" customWidth="1"/>
    <col min="9" max="9" width="9.7109375" style="8" bestFit="1" customWidth="1"/>
    <col min="10" max="10" width="9.7109375" style="8" customWidth="1"/>
    <col min="11" max="11" width="31.7109375" style="8" customWidth="1"/>
    <col min="12" max="12" width="15.28515625" style="8" bestFit="1" customWidth="1"/>
    <col min="13" max="15" width="9.7109375" style="8" customWidth="1"/>
    <col min="16" max="17" width="7.85546875" style="8" customWidth="1"/>
    <col min="18" max="18" width="9.7109375" style="8" customWidth="1"/>
    <col min="19" max="22" width="11.42578125" style="8"/>
    <col min="23" max="23" width="21.5703125" style="8" bestFit="1" customWidth="1"/>
    <col min="24" max="16384" width="11.42578125" style="8"/>
  </cols>
  <sheetData>
    <row r="1" spans="1:25" ht="18.75" x14ac:dyDescent="0.3">
      <c r="B1" s="9" t="s">
        <v>10</v>
      </c>
      <c r="D1" s="10">
        <f>SUBTOTAL(103,D4:D223)</f>
        <v>220</v>
      </c>
      <c r="F1" s="11">
        <f>SUBTOTAL(101,F4:F223)</f>
        <v>116.13705457992583</v>
      </c>
      <c r="Q1" s="33" t="s">
        <v>442</v>
      </c>
      <c r="R1" s="36">
        <v>105</v>
      </c>
      <c r="S1" s="762" t="s">
        <v>977</v>
      </c>
      <c r="Y1" s="125" t="s">
        <v>739</v>
      </c>
    </row>
    <row r="2" spans="1:25" ht="29.25" customHeight="1" x14ac:dyDescent="0.25">
      <c r="A2" s="12" t="s">
        <v>11</v>
      </c>
      <c r="B2" s="12"/>
      <c r="C2" s="12" t="s">
        <v>0</v>
      </c>
      <c r="D2" s="12" t="s">
        <v>12</v>
      </c>
      <c r="E2" s="13" t="s">
        <v>13</v>
      </c>
      <c r="F2" s="14" t="s">
        <v>2</v>
      </c>
      <c r="G2" s="12" t="s">
        <v>14</v>
      </c>
      <c r="H2" s="13" t="s">
        <v>15</v>
      </c>
      <c r="I2" s="12" t="s">
        <v>16</v>
      </c>
      <c r="J2" s="13" t="s">
        <v>854</v>
      </c>
      <c r="K2" s="13" t="s">
        <v>848</v>
      </c>
      <c r="L2" s="12" t="s">
        <v>849</v>
      </c>
      <c r="M2" s="12" t="s">
        <v>850</v>
      </c>
      <c r="N2" s="13" t="s">
        <v>851</v>
      </c>
      <c r="O2" s="13" t="s">
        <v>852</v>
      </c>
      <c r="Q2" s="35" t="s">
        <v>443</v>
      </c>
      <c r="R2" s="34">
        <v>6.4999999999999997E-3</v>
      </c>
    </row>
    <row r="3" spans="1:25" x14ac:dyDescent="0.25">
      <c r="A3" s="8" t="s">
        <v>17</v>
      </c>
      <c r="B3" s="15">
        <v>0</v>
      </c>
      <c r="C3" s="8">
        <v>0</v>
      </c>
      <c r="D3" s="8">
        <v>0</v>
      </c>
      <c r="E3" s="8">
        <v>0</v>
      </c>
      <c r="F3" s="16">
        <v>0</v>
      </c>
      <c r="G3" s="8">
        <v>0</v>
      </c>
      <c r="H3" s="8">
        <v>0</v>
      </c>
      <c r="I3" s="8" t="s">
        <v>18</v>
      </c>
    </row>
    <row r="4" spans="1:25" x14ac:dyDescent="0.25">
      <c r="A4" s="8" t="s">
        <v>17</v>
      </c>
      <c r="B4" s="15" t="s">
        <v>19</v>
      </c>
      <c r="C4" s="8">
        <v>801011</v>
      </c>
      <c r="D4" s="8" t="s">
        <v>20</v>
      </c>
      <c r="E4" s="8">
        <v>68</v>
      </c>
      <c r="F4" s="16">
        <v>103.86967000937599</v>
      </c>
      <c r="G4" s="8" t="s">
        <v>21</v>
      </c>
      <c r="H4" s="8" t="s">
        <v>20</v>
      </c>
      <c r="I4" s="8" t="s">
        <v>18</v>
      </c>
      <c r="J4" s="8" t="s">
        <v>853</v>
      </c>
      <c r="K4" s="8" t="s">
        <v>19</v>
      </c>
      <c r="M4" s="8" t="s">
        <v>24</v>
      </c>
    </row>
    <row r="5" spans="1:25" x14ac:dyDescent="0.25">
      <c r="A5" s="8" t="s">
        <v>17</v>
      </c>
      <c r="B5" s="15" t="s">
        <v>19</v>
      </c>
      <c r="C5" s="8">
        <v>801021</v>
      </c>
      <c r="D5" s="8" t="s">
        <v>22</v>
      </c>
      <c r="E5" s="8">
        <v>47</v>
      </c>
      <c r="F5" s="16">
        <v>118.012382655452</v>
      </c>
      <c r="G5" s="8" t="s">
        <v>23</v>
      </c>
      <c r="H5" s="8" t="s">
        <v>20</v>
      </c>
      <c r="I5" s="8" t="s">
        <v>18</v>
      </c>
      <c r="J5" s="8" t="s">
        <v>853</v>
      </c>
      <c r="K5" s="8" t="s">
        <v>856</v>
      </c>
      <c r="M5" s="8" t="s">
        <v>24</v>
      </c>
    </row>
    <row r="6" spans="1:25" x14ac:dyDescent="0.25">
      <c r="A6" s="8" t="s">
        <v>17</v>
      </c>
      <c r="B6" s="15" t="s">
        <v>24</v>
      </c>
      <c r="C6" s="8">
        <v>801022</v>
      </c>
      <c r="D6" s="8" t="s">
        <v>25</v>
      </c>
      <c r="E6" s="8">
        <v>285</v>
      </c>
      <c r="F6" s="16">
        <v>146.05941249530099</v>
      </c>
      <c r="G6" s="8" t="s">
        <v>26</v>
      </c>
      <c r="H6" s="8" t="s">
        <v>27</v>
      </c>
      <c r="I6" s="8" t="s">
        <v>18</v>
      </c>
      <c r="J6" s="8" t="s">
        <v>857</v>
      </c>
      <c r="K6" s="8" t="s">
        <v>24</v>
      </c>
      <c r="M6" s="8" t="s">
        <v>24</v>
      </c>
    </row>
    <row r="7" spans="1:25" x14ac:dyDescent="0.25">
      <c r="A7" s="8" t="s">
        <v>17</v>
      </c>
      <c r="B7" s="15" t="s">
        <v>28</v>
      </c>
      <c r="C7" s="8">
        <v>801032</v>
      </c>
      <c r="D7" s="8" t="s">
        <v>29</v>
      </c>
      <c r="E7" s="8">
        <v>323</v>
      </c>
      <c r="F7" s="16">
        <v>117.18169856855999</v>
      </c>
      <c r="G7" s="8" t="s">
        <v>23</v>
      </c>
      <c r="H7" s="8" t="s">
        <v>27</v>
      </c>
      <c r="I7" s="8" t="s">
        <v>18</v>
      </c>
      <c r="J7" s="745" t="s">
        <v>857</v>
      </c>
      <c r="K7" s="746" t="s">
        <v>28</v>
      </c>
      <c r="L7" s="745"/>
      <c r="M7" s="745" t="s">
        <v>24</v>
      </c>
    </row>
    <row r="8" spans="1:25" x14ac:dyDescent="0.25">
      <c r="A8" s="8" t="s">
        <v>17</v>
      </c>
      <c r="B8" s="15" t="s">
        <v>30</v>
      </c>
      <c r="C8" s="8">
        <v>801042</v>
      </c>
      <c r="D8" s="8" t="s">
        <v>31</v>
      </c>
      <c r="E8" s="8">
        <v>188</v>
      </c>
      <c r="F8" s="16">
        <v>110.956961639509</v>
      </c>
      <c r="G8" s="8" t="s">
        <v>21</v>
      </c>
      <c r="H8" s="8" t="s">
        <v>27</v>
      </c>
      <c r="I8" s="8" t="s">
        <v>18</v>
      </c>
      <c r="J8" s="8" t="s">
        <v>857</v>
      </c>
      <c r="K8" s="8" t="s">
        <v>858</v>
      </c>
      <c r="M8" s="8" t="s">
        <v>24</v>
      </c>
    </row>
    <row r="9" spans="1:25" x14ac:dyDescent="0.25">
      <c r="A9" s="8" t="s">
        <v>17</v>
      </c>
      <c r="B9" s="15" t="s">
        <v>32</v>
      </c>
      <c r="C9" s="8">
        <v>801051</v>
      </c>
      <c r="D9" s="8" t="s">
        <v>20</v>
      </c>
      <c r="E9" s="8">
        <v>14</v>
      </c>
      <c r="F9" s="16">
        <v>108.627327533578</v>
      </c>
      <c r="G9" s="8" t="s">
        <v>21</v>
      </c>
      <c r="H9" s="8" t="s">
        <v>20</v>
      </c>
      <c r="I9" s="8" t="s">
        <v>18</v>
      </c>
      <c r="J9" s="8" t="s">
        <v>853</v>
      </c>
      <c r="K9" s="8" t="s">
        <v>32</v>
      </c>
      <c r="M9" s="8" t="s">
        <v>24</v>
      </c>
    </row>
    <row r="10" spans="1:25" x14ac:dyDescent="0.25">
      <c r="A10" s="8" t="s">
        <v>17</v>
      </c>
      <c r="B10" s="15" t="s">
        <v>33</v>
      </c>
      <c r="C10" s="8">
        <v>801052</v>
      </c>
      <c r="D10" s="8" t="s">
        <v>29</v>
      </c>
      <c r="E10" s="8">
        <v>362</v>
      </c>
      <c r="F10" s="16">
        <v>110.482969966588</v>
      </c>
      <c r="G10" s="8" t="s">
        <v>21</v>
      </c>
      <c r="H10" s="8" t="s">
        <v>27</v>
      </c>
      <c r="I10" s="8" t="s">
        <v>18</v>
      </c>
      <c r="J10" s="8" t="s">
        <v>857</v>
      </c>
      <c r="K10" s="8" t="s">
        <v>33</v>
      </c>
      <c r="M10" s="8" t="s">
        <v>24</v>
      </c>
    </row>
    <row r="11" spans="1:25" x14ac:dyDescent="0.25">
      <c r="A11" s="8" t="s">
        <v>17</v>
      </c>
      <c r="B11" s="15" t="s">
        <v>34</v>
      </c>
      <c r="C11" s="8">
        <v>801062</v>
      </c>
      <c r="D11" s="8" t="s">
        <v>29</v>
      </c>
      <c r="E11" s="8">
        <v>276</v>
      </c>
      <c r="F11" s="16">
        <v>117.25280100433</v>
      </c>
      <c r="G11" s="8" t="s">
        <v>23</v>
      </c>
      <c r="H11" s="8" t="s">
        <v>27</v>
      </c>
      <c r="I11" s="8" t="s">
        <v>18</v>
      </c>
      <c r="J11" s="745" t="s">
        <v>857</v>
      </c>
      <c r="K11" s="746" t="s">
        <v>34</v>
      </c>
      <c r="L11" s="746"/>
      <c r="M11" s="745" t="s">
        <v>24</v>
      </c>
    </row>
    <row r="12" spans="1:25" x14ac:dyDescent="0.25">
      <c r="A12" s="8" t="s">
        <v>17</v>
      </c>
      <c r="B12" s="15" t="s">
        <v>24</v>
      </c>
      <c r="C12" s="8">
        <v>801071</v>
      </c>
      <c r="D12" s="8" t="s">
        <v>35</v>
      </c>
      <c r="E12" s="8">
        <v>253</v>
      </c>
      <c r="F12" s="16">
        <v>138.649017269681</v>
      </c>
      <c r="G12" s="8" t="s">
        <v>26</v>
      </c>
      <c r="H12" s="8" t="s">
        <v>20</v>
      </c>
      <c r="I12" s="8" t="s">
        <v>18</v>
      </c>
      <c r="J12" s="8" t="s">
        <v>853</v>
      </c>
      <c r="K12" s="8" t="s">
        <v>859</v>
      </c>
      <c r="M12" s="8" t="s">
        <v>24</v>
      </c>
      <c r="N12" s="747">
        <v>-0.5</v>
      </c>
    </row>
    <row r="13" spans="1:25" x14ac:dyDescent="0.25">
      <c r="A13" s="8" t="s">
        <v>17</v>
      </c>
      <c r="B13" s="15" t="s">
        <v>36</v>
      </c>
      <c r="C13" s="8">
        <v>801072</v>
      </c>
      <c r="D13" s="8" t="s">
        <v>37</v>
      </c>
      <c r="E13" s="8">
        <v>90</v>
      </c>
      <c r="F13" s="16">
        <v>109.61048837888301</v>
      </c>
      <c r="G13" s="8" t="s">
        <v>21</v>
      </c>
      <c r="H13" s="8" t="s">
        <v>27</v>
      </c>
      <c r="I13" s="8" t="s">
        <v>18</v>
      </c>
      <c r="J13" s="745" t="s">
        <v>857</v>
      </c>
      <c r="K13" s="748" t="s">
        <v>860</v>
      </c>
      <c r="L13" s="748"/>
      <c r="M13" s="745" t="s">
        <v>24</v>
      </c>
    </row>
    <row r="14" spans="1:25" x14ac:dyDescent="0.25">
      <c r="A14" s="8" t="s">
        <v>17</v>
      </c>
      <c r="B14" s="15" t="s">
        <v>24</v>
      </c>
      <c r="C14" s="8">
        <v>801081</v>
      </c>
      <c r="D14" s="8" t="s">
        <v>38</v>
      </c>
      <c r="E14" s="8">
        <v>147</v>
      </c>
      <c r="F14" s="16">
        <v>120.482690684801</v>
      </c>
      <c r="G14" s="8" t="s">
        <v>23</v>
      </c>
      <c r="H14" s="8" t="s">
        <v>20</v>
      </c>
      <c r="I14" s="8" t="s">
        <v>18</v>
      </c>
      <c r="J14" s="8" t="s">
        <v>853</v>
      </c>
      <c r="K14" s="8" t="s">
        <v>861</v>
      </c>
      <c r="M14" s="8" t="s">
        <v>24</v>
      </c>
      <c r="N14" s="747">
        <v>-0.5</v>
      </c>
    </row>
    <row r="15" spans="1:25" x14ac:dyDescent="0.25">
      <c r="A15" s="8" t="s">
        <v>17</v>
      </c>
      <c r="B15" s="15" t="s">
        <v>39</v>
      </c>
      <c r="C15" s="8">
        <v>801082</v>
      </c>
      <c r="D15" s="8" t="s">
        <v>29</v>
      </c>
      <c r="E15" s="8">
        <v>39</v>
      </c>
      <c r="F15" s="16">
        <v>118.574102068684</v>
      </c>
      <c r="G15" s="8" t="s">
        <v>23</v>
      </c>
      <c r="H15" s="8" t="s">
        <v>27</v>
      </c>
      <c r="I15" s="8" t="s">
        <v>18</v>
      </c>
      <c r="J15" s="8" t="s">
        <v>857</v>
      </c>
      <c r="K15" s="8" t="s">
        <v>39</v>
      </c>
      <c r="M15" s="8" t="s">
        <v>24</v>
      </c>
    </row>
    <row r="16" spans="1:25" x14ac:dyDescent="0.25">
      <c r="A16" s="8" t="s">
        <v>17</v>
      </c>
      <c r="B16" s="15" t="s">
        <v>24</v>
      </c>
      <c r="C16" s="749">
        <v>801091</v>
      </c>
      <c r="D16" s="8" t="s">
        <v>40</v>
      </c>
      <c r="E16" s="8">
        <v>131</v>
      </c>
      <c r="F16" s="16">
        <v>135.58779022828199</v>
      </c>
      <c r="G16" s="8" t="s">
        <v>26</v>
      </c>
      <c r="H16" s="8" t="s">
        <v>20</v>
      </c>
      <c r="I16" s="8" t="s">
        <v>18</v>
      </c>
      <c r="J16" s="745" t="s">
        <v>853</v>
      </c>
      <c r="K16" s="746" t="s">
        <v>862</v>
      </c>
      <c r="L16" s="745"/>
      <c r="M16" s="745" t="s">
        <v>24</v>
      </c>
      <c r="N16" s="747">
        <v>-0.5</v>
      </c>
    </row>
    <row r="17" spans="1:14" x14ac:dyDescent="0.25">
      <c r="A17" s="8" t="s">
        <v>17</v>
      </c>
      <c r="B17" s="15" t="s">
        <v>41</v>
      </c>
      <c r="C17" s="8">
        <v>801092</v>
      </c>
      <c r="D17" s="8" t="s">
        <v>42</v>
      </c>
      <c r="E17" s="8">
        <v>175</v>
      </c>
      <c r="F17" s="16">
        <v>108.74841587288</v>
      </c>
      <c r="G17" s="8" t="s">
        <v>21</v>
      </c>
      <c r="H17" s="8" t="s">
        <v>27</v>
      </c>
      <c r="I17" s="8" t="s">
        <v>18</v>
      </c>
      <c r="J17" s="745" t="s">
        <v>857</v>
      </c>
      <c r="K17" s="745" t="s">
        <v>863</v>
      </c>
      <c r="L17" s="745"/>
      <c r="M17" s="745" t="s">
        <v>24</v>
      </c>
    </row>
    <row r="18" spans="1:14" x14ac:dyDescent="0.25">
      <c r="A18" s="8" t="s">
        <v>17</v>
      </c>
      <c r="B18" s="15" t="s">
        <v>41</v>
      </c>
      <c r="C18" s="8">
        <v>801101</v>
      </c>
      <c r="D18" s="8" t="s">
        <v>20</v>
      </c>
      <c r="E18" s="8">
        <v>32</v>
      </c>
      <c r="F18" s="16">
        <v>115.931619623656</v>
      </c>
      <c r="G18" s="8" t="s">
        <v>23</v>
      </c>
      <c r="H18" s="8" t="s">
        <v>20</v>
      </c>
      <c r="I18" s="8" t="s">
        <v>18</v>
      </c>
      <c r="J18" s="745" t="s">
        <v>853</v>
      </c>
      <c r="K18" s="746" t="s">
        <v>864</v>
      </c>
      <c r="L18" s="745"/>
      <c r="M18" s="745" t="s">
        <v>24</v>
      </c>
      <c r="N18" s="747">
        <v>-0.5</v>
      </c>
    </row>
    <row r="19" spans="1:14" x14ac:dyDescent="0.25">
      <c r="A19" s="8" t="s">
        <v>17</v>
      </c>
      <c r="B19" s="15" t="s">
        <v>30</v>
      </c>
      <c r="C19" s="8">
        <v>801102</v>
      </c>
      <c r="D19" s="8" t="s">
        <v>43</v>
      </c>
      <c r="E19" s="8">
        <v>208</v>
      </c>
      <c r="F19" s="16">
        <v>111.86557704984899</v>
      </c>
      <c r="G19" s="8" t="s">
        <v>21</v>
      </c>
      <c r="H19" s="8" t="s">
        <v>27</v>
      </c>
      <c r="I19" s="8" t="s">
        <v>18</v>
      </c>
      <c r="J19" s="8" t="s">
        <v>857</v>
      </c>
      <c r="K19" s="8" t="s">
        <v>865</v>
      </c>
      <c r="M19" s="8" t="s">
        <v>24</v>
      </c>
    </row>
    <row r="20" spans="1:14" x14ac:dyDescent="0.25">
      <c r="A20" s="8" t="s">
        <v>17</v>
      </c>
      <c r="B20" s="15" t="s">
        <v>24</v>
      </c>
      <c r="C20" s="8">
        <v>801111</v>
      </c>
      <c r="D20" s="8" t="s">
        <v>44</v>
      </c>
      <c r="E20" s="8">
        <v>42</v>
      </c>
      <c r="F20" s="16">
        <v>115.96115689865699</v>
      </c>
      <c r="G20" s="8" t="s">
        <v>23</v>
      </c>
      <c r="H20" s="8" t="s">
        <v>20</v>
      </c>
      <c r="I20" s="8" t="s">
        <v>18</v>
      </c>
      <c r="J20" s="8" t="s">
        <v>853</v>
      </c>
      <c r="K20" s="8" t="s">
        <v>866</v>
      </c>
      <c r="M20" s="8" t="s">
        <v>24</v>
      </c>
      <c r="N20" s="747">
        <v>-0.5</v>
      </c>
    </row>
    <row r="21" spans="1:14" x14ac:dyDescent="0.25">
      <c r="A21" s="8" t="s">
        <v>17</v>
      </c>
      <c r="B21" s="15" t="s">
        <v>45</v>
      </c>
      <c r="C21" s="8">
        <v>801112</v>
      </c>
      <c r="D21" s="8" t="s">
        <v>29</v>
      </c>
      <c r="E21" s="8">
        <v>181</v>
      </c>
      <c r="F21" s="16">
        <v>120.041304620204</v>
      </c>
      <c r="G21" s="8" t="s">
        <v>23</v>
      </c>
      <c r="H21" s="8" t="s">
        <v>27</v>
      </c>
      <c r="I21" s="8" t="s">
        <v>18</v>
      </c>
      <c r="J21" s="8" t="s">
        <v>857</v>
      </c>
      <c r="K21" s="8" t="s">
        <v>45</v>
      </c>
      <c r="M21" s="8" t="s">
        <v>24</v>
      </c>
    </row>
    <row r="22" spans="1:14" x14ac:dyDescent="0.25">
      <c r="A22" s="8" t="s">
        <v>17</v>
      </c>
      <c r="B22" s="15" t="s">
        <v>46</v>
      </c>
      <c r="C22" s="8">
        <v>801121</v>
      </c>
      <c r="D22" s="8" t="s">
        <v>20</v>
      </c>
      <c r="E22" s="8">
        <v>115</v>
      </c>
      <c r="F22" s="16">
        <v>127.987931396051</v>
      </c>
      <c r="G22" s="8" t="s">
        <v>47</v>
      </c>
      <c r="H22" s="8" t="s">
        <v>20</v>
      </c>
      <c r="I22" s="8" t="s">
        <v>18</v>
      </c>
      <c r="J22" s="8" t="s">
        <v>853</v>
      </c>
      <c r="K22" s="8" t="s">
        <v>46</v>
      </c>
      <c r="M22" s="8" t="s">
        <v>24</v>
      </c>
    </row>
    <row r="23" spans="1:14" x14ac:dyDescent="0.25">
      <c r="A23" s="8" t="s">
        <v>17</v>
      </c>
      <c r="B23" s="15" t="s">
        <v>32</v>
      </c>
      <c r="C23" s="8">
        <v>801122</v>
      </c>
      <c r="D23" s="8" t="s">
        <v>48</v>
      </c>
      <c r="E23" s="8">
        <v>97</v>
      </c>
      <c r="F23" s="16">
        <v>109.24795286257201</v>
      </c>
      <c r="G23" s="8" t="s">
        <v>21</v>
      </c>
      <c r="H23" s="8" t="s">
        <v>27</v>
      </c>
      <c r="I23" s="8" t="s">
        <v>18</v>
      </c>
      <c r="J23" s="745" t="s">
        <v>857</v>
      </c>
      <c r="K23" s="745" t="s">
        <v>867</v>
      </c>
      <c r="L23" s="745"/>
      <c r="M23" s="745" t="s">
        <v>24</v>
      </c>
    </row>
    <row r="24" spans="1:14" x14ac:dyDescent="0.25">
      <c r="A24" s="8" t="s">
        <v>17</v>
      </c>
      <c r="B24" s="15" t="s">
        <v>49</v>
      </c>
      <c r="C24" s="8">
        <v>801131</v>
      </c>
      <c r="D24" s="8" t="s">
        <v>50</v>
      </c>
      <c r="E24" s="8">
        <v>23</v>
      </c>
      <c r="F24" s="16">
        <v>108.051763453937</v>
      </c>
      <c r="G24" s="8" t="s">
        <v>21</v>
      </c>
      <c r="H24" s="8" t="s">
        <v>20</v>
      </c>
      <c r="I24" s="8" t="s">
        <v>18</v>
      </c>
      <c r="J24" s="8" t="s">
        <v>853</v>
      </c>
      <c r="K24" s="8" t="s">
        <v>868</v>
      </c>
      <c r="M24" s="8" t="s">
        <v>24</v>
      </c>
      <c r="N24" s="747">
        <v>-0.5</v>
      </c>
    </row>
    <row r="25" spans="1:14" x14ac:dyDescent="0.25">
      <c r="B25" s="15" t="s">
        <v>51</v>
      </c>
      <c r="C25" s="17">
        <v>801132</v>
      </c>
      <c r="D25" s="18" t="s">
        <v>52</v>
      </c>
      <c r="E25" s="17">
        <v>0</v>
      </c>
      <c r="F25" s="19">
        <v>108</v>
      </c>
      <c r="G25" s="17" t="s">
        <v>272</v>
      </c>
      <c r="H25" s="17" t="s">
        <v>27</v>
      </c>
      <c r="I25" s="8" t="s">
        <v>53</v>
      </c>
      <c r="J25" s="746" t="s">
        <v>869</v>
      </c>
      <c r="K25" s="746" t="s">
        <v>870</v>
      </c>
      <c r="L25" s="746"/>
      <c r="M25" s="745" t="s">
        <v>24</v>
      </c>
    </row>
    <row r="26" spans="1:14" x14ac:dyDescent="0.25">
      <c r="A26" s="8" t="s">
        <v>17</v>
      </c>
      <c r="B26" s="15" t="s">
        <v>45</v>
      </c>
      <c r="C26" s="8">
        <v>801141</v>
      </c>
      <c r="D26" s="750" t="s">
        <v>20</v>
      </c>
      <c r="E26" s="8">
        <v>135</v>
      </c>
      <c r="F26" s="16">
        <v>125.78800277401299</v>
      </c>
      <c r="G26" s="8" t="s">
        <v>47</v>
      </c>
      <c r="H26" s="8" t="s">
        <v>20</v>
      </c>
      <c r="I26" s="8" t="s">
        <v>18</v>
      </c>
      <c r="J26" s="8" t="s">
        <v>853</v>
      </c>
      <c r="K26" s="8" t="s">
        <v>45</v>
      </c>
      <c r="M26" s="8" t="s">
        <v>24</v>
      </c>
    </row>
    <row r="27" spans="1:14" x14ac:dyDescent="0.25">
      <c r="A27" s="8" t="s">
        <v>17</v>
      </c>
      <c r="B27" s="15" t="s">
        <v>54</v>
      </c>
      <c r="C27" s="8">
        <v>801151</v>
      </c>
      <c r="D27" s="750" t="s">
        <v>20</v>
      </c>
      <c r="E27" s="8">
        <v>17</v>
      </c>
      <c r="F27" s="16">
        <v>104.07239819004501</v>
      </c>
      <c r="G27" s="8" t="s">
        <v>21</v>
      </c>
      <c r="H27" s="8" t="s">
        <v>20</v>
      </c>
      <c r="I27" s="8" t="s">
        <v>18</v>
      </c>
      <c r="J27" s="8" t="s">
        <v>853</v>
      </c>
      <c r="K27" s="8" t="s">
        <v>54</v>
      </c>
      <c r="M27" s="8" t="s">
        <v>24</v>
      </c>
      <c r="N27" s="747">
        <v>-0.5</v>
      </c>
    </row>
    <row r="28" spans="1:14" x14ac:dyDescent="0.25">
      <c r="A28" s="8" t="s">
        <v>17</v>
      </c>
      <c r="B28" s="15" t="s">
        <v>55</v>
      </c>
      <c r="C28" s="8">
        <v>801161</v>
      </c>
      <c r="D28" s="8" t="s">
        <v>20</v>
      </c>
      <c r="E28" s="8">
        <v>40</v>
      </c>
      <c r="F28" s="16">
        <v>110.841300505509</v>
      </c>
      <c r="G28" s="8" t="s">
        <v>21</v>
      </c>
      <c r="H28" s="8" t="s">
        <v>20</v>
      </c>
      <c r="I28" s="8" t="s">
        <v>18</v>
      </c>
      <c r="J28" s="8" t="s">
        <v>853</v>
      </c>
      <c r="K28" s="8" t="s">
        <v>55</v>
      </c>
      <c r="M28" s="8" t="s">
        <v>24</v>
      </c>
      <c r="N28" s="747">
        <v>-0.5</v>
      </c>
    </row>
    <row r="29" spans="1:14" x14ac:dyDescent="0.25">
      <c r="A29" s="8" t="s">
        <v>17</v>
      </c>
      <c r="B29" s="15" t="s">
        <v>55</v>
      </c>
      <c r="C29" s="8">
        <v>801171</v>
      </c>
      <c r="D29" s="8" t="s">
        <v>56</v>
      </c>
      <c r="E29" s="8">
        <v>33</v>
      </c>
      <c r="F29" s="16">
        <v>107.324505131965</v>
      </c>
      <c r="G29" s="8" t="s">
        <v>21</v>
      </c>
      <c r="H29" s="8" t="s">
        <v>20</v>
      </c>
      <c r="I29" s="8" t="s">
        <v>18</v>
      </c>
      <c r="J29" s="8" t="s">
        <v>853</v>
      </c>
      <c r="K29" s="8" t="s">
        <v>871</v>
      </c>
      <c r="M29" s="8" t="s">
        <v>24</v>
      </c>
    </row>
    <row r="30" spans="1:14" x14ac:dyDescent="0.25">
      <c r="A30" s="8" t="s">
        <v>17</v>
      </c>
      <c r="B30" s="15" t="s">
        <v>57</v>
      </c>
      <c r="C30" s="8">
        <v>801181</v>
      </c>
      <c r="D30" s="8" t="s">
        <v>20</v>
      </c>
      <c r="E30" s="8">
        <v>34</v>
      </c>
      <c r="F30" s="16">
        <v>105.400326797386</v>
      </c>
      <c r="G30" s="8" t="s">
        <v>21</v>
      </c>
      <c r="H30" s="8" t="s">
        <v>20</v>
      </c>
      <c r="I30" s="8" t="s">
        <v>18</v>
      </c>
      <c r="J30" s="8" t="s">
        <v>853</v>
      </c>
      <c r="K30" s="8" t="s">
        <v>872</v>
      </c>
      <c r="M30" s="8" t="s">
        <v>24</v>
      </c>
    </row>
    <row r="31" spans="1:14" x14ac:dyDescent="0.25">
      <c r="A31" s="8" t="s">
        <v>17</v>
      </c>
      <c r="B31" s="15" t="s">
        <v>58</v>
      </c>
      <c r="C31" s="8">
        <v>801201</v>
      </c>
      <c r="D31" s="8" t="s">
        <v>20</v>
      </c>
      <c r="E31" s="8">
        <v>31</v>
      </c>
      <c r="F31" s="16">
        <v>108.66568914956</v>
      </c>
      <c r="G31" s="8" t="s">
        <v>21</v>
      </c>
      <c r="H31" s="8" t="s">
        <v>20</v>
      </c>
      <c r="I31" s="8" t="s">
        <v>18</v>
      </c>
      <c r="J31" s="8" t="s">
        <v>853</v>
      </c>
      <c r="K31" s="8" t="s">
        <v>58</v>
      </c>
      <c r="M31" s="8" t="s">
        <v>24</v>
      </c>
    </row>
    <row r="32" spans="1:14" x14ac:dyDescent="0.25">
      <c r="A32" s="8" t="s">
        <v>17</v>
      </c>
      <c r="B32" s="15" t="s">
        <v>59</v>
      </c>
      <c r="C32" s="8">
        <v>801211</v>
      </c>
      <c r="D32" s="8" t="s">
        <v>20</v>
      </c>
      <c r="E32" s="8">
        <v>11</v>
      </c>
      <c r="F32" s="16">
        <v>109.62910353535401</v>
      </c>
      <c r="G32" s="8" t="s">
        <v>21</v>
      </c>
      <c r="H32" s="8" t="s">
        <v>20</v>
      </c>
      <c r="I32" s="8" t="s">
        <v>18</v>
      </c>
      <c r="J32" s="8" t="s">
        <v>853</v>
      </c>
      <c r="K32" s="8" t="s">
        <v>59</v>
      </c>
      <c r="M32" s="8" t="s">
        <v>24</v>
      </c>
    </row>
    <row r="33" spans="1:14" x14ac:dyDescent="0.25">
      <c r="A33" s="8" t="s">
        <v>17</v>
      </c>
      <c r="B33" s="15" t="s">
        <v>41</v>
      </c>
      <c r="C33" s="8">
        <v>801221</v>
      </c>
      <c r="D33" s="8" t="s">
        <v>20</v>
      </c>
      <c r="E33" s="8">
        <v>45</v>
      </c>
      <c r="F33" s="16">
        <v>115.205858955859</v>
      </c>
      <c r="G33" s="8" t="s">
        <v>23</v>
      </c>
      <c r="H33" s="8" t="s">
        <v>20</v>
      </c>
      <c r="I33" s="8" t="s">
        <v>18</v>
      </c>
      <c r="J33" s="8" t="s">
        <v>853</v>
      </c>
      <c r="K33" s="8" t="s">
        <v>873</v>
      </c>
      <c r="M33" s="8" t="s">
        <v>24</v>
      </c>
    </row>
    <row r="34" spans="1:14" x14ac:dyDescent="0.25">
      <c r="A34" s="8" t="s">
        <v>17</v>
      </c>
      <c r="B34" s="15" t="s">
        <v>60</v>
      </c>
      <c r="C34" s="8">
        <v>801231</v>
      </c>
      <c r="D34" s="8" t="s">
        <v>20</v>
      </c>
      <c r="E34" s="8">
        <v>17</v>
      </c>
      <c r="F34" s="16">
        <v>109.19817927170899</v>
      </c>
      <c r="G34" s="8" t="s">
        <v>21</v>
      </c>
      <c r="H34" s="8" t="s">
        <v>20</v>
      </c>
      <c r="I34" s="8" t="s">
        <v>18</v>
      </c>
      <c r="J34" s="8" t="s">
        <v>853</v>
      </c>
      <c r="K34" s="8" t="s">
        <v>60</v>
      </c>
      <c r="M34" s="8" t="s">
        <v>24</v>
      </c>
      <c r="N34" s="747">
        <v>-0.5</v>
      </c>
    </row>
    <row r="35" spans="1:14" x14ac:dyDescent="0.25">
      <c r="A35" s="8" t="s">
        <v>17</v>
      </c>
      <c r="B35" s="15" t="s">
        <v>39</v>
      </c>
      <c r="C35" s="8">
        <v>801251</v>
      </c>
      <c r="D35" s="8" t="s">
        <v>20</v>
      </c>
      <c r="E35" s="8">
        <v>46</v>
      </c>
      <c r="F35" s="16">
        <v>113.891993380459</v>
      </c>
      <c r="G35" s="8" t="s">
        <v>21</v>
      </c>
      <c r="H35" s="8" t="s">
        <v>20</v>
      </c>
      <c r="I35" s="8" t="s">
        <v>18</v>
      </c>
      <c r="J35" s="8" t="s">
        <v>853</v>
      </c>
      <c r="K35" s="8" t="s">
        <v>39</v>
      </c>
      <c r="M35" s="8" t="s">
        <v>24</v>
      </c>
    </row>
    <row r="36" spans="1:14" x14ac:dyDescent="0.25">
      <c r="A36" s="8" t="s">
        <v>17</v>
      </c>
      <c r="B36" s="15" t="s">
        <v>24</v>
      </c>
      <c r="C36" s="8">
        <v>801271</v>
      </c>
      <c r="D36" s="8" t="s">
        <v>61</v>
      </c>
      <c r="E36" s="8">
        <v>17</v>
      </c>
      <c r="F36" s="16">
        <v>127.18008255933999</v>
      </c>
      <c r="G36" s="8" t="s">
        <v>47</v>
      </c>
      <c r="H36" s="8" t="s">
        <v>20</v>
      </c>
      <c r="I36" s="8" t="s">
        <v>18</v>
      </c>
      <c r="J36" s="8" t="s">
        <v>853</v>
      </c>
      <c r="K36" s="8" t="s">
        <v>874</v>
      </c>
      <c r="M36" s="8" t="s">
        <v>24</v>
      </c>
      <c r="N36" s="747">
        <v>-0.5</v>
      </c>
    </row>
    <row r="37" spans="1:14" x14ac:dyDescent="0.25">
      <c r="A37" s="8" t="s">
        <v>17</v>
      </c>
      <c r="B37" s="15" t="s">
        <v>51</v>
      </c>
      <c r="C37" s="8">
        <v>801281</v>
      </c>
      <c r="D37" s="8" t="s">
        <v>20</v>
      </c>
      <c r="E37" s="8">
        <v>170</v>
      </c>
      <c r="F37" s="16">
        <v>120.809923004553</v>
      </c>
      <c r="G37" s="8" t="s">
        <v>23</v>
      </c>
      <c r="H37" s="8" t="s">
        <v>20</v>
      </c>
      <c r="I37" s="8" t="s">
        <v>18</v>
      </c>
      <c r="J37" s="8" t="s">
        <v>853</v>
      </c>
      <c r="K37" s="8" t="s">
        <v>51</v>
      </c>
      <c r="M37" s="8" t="s">
        <v>24</v>
      </c>
      <c r="N37" s="747">
        <v>-0.5</v>
      </c>
    </row>
    <row r="38" spans="1:14" x14ac:dyDescent="0.25">
      <c r="A38" s="8" t="s">
        <v>17</v>
      </c>
      <c r="B38" s="15" t="s">
        <v>28</v>
      </c>
      <c r="C38" s="8">
        <v>801291</v>
      </c>
      <c r="D38" s="8" t="s">
        <v>20</v>
      </c>
      <c r="E38" s="8">
        <v>195</v>
      </c>
      <c r="F38" s="16">
        <v>119.253098892206</v>
      </c>
      <c r="G38" s="8" t="s">
        <v>23</v>
      </c>
      <c r="H38" s="8" t="s">
        <v>20</v>
      </c>
      <c r="I38" s="8" t="s">
        <v>18</v>
      </c>
      <c r="J38" s="8" t="s">
        <v>853</v>
      </c>
      <c r="K38" s="8" t="s">
        <v>28</v>
      </c>
      <c r="M38" s="8" t="s">
        <v>24</v>
      </c>
    </row>
    <row r="39" spans="1:14" x14ac:dyDescent="0.25">
      <c r="A39" s="8" t="s">
        <v>17</v>
      </c>
      <c r="B39" s="15" t="s">
        <v>28</v>
      </c>
      <c r="C39" s="8">
        <v>801301</v>
      </c>
      <c r="D39" s="8" t="s">
        <v>20</v>
      </c>
      <c r="E39" s="8">
        <v>31</v>
      </c>
      <c r="F39" s="16">
        <v>103.966547192354</v>
      </c>
      <c r="G39" s="8" t="s">
        <v>21</v>
      </c>
      <c r="H39" s="8" t="s">
        <v>20</v>
      </c>
      <c r="I39" s="8" t="s">
        <v>18</v>
      </c>
      <c r="J39" s="8" t="s">
        <v>853</v>
      </c>
      <c r="K39" s="8" t="s">
        <v>875</v>
      </c>
      <c r="M39" s="8" t="s">
        <v>24</v>
      </c>
      <c r="N39" s="747">
        <v>-0.5</v>
      </c>
    </row>
    <row r="40" spans="1:14" x14ac:dyDescent="0.25">
      <c r="A40" s="8" t="s">
        <v>17</v>
      </c>
      <c r="B40" s="15" t="s">
        <v>62</v>
      </c>
      <c r="C40" s="8">
        <v>801311</v>
      </c>
      <c r="D40" s="8" t="s">
        <v>20</v>
      </c>
      <c r="E40" s="8">
        <v>17</v>
      </c>
      <c r="F40" s="16">
        <v>115.750773993808</v>
      </c>
      <c r="G40" s="8" t="s">
        <v>23</v>
      </c>
      <c r="H40" s="8" t="s">
        <v>20</v>
      </c>
      <c r="I40" s="8" t="s">
        <v>18</v>
      </c>
      <c r="J40" s="8" t="s">
        <v>853</v>
      </c>
      <c r="K40" s="8" t="s">
        <v>62</v>
      </c>
      <c r="M40" s="8" t="s">
        <v>24</v>
      </c>
    </row>
    <row r="41" spans="1:14" x14ac:dyDescent="0.25">
      <c r="A41" s="8" t="s">
        <v>17</v>
      </c>
      <c r="B41" s="15" t="s">
        <v>63</v>
      </c>
      <c r="C41" s="8">
        <v>801321</v>
      </c>
      <c r="D41" s="8" t="s">
        <v>20</v>
      </c>
      <c r="E41" s="8">
        <v>52</v>
      </c>
      <c r="F41" s="16">
        <v>108.444968158203</v>
      </c>
      <c r="G41" s="8" t="s">
        <v>21</v>
      </c>
      <c r="H41" s="8" t="s">
        <v>20</v>
      </c>
      <c r="I41" s="8" t="s">
        <v>18</v>
      </c>
      <c r="J41" s="8" t="s">
        <v>853</v>
      </c>
      <c r="K41" s="8" t="s">
        <v>63</v>
      </c>
      <c r="M41" s="8" t="s">
        <v>24</v>
      </c>
      <c r="N41" s="747">
        <v>-0.5</v>
      </c>
    </row>
    <row r="42" spans="1:14" x14ac:dyDescent="0.25">
      <c r="A42" s="8" t="s">
        <v>17</v>
      </c>
      <c r="B42" s="15" t="s">
        <v>34</v>
      </c>
      <c r="C42" s="8">
        <v>801341</v>
      </c>
      <c r="D42" s="8" t="s">
        <v>20</v>
      </c>
      <c r="E42" s="8">
        <v>240</v>
      </c>
      <c r="F42" s="16">
        <v>112.874013953202</v>
      </c>
      <c r="G42" s="8" t="s">
        <v>21</v>
      </c>
      <c r="H42" s="8" t="s">
        <v>20</v>
      </c>
      <c r="I42" s="8" t="s">
        <v>18</v>
      </c>
      <c r="J42" s="8" t="s">
        <v>853</v>
      </c>
      <c r="K42" s="8" t="s">
        <v>34</v>
      </c>
      <c r="M42" s="8" t="s">
        <v>24</v>
      </c>
    </row>
    <row r="43" spans="1:14" x14ac:dyDescent="0.25">
      <c r="A43" s="8" t="s">
        <v>17</v>
      </c>
      <c r="B43" s="15" t="s">
        <v>64</v>
      </c>
      <c r="C43" s="8">
        <v>801351</v>
      </c>
      <c r="D43" s="8" t="s">
        <v>20</v>
      </c>
      <c r="E43" s="8">
        <v>43</v>
      </c>
      <c r="F43" s="16">
        <v>110.00369139903999</v>
      </c>
      <c r="G43" s="8" t="s">
        <v>21</v>
      </c>
      <c r="H43" s="8" t="s">
        <v>20</v>
      </c>
      <c r="I43" s="8" t="s">
        <v>18</v>
      </c>
      <c r="J43" s="8" t="s">
        <v>853</v>
      </c>
      <c r="K43" s="8" t="s">
        <v>64</v>
      </c>
      <c r="M43" s="8" t="s">
        <v>24</v>
      </c>
      <c r="N43" s="747">
        <v>-0.5</v>
      </c>
    </row>
    <row r="44" spans="1:14" x14ac:dyDescent="0.25">
      <c r="A44" s="8" t="s">
        <v>17</v>
      </c>
      <c r="B44" s="15" t="s">
        <v>65</v>
      </c>
      <c r="C44" s="8">
        <v>801381</v>
      </c>
      <c r="D44" s="8" t="s">
        <v>20</v>
      </c>
      <c r="E44" s="8">
        <v>31</v>
      </c>
      <c r="F44" s="16">
        <v>105.410586277522</v>
      </c>
      <c r="G44" s="8" t="s">
        <v>21</v>
      </c>
      <c r="H44" s="8" t="s">
        <v>20</v>
      </c>
      <c r="I44" s="8" t="s">
        <v>18</v>
      </c>
      <c r="J44" s="745" t="s">
        <v>853</v>
      </c>
      <c r="K44" s="746" t="s">
        <v>876</v>
      </c>
      <c r="L44" s="746"/>
      <c r="M44" s="745" t="s">
        <v>24</v>
      </c>
    </row>
    <row r="45" spans="1:14" x14ac:dyDescent="0.25">
      <c r="A45" s="8" t="s">
        <v>17</v>
      </c>
      <c r="B45" s="15" t="s">
        <v>66</v>
      </c>
      <c r="C45" s="8">
        <v>801391</v>
      </c>
      <c r="D45" s="8" t="s">
        <v>20</v>
      </c>
      <c r="E45" s="8">
        <v>31</v>
      </c>
      <c r="F45" s="16">
        <v>112.85049259195399</v>
      </c>
      <c r="G45" s="8" t="s">
        <v>21</v>
      </c>
      <c r="H45" s="8" t="s">
        <v>20</v>
      </c>
      <c r="I45" s="8" t="s">
        <v>18</v>
      </c>
      <c r="J45" s="745" t="s">
        <v>853</v>
      </c>
      <c r="K45" s="746" t="s">
        <v>877</v>
      </c>
      <c r="L45" s="746"/>
      <c r="M45" s="745" t="s">
        <v>24</v>
      </c>
    </row>
    <row r="46" spans="1:14" x14ac:dyDescent="0.25">
      <c r="A46" s="8" t="s">
        <v>17</v>
      </c>
      <c r="B46" s="15" t="s">
        <v>66</v>
      </c>
      <c r="C46" s="8">
        <v>801411</v>
      </c>
      <c r="D46" s="8" t="s">
        <v>67</v>
      </c>
      <c r="E46" s="8">
        <v>33</v>
      </c>
      <c r="F46" s="16">
        <v>112.345466045656</v>
      </c>
      <c r="G46" s="8" t="s">
        <v>21</v>
      </c>
      <c r="H46" s="8" t="s">
        <v>20</v>
      </c>
      <c r="I46" s="8" t="s">
        <v>18</v>
      </c>
      <c r="J46" s="745" t="s">
        <v>853</v>
      </c>
      <c r="K46" s="746" t="s">
        <v>878</v>
      </c>
      <c r="L46" s="745"/>
      <c r="M46" s="745" t="s">
        <v>24</v>
      </c>
    </row>
    <row r="47" spans="1:14" x14ac:dyDescent="0.25">
      <c r="A47" s="8" t="s">
        <v>17</v>
      </c>
      <c r="B47" s="15" t="s">
        <v>68</v>
      </c>
      <c r="C47" s="8">
        <v>801421</v>
      </c>
      <c r="D47" s="8" t="s">
        <v>20</v>
      </c>
      <c r="E47" s="8">
        <v>19</v>
      </c>
      <c r="F47" s="16">
        <v>117.843603084509</v>
      </c>
      <c r="G47" s="8" t="s">
        <v>23</v>
      </c>
      <c r="H47" s="8" t="s">
        <v>20</v>
      </c>
      <c r="I47" s="8" t="s">
        <v>18</v>
      </c>
      <c r="J47" s="745" t="s">
        <v>853</v>
      </c>
      <c r="K47" s="746" t="s">
        <v>879</v>
      </c>
      <c r="L47" s="746"/>
      <c r="M47" s="745" t="s">
        <v>24</v>
      </c>
    </row>
    <row r="48" spans="1:14" x14ac:dyDescent="0.25">
      <c r="A48" s="8" t="s">
        <v>17</v>
      </c>
      <c r="B48" s="15" t="s">
        <v>30</v>
      </c>
      <c r="C48" s="8">
        <v>801431</v>
      </c>
      <c r="D48" s="8" t="s">
        <v>20</v>
      </c>
      <c r="E48" s="8">
        <v>140</v>
      </c>
      <c r="F48" s="16">
        <v>118.195818964605</v>
      </c>
      <c r="G48" s="8" t="s">
        <v>23</v>
      </c>
      <c r="H48" s="8" t="s">
        <v>20</v>
      </c>
      <c r="I48" s="8" t="s">
        <v>18</v>
      </c>
      <c r="J48" s="8" t="s">
        <v>853</v>
      </c>
      <c r="K48" s="8" t="s">
        <v>30</v>
      </c>
      <c r="M48" s="8" t="s">
        <v>24</v>
      </c>
    </row>
    <row r="49" spans="1:14" x14ac:dyDescent="0.25">
      <c r="A49" s="8" t="s">
        <v>17</v>
      </c>
      <c r="B49" s="15" t="s">
        <v>69</v>
      </c>
      <c r="C49" s="8">
        <v>801461</v>
      </c>
      <c r="D49" s="8" t="s">
        <v>20</v>
      </c>
      <c r="E49" s="8">
        <v>33</v>
      </c>
      <c r="F49" s="16">
        <v>104.631928528987</v>
      </c>
      <c r="G49" s="8" t="s">
        <v>21</v>
      </c>
      <c r="H49" s="8" t="s">
        <v>20</v>
      </c>
      <c r="I49" s="8" t="s">
        <v>18</v>
      </c>
      <c r="J49" s="8" t="s">
        <v>853</v>
      </c>
      <c r="K49" s="8" t="s">
        <v>69</v>
      </c>
      <c r="M49" s="8" t="s">
        <v>24</v>
      </c>
    </row>
    <row r="50" spans="1:14" x14ac:dyDescent="0.25">
      <c r="A50" s="8" t="s">
        <v>17</v>
      </c>
      <c r="B50" s="15" t="s">
        <v>70</v>
      </c>
      <c r="C50" s="8">
        <v>801481</v>
      </c>
      <c r="D50" s="8" t="s">
        <v>20</v>
      </c>
      <c r="E50" s="8">
        <v>32</v>
      </c>
      <c r="F50" s="16">
        <v>107.827284946237</v>
      </c>
      <c r="G50" s="8" t="s">
        <v>21</v>
      </c>
      <c r="H50" s="8" t="s">
        <v>20</v>
      </c>
      <c r="I50" s="8" t="s">
        <v>18</v>
      </c>
      <c r="J50" s="8" t="s">
        <v>853</v>
      </c>
      <c r="K50" s="8" t="s">
        <v>70</v>
      </c>
      <c r="M50" s="8" t="s">
        <v>24</v>
      </c>
    </row>
    <row r="51" spans="1:14" x14ac:dyDescent="0.25">
      <c r="A51" s="8" t="s">
        <v>17</v>
      </c>
      <c r="B51" s="15" t="s">
        <v>33</v>
      </c>
      <c r="C51" s="8">
        <v>801511</v>
      </c>
      <c r="D51" s="8" t="s">
        <v>20</v>
      </c>
      <c r="E51" s="8">
        <v>95</v>
      </c>
      <c r="F51" s="16">
        <v>113.530924040656</v>
      </c>
      <c r="G51" s="8" t="s">
        <v>21</v>
      </c>
      <c r="H51" s="8" t="s">
        <v>20</v>
      </c>
      <c r="I51" s="8" t="s">
        <v>18</v>
      </c>
      <c r="J51" s="8" t="s">
        <v>853</v>
      </c>
      <c r="K51" s="8" t="s">
        <v>33</v>
      </c>
      <c r="M51" s="8" t="s">
        <v>24</v>
      </c>
    </row>
    <row r="52" spans="1:14" x14ac:dyDescent="0.25">
      <c r="A52" s="8" t="s">
        <v>17</v>
      </c>
      <c r="B52" s="15" t="s">
        <v>71</v>
      </c>
      <c r="C52" s="8">
        <v>801521</v>
      </c>
      <c r="D52" s="8" t="s">
        <v>20</v>
      </c>
      <c r="E52" s="8">
        <v>43</v>
      </c>
      <c r="F52" s="16">
        <v>103.60834256183099</v>
      </c>
      <c r="G52" s="8" t="s">
        <v>21</v>
      </c>
      <c r="H52" s="8" t="s">
        <v>20</v>
      </c>
      <c r="I52" s="8" t="s">
        <v>18</v>
      </c>
      <c r="J52" s="8" t="s">
        <v>853</v>
      </c>
      <c r="K52" s="8" t="s">
        <v>71</v>
      </c>
      <c r="M52" s="8" t="s">
        <v>24</v>
      </c>
    </row>
    <row r="53" spans="1:14" x14ac:dyDescent="0.25">
      <c r="A53" s="8" t="s">
        <v>17</v>
      </c>
      <c r="B53" s="15" t="s">
        <v>72</v>
      </c>
      <c r="C53" s="8">
        <v>801531</v>
      </c>
      <c r="D53" s="8" t="s">
        <v>20</v>
      </c>
      <c r="E53" s="8">
        <v>73</v>
      </c>
      <c r="F53" s="16">
        <v>110.729666990878</v>
      </c>
      <c r="G53" s="8" t="s">
        <v>21</v>
      </c>
      <c r="H53" s="8" t="s">
        <v>20</v>
      </c>
      <c r="I53" s="8" t="s">
        <v>18</v>
      </c>
      <c r="J53" s="8" t="s">
        <v>853</v>
      </c>
      <c r="K53" s="8" t="s">
        <v>72</v>
      </c>
      <c r="M53" s="8" t="s">
        <v>24</v>
      </c>
    </row>
    <row r="54" spans="1:14" x14ac:dyDescent="0.25">
      <c r="A54" s="8" t="s">
        <v>17</v>
      </c>
      <c r="B54" s="15" t="s">
        <v>73</v>
      </c>
      <c r="C54" s="8">
        <v>801551</v>
      </c>
      <c r="D54" s="8" t="s">
        <v>20</v>
      </c>
      <c r="E54" s="8">
        <v>95</v>
      </c>
      <c r="F54" s="16">
        <v>113.497993332661</v>
      </c>
      <c r="G54" s="8" t="s">
        <v>21</v>
      </c>
      <c r="H54" s="8" t="s">
        <v>20</v>
      </c>
      <c r="I54" s="8" t="s">
        <v>18</v>
      </c>
      <c r="J54" s="744" t="s">
        <v>853</v>
      </c>
      <c r="K54" s="744" t="s">
        <v>73</v>
      </c>
      <c r="L54" s="744" t="s">
        <v>855</v>
      </c>
      <c r="M54" s="744" t="s">
        <v>24</v>
      </c>
    </row>
    <row r="55" spans="1:14" x14ac:dyDescent="0.25">
      <c r="A55" s="8" t="s">
        <v>17</v>
      </c>
      <c r="B55" s="15" t="s">
        <v>66</v>
      </c>
      <c r="C55" s="8">
        <v>801561</v>
      </c>
      <c r="D55" s="8" t="s">
        <v>74</v>
      </c>
      <c r="E55" s="8">
        <v>9</v>
      </c>
      <c r="F55" s="16">
        <v>116.42234671646401</v>
      </c>
      <c r="G55" s="8" t="s">
        <v>23</v>
      </c>
      <c r="H55" s="8" t="s">
        <v>20</v>
      </c>
      <c r="I55" s="8" t="s">
        <v>18</v>
      </c>
      <c r="J55" s="745" t="s">
        <v>853</v>
      </c>
      <c r="K55" s="746" t="s">
        <v>880</v>
      </c>
      <c r="L55" s="746"/>
      <c r="M55" s="745" t="s">
        <v>24</v>
      </c>
    </row>
    <row r="56" spans="1:14" x14ac:dyDescent="0.25">
      <c r="A56" s="8" t="s">
        <v>17</v>
      </c>
      <c r="B56" s="15" t="s">
        <v>51</v>
      </c>
      <c r="C56" s="8">
        <v>801571</v>
      </c>
      <c r="D56" s="8" t="s">
        <v>75</v>
      </c>
      <c r="E56" s="8">
        <v>53</v>
      </c>
      <c r="F56" s="16">
        <v>104.28173187954</v>
      </c>
      <c r="G56" s="8" t="s">
        <v>21</v>
      </c>
      <c r="H56" s="8" t="s">
        <v>20</v>
      </c>
      <c r="I56" s="8" t="s">
        <v>53</v>
      </c>
      <c r="J56" s="746" t="s">
        <v>881</v>
      </c>
      <c r="K56" s="746" t="s">
        <v>882</v>
      </c>
      <c r="L56" s="746"/>
      <c r="M56" s="745" t="s">
        <v>24</v>
      </c>
    </row>
    <row r="57" spans="1:14" x14ac:dyDescent="0.25">
      <c r="A57" s="8" t="s">
        <v>17</v>
      </c>
      <c r="B57" s="15" t="s">
        <v>24</v>
      </c>
      <c r="C57" s="8">
        <v>801581</v>
      </c>
      <c r="D57" s="8" t="s">
        <v>76</v>
      </c>
      <c r="E57" s="8">
        <v>39</v>
      </c>
      <c r="F57" s="16">
        <v>109.982180918713</v>
      </c>
      <c r="G57" s="8" t="s">
        <v>21</v>
      </c>
      <c r="H57" s="8" t="s">
        <v>77</v>
      </c>
      <c r="I57" s="8" t="s">
        <v>53</v>
      </c>
      <c r="J57" s="746" t="s">
        <v>881</v>
      </c>
      <c r="K57" s="746" t="s">
        <v>883</v>
      </c>
      <c r="L57" s="746"/>
      <c r="M57" s="745" t="s">
        <v>24</v>
      </c>
    </row>
    <row r="58" spans="1:14" x14ac:dyDescent="0.25">
      <c r="A58" s="8" t="s">
        <v>17</v>
      </c>
      <c r="B58" s="15" t="s">
        <v>78</v>
      </c>
      <c r="C58" s="8">
        <v>802011</v>
      </c>
      <c r="D58" s="8" t="s">
        <v>79</v>
      </c>
      <c r="E58" s="8">
        <v>156</v>
      </c>
      <c r="F58" s="16">
        <v>121.267368870165</v>
      </c>
      <c r="G58" s="8" t="s">
        <v>23</v>
      </c>
      <c r="H58" s="8" t="s">
        <v>20</v>
      </c>
      <c r="I58" s="8" t="s">
        <v>18</v>
      </c>
      <c r="J58" s="8" t="s">
        <v>853</v>
      </c>
      <c r="K58" s="8" t="s">
        <v>884</v>
      </c>
      <c r="M58" s="8" t="s">
        <v>78</v>
      </c>
      <c r="N58" s="747">
        <v>-0.5</v>
      </c>
    </row>
    <row r="59" spans="1:14" x14ac:dyDescent="0.25">
      <c r="A59" s="8" t="s">
        <v>17</v>
      </c>
      <c r="B59" s="15" t="s">
        <v>78</v>
      </c>
      <c r="C59" s="8">
        <v>802012</v>
      </c>
      <c r="D59" s="8" t="s">
        <v>80</v>
      </c>
      <c r="E59" s="8">
        <v>223</v>
      </c>
      <c r="F59" s="16">
        <v>129.323399069473</v>
      </c>
      <c r="G59" s="8" t="s">
        <v>47</v>
      </c>
      <c r="H59" s="8" t="s">
        <v>27</v>
      </c>
      <c r="I59" s="8" t="s">
        <v>18</v>
      </c>
      <c r="J59" s="8" t="s">
        <v>857</v>
      </c>
      <c r="K59" s="8" t="s">
        <v>884</v>
      </c>
      <c r="M59" s="8" t="s">
        <v>78</v>
      </c>
      <c r="N59" s="747">
        <v>-0.5</v>
      </c>
    </row>
    <row r="60" spans="1:14" x14ac:dyDescent="0.25">
      <c r="A60" s="8" t="s">
        <v>17</v>
      </c>
      <c r="B60" s="15" t="s">
        <v>78</v>
      </c>
      <c r="C60" s="8">
        <v>802021</v>
      </c>
      <c r="D60" s="8" t="s">
        <v>81</v>
      </c>
      <c r="E60" s="8">
        <v>252</v>
      </c>
      <c r="F60" s="16">
        <v>139.82134339941101</v>
      </c>
      <c r="G60" s="8" t="s">
        <v>26</v>
      </c>
      <c r="H60" s="8" t="s">
        <v>20</v>
      </c>
      <c r="I60" s="8" t="s">
        <v>18</v>
      </c>
      <c r="J60" s="8" t="s">
        <v>853</v>
      </c>
      <c r="K60" s="8" t="s">
        <v>885</v>
      </c>
      <c r="M60" s="8" t="s">
        <v>78</v>
      </c>
      <c r="N60" s="747">
        <v>-0.5</v>
      </c>
    </row>
    <row r="61" spans="1:14" x14ac:dyDescent="0.25">
      <c r="A61" s="8" t="s">
        <v>17</v>
      </c>
      <c r="B61" s="15" t="s">
        <v>78</v>
      </c>
      <c r="C61" s="8">
        <v>802022</v>
      </c>
      <c r="D61" s="8" t="s">
        <v>82</v>
      </c>
      <c r="E61" s="8">
        <v>81</v>
      </c>
      <c r="F61" s="16">
        <v>103.050218406428</v>
      </c>
      <c r="G61" s="8" t="s">
        <v>21</v>
      </c>
      <c r="H61" s="8" t="s">
        <v>27</v>
      </c>
      <c r="I61" s="8" t="s">
        <v>53</v>
      </c>
      <c r="J61" s="746" t="s">
        <v>869</v>
      </c>
      <c r="K61" s="746" t="s">
        <v>886</v>
      </c>
      <c r="L61" s="745"/>
      <c r="M61" s="745" t="s">
        <v>78</v>
      </c>
    </row>
    <row r="62" spans="1:14" x14ac:dyDescent="0.25">
      <c r="A62" s="8" t="s">
        <v>17</v>
      </c>
      <c r="B62" s="15" t="s">
        <v>78</v>
      </c>
      <c r="C62" s="8">
        <v>802032</v>
      </c>
      <c r="D62" s="8" t="s">
        <v>83</v>
      </c>
      <c r="E62" s="8">
        <v>277</v>
      </c>
      <c r="F62" s="16">
        <v>137.02175511118699</v>
      </c>
      <c r="G62" s="8" t="s">
        <v>26</v>
      </c>
      <c r="H62" s="8" t="s">
        <v>27</v>
      </c>
      <c r="I62" s="8" t="s">
        <v>18</v>
      </c>
      <c r="J62" s="8" t="s">
        <v>857</v>
      </c>
      <c r="K62" s="8" t="s">
        <v>887</v>
      </c>
      <c r="M62" s="8" t="s">
        <v>78</v>
      </c>
      <c r="N62" s="747">
        <v>-0.5</v>
      </c>
    </row>
    <row r="63" spans="1:14" x14ac:dyDescent="0.25">
      <c r="A63" s="8" t="s">
        <v>17</v>
      </c>
      <c r="B63" s="15" t="s">
        <v>78</v>
      </c>
      <c r="C63" s="8">
        <v>802041</v>
      </c>
      <c r="D63" s="8" t="s">
        <v>84</v>
      </c>
      <c r="E63" s="8">
        <v>217</v>
      </c>
      <c r="F63" s="16">
        <v>141.97011038291799</v>
      </c>
      <c r="G63" s="8" t="s">
        <v>26</v>
      </c>
      <c r="H63" s="8" t="s">
        <v>20</v>
      </c>
      <c r="I63" s="8" t="s">
        <v>18</v>
      </c>
      <c r="J63" s="8" t="s">
        <v>853</v>
      </c>
      <c r="K63" s="8" t="s">
        <v>888</v>
      </c>
      <c r="M63" s="8" t="s">
        <v>78</v>
      </c>
      <c r="N63" s="747">
        <v>-0.5</v>
      </c>
    </row>
    <row r="64" spans="1:14" x14ac:dyDescent="0.25">
      <c r="A64" s="8" t="s">
        <v>17</v>
      </c>
      <c r="B64" s="15" t="s">
        <v>78</v>
      </c>
      <c r="C64" s="8">
        <v>802042</v>
      </c>
      <c r="D64" s="8" t="s">
        <v>85</v>
      </c>
      <c r="E64" s="8">
        <v>255</v>
      </c>
      <c r="F64" s="16">
        <v>148.35923938349401</v>
      </c>
      <c r="G64" s="8" t="s">
        <v>26</v>
      </c>
      <c r="H64" s="8" t="s">
        <v>27</v>
      </c>
      <c r="I64" s="8" t="s">
        <v>18</v>
      </c>
      <c r="J64" s="8" t="s">
        <v>857</v>
      </c>
      <c r="K64" s="8" t="s">
        <v>888</v>
      </c>
      <c r="M64" s="8" t="s">
        <v>78</v>
      </c>
      <c r="N64" s="747">
        <v>-0.5</v>
      </c>
    </row>
    <row r="65" spans="1:14" x14ac:dyDescent="0.25">
      <c r="A65" s="8" t="s">
        <v>17</v>
      </c>
      <c r="B65" s="15" t="s">
        <v>78</v>
      </c>
      <c r="C65" s="8">
        <v>802051</v>
      </c>
      <c r="D65" s="8" t="s">
        <v>86</v>
      </c>
      <c r="E65" s="8">
        <v>316</v>
      </c>
      <c r="F65" s="16">
        <v>138.80421819338</v>
      </c>
      <c r="G65" s="8" t="s">
        <v>26</v>
      </c>
      <c r="H65" s="8" t="s">
        <v>20</v>
      </c>
      <c r="I65" s="8" t="s">
        <v>18</v>
      </c>
      <c r="J65" s="8" t="s">
        <v>853</v>
      </c>
      <c r="K65" s="8" t="s">
        <v>887</v>
      </c>
      <c r="M65" s="8" t="s">
        <v>78</v>
      </c>
      <c r="N65" s="747">
        <v>-0.5</v>
      </c>
    </row>
    <row r="66" spans="1:14" x14ac:dyDescent="0.25">
      <c r="A66" s="8" t="s">
        <v>17</v>
      </c>
      <c r="B66" s="15" t="s">
        <v>87</v>
      </c>
      <c r="C66" s="8">
        <v>802052</v>
      </c>
      <c r="D66" s="8" t="s">
        <v>29</v>
      </c>
      <c r="E66" s="8">
        <v>142</v>
      </c>
      <c r="F66" s="16">
        <v>106.57682165774</v>
      </c>
      <c r="G66" s="8" t="s">
        <v>21</v>
      </c>
      <c r="H66" s="8" t="s">
        <v>27</v>
      </c>
      <c r="I66" s="8" t="s">
        <v>18</v>
      </c>
      <c r="J66" s="8" t="s">
        <v>857</v>
      </c>
      <c r="K66" s="8" t="s">
        <v>87</v>
      </c>
      <c r="M66" s="8" t="s">
        <v>78</v>
      </c>
    </row>
    <row r="67" spans="1:14" x14ac:dyDescent="0.25">
      <c r="A67" s="8" t="s">
        <v>17</v>
      </c>
      <c r="B67" s="15" t="s">
        <v>78</v>
      </c>
      <c r="C67" s="8">
        <v>802061</v>
      </c>
      <c r="D67" s="8" t="s">
        <v>88</v>
      </c>
      <c r="E67" s="8">
        <v>21</v>
      </c>
      <c r="F67" s="16">
        <v>115.638528138528</v>
      </c>
      <c r="G67" s="8" t="s">
        <v>23</v>
      </c>
      <c r="H67" s="8" t="s">
        <v>20</v>
      </c>
      <c r="I67" s="8" t="s">
        <v>18</v>
      </c>
      <c r="J67" s="8" t="s">
        <v>853</v>
      </c>
      <c r="K67" s="8" t="s">
        <v>889</v>
      </c>
      <c r="M67" s="8" t="s">
        <v>78</v>
      </c>
      <c r="N67" s="747">
        <v>-0.5</v>
      </c>
    </row>
    <row r="68" spans="1:14" x14ac:dyDescent="0.25">
      <c r="A68" s="8" t="s">
        <v>17</v>
      </c>
      <c r="B68" s="15" t="s">
        <v>89</v>
      </c>
      <c r="C68" s="8">
        <v>802062</v>
      </c>
      <c r="D68" s="8" t="s">
        <v>29</v>
      </c>
      <c r="E68" s="8">
        <v>151</v>
      </c>
      <c r="F68" s="16">
        <v>107.256719611446</v>
      </c>
      <c r="G68" s="8" t="s">
        <v>21</v>
      </c>
      <c r="H68" s="8" t="s">
        <v>27</v>
      </c>
      <c r="I68" s="8" t="s">
        <v>18</v>
      </c>
      <c r="J68" s="8" t="s">
        <v>857</v>
      </c>
      <c r="K68" s="8" t="s">
        <v>890</v>
      </c>
      <c r="M68" s="8" t="s">
        <v>78</v>
      </c>
    </row>
    <row r="69" spans="1:14" x14ac:dyDescent="0.25">
      <c r="A69" s="8" t="s">
        <v>17</v>
      </c>
      <c r="B69" s="15" t="s">
        <v>78</v>
      </c>
      <c r="C69" s="8">
        <v>802071</v>
      </c>
      <c r="D69" s="8" t="s">
        <v>90</v>
      </c>
      <c r="E69" s="8">
        <v>160</v>
      </c>
      <c r="F69" s="16">
        <v>105.67210058163</v>
      </c>
      <c r="G69" s="8" t="s">
        <v>21</v>
      </c>
      <c r="H69" s="8" t="s">
        <v>20</v>
      </c>
      <c r="I69" s="8" t="s">
        <v>53</v>
      </c>
      <c r="J69" s="749" t="s">
        <v>881</v>
      </c>
      <c r="K69" s="749" t="s">
        <v>891</v>
      </c>
      <c r="M69" s="8" t="s">
        <v>78</v>
      </c>
    </row>
    <row r="70" spans="1:14" x14ac:dyDescent="0.25">
      <c r="A70" s="8" t="s">
        <v>17</v>
      </c>
      <c r="B70" s="15" t="s">
        <v>91</v>
      </c>
      <c r="C70" s="8">
        <v>802072</v>
      </c>
      <c r="D70" s="8" t="s">
        <v>29</v>
      </c>
      <c r="E70" s="8">
        <v>213</v>
      </c>
      <c r="F70" s="16">
        <v>115.882158789638</v>
      </c>
      <c r="G70" s="8" t="s">
        <v>23</v>
      </c>
      <c r="H70" s="8" t="s">
        <v>27</v>
      </c>
      <c r="I70" s="8" t="s">
        <v>18</v>
      </c>
      <c r="J70" s="8" t="s">
        <v>857</v>
      </c>
      <c r="K70" s="8" t="s">
        <v>91</v>
      </c>
      <c r="M70" s="8" t="s">
        <v>78</v>
      </c>
    </row>
    <row r="71" spans="1:14" x14ac:dyDescent="0.25">
      <c r="A71" s="8" t="s">
        <v>17</v>
      </c>
      <c r="B71" s="15" t="s">
        <v>87</v>
      </c>
      <c r="C71" s="8">
        <v>802081</v>
      </c>
      <c r="D71" s="8" t="s">
        <v>20</v>
      </c>
      <c r="E71" s="8">
        <v>94</v>
      </c>
      <c r="F71" s="16">
        <v>107.64064842681501</v>
      </c>
      <c r="G71" s="8" t="s">
        <v>21</v>
      </c>
      <c r="H71" s="8" t="s">
        <v>20</v>
      </c>
      <c r="I71" s="8" t="s">
        <v>18</v>
      </c>
      <c r="J71" s="8" t="s">
        <v>853</v>
      </c>
      <c r="K71" s="8" t="s">
        <v>892</v>
      </c>
      <c r="M71" s="8" t="s">
        <v>78</v>
      </c>
    </row>
    <row r="72" spans="1:14" x14ac:dyDescent="0.25">
      <c r="A72" s="8" t="s">
        <v>17</v>
      </c>
      <c r="B72" s="15" t="s">
        <v>92</v>
      </c>
      <c r="C72" s="8">
        <v>802082</v>
      </c>
      <c r="D72" s="8" t="s">
        <v>29</v>
      </c>
      <c r="E72" s="8">
        <v>316</v>
      </c>
      <c r="F72" s="16">
        <v>108.28936849906501</v>
      </c>
      <c r="G72" s="8" t="s">
        <v>21</v>
      </c>
      <c r="H72" s="8" t="s">
        <v>27</v>
      </c>
      <c r="I72" s="8" t="s">
        <v>18</v>
      </c>
      <c r="J72" s="8" t="s">
        <v>857</v>
      </c>
      <c r="K72" s="8" t="s">
        <v>893</v>
      </c>
      <c r="M72" s="8" t="s">
        <v>78</v>
      </c>
    </row>
    <row r="73" spans="1:14" x14ac:dyDescent="0.25">
      <c r="A73" s="8" t="s">
        <v>17</v>
      </c>
      <c r="B73" s="15" t="s">
        <v>87</v>
      </c>
      <c r="C73" s="8">
        <v>802091</v>
      </c>
      <c r="D73" s="8" t="s">
        <v>93</v>
      </c>
      <c r="E73" s="8">
        <v>26</v>
      </c>
      <c r="F73" s="16">
        <v>108.33523266856599</v>
      </c>
      <c r="G73" s="8" t="s">
        <v>21</v>
      </c>
      <c r="H73" s="8" t="s">
        <v>20</v>
      </c>
      <c r="I73" s="8" t="s">
        <v>18</v>
      </c>
      <c r="J73" s="8" t="s">
        <v>853</v>
      </c>
      <c r="K73" s="8" t="s">
        <v>894</v>
      </c>
      <c r="M73" s="8" t="s">
        <v>78</v>
      </c>
    </row>
    <row r="74" spans="1:14" x14ac:dyDescent="0.25">
      <c r="A74" s="8" t="s">
        <v>17</v>
      </c>
      <c r="B74" s="15" t="s">
        <v>94</v>
      </c>
      <c r="C74" s="8">
        <v>802092</v>
      </c>
      <c r="D74" s="8" t="s">
        <v>95</v>
      </c>
      <c r="E74" s="8">
        <v>305</v>
      </c>
      <c r="F74" s="16">
        <v>120.732288174422</v>
      </c>
      <c r="G74" s="8" t="s">
        <v>23</v>
      </c>
      <c r="H74" s="8" t="s">
        <v>27</v>
      </c>
      <c r="I74" s="8" t="s">
        <v>18</v>
      </c>
      <c r="J74" s="745" t="s">
        <v>857</v>
      </c>
      <c r="K74" s="746" t="s">
        <v>895</v>
      </c>
      <c r="L74" s="745"/>
      <c r="M74" s="745" t="s">
        <v>78</v>
      </c>
      <c r="N74" s="747">
        <v>-0.5</v>
      </c>
    </row>
    <row r="75" spans="1:14" x14ac:dyDescent="0.25">
      <c r="A75" s="8" t="s">
        <v>17</v>
      </c>
      <c r="B75" s="15" t="s">
        <v>87</v>
      </c>
      <c r="C75" s="8">
        <v>802101</v>
      </c>
      <c r="D75" s="8" t="s">
        <v>96</v>
      </c>
      <c r="E75" s="8">
        <v>27</v>
      </c>
      <c r="F75" s="16">
        <v>101.741512345679</v>
      </c>
      <c r="G75" s="8" t="s">
        <v>21</v>
      </c>
      <c r="H75" s="8" t="s">
        <v>20</v>
      </c>
      <c r="I75" s="8" t="s">
        <v>18</v>
      </c>
      <c r="J75" s="8" t="s">
        <v>853</v>
      </c>
      <c r="K75" s="8" t="s">
        <v>896</v>
      </c>
      <c r="M75" s="8" t="s">
        <v>78</v>
      </c>
    </row>
    <row r="76" spans="1:14" x14ac:dyDescent="0.25">
      <c r="A76" s="8" t="s">
        <v>17</v>
      </c>
      <c r="B76" s="15" t="s">
        <v>97</v>
      </c>
      <c r="C76" s="8">
        <v>802102</v>
      </c>
      <c r="D76" s="8" t="s">
        <v>29</v>
      </c>
      <c r="E76" s="8">
        <v>353</v>
      </c>
      <c r="F76" s="16">
        <v>125.32218148186</v>
      </c>
      <c r="G76" s="8" t="s">
        <v>47</v>
      </c>
      <c r="H76" s="8" t="s">
        <v>27</v>
      </c>
      <c r="I76" s="8" t="s">
        <v>18</v>
      </c>
      <c r="J76" s="8" t="s">
        <v>857</v>
      </c>
      <c r="K76" s="8" t="s">
        <v>147</v>
      </c>
      <c r="M76" s="8" t="s">
        <v>78</v>
      </c>
    </row>
    <row r="77" spans="1:14" x14ac:dyDescent="0.25">
      <c r="A77" s="8" t="s">
        <v>17</v>
      </c>
      <c r="B77" s="15" t="s">
        <v>87</v>
      </c>
      <c r="C77" s="8">
        <v>802111</v>
      </c>
      <c r="D77" s="8" t="s">
        <v>98</v>
      </c>
      <c r="E77" s="8">
        <v>24</v>
      </c>
      <c r="F77" s="16">
        <v>102.777777777778</v>
      </c>
      <c r="G77" s="8" t="s">
        <v>21</v>
      </c>
      <c r="H77" s="8" t="s">
        <v>20</v>
      </c>
      <c r="I77" s="8" t="s">
        <v>18</v>
      </c>
      <c r="J77" s="8" t="s">
        <v>853</v>
      </c>
      <c r="K77" s="8" t="s">
        <v>897</v>
      </c>
      <c r="M77" s="8" t="s">
        <v>78</v>
      </c>
    </row>
    <row r="78" spans="1:14" x14ac:dyDescent="0.25">
      <c r="A78" s="8" t="s">
        <v>17</v>
      </c>
      <c r="B78" s="15" t="s">
        <v>99</v>
      </c>
      <c r="C78" s="8">
        <v>802112</v>
      </c>
      <c r="D78" s="8" t="s">
        <v>29</v>
      </c>
      <c r="E78" s="8">
        <v>247</v>
      </c>
      <c r="F78" s="16">
        <v>120.69076579386299</v>
      </c>
      <c r="G78" s="8" t="s">
        <v>23</v>
      </c>
      <c r="H78" s="8" t="s">
        <v>27</v>
      </c>
      <c r="I78" s="8" t="s">
        <v>18</v>
      </c>
      <c r="J78" s="8" t="s">
        <v>857</v>
      </c>
      <c r="K78" s="8" t="s">
        <v>99</v>
      </c>
      <c r="M78" s="8" t="s">
        <v>78</v>
      </c>
    </row>
    <row r="79" spans="1:14" x14ac:dyDescent="0.25">
      <c r="A79" s="8" t="s">
        <v>17</v>
      </c>
      <c r="B79" s="15" t="s">
        <v>100</v>
      </c>
      <c r="C79" s="8">
        <v>802121</v>
      </c>
      <c r="D79" s="8" t="s">
        <v>20</v>
      </c>
      <c r="E79" s="8">
        <v>123</v>
      </c>
      <c r="F79" s="16">
        <v>106.59387811826799</v>
      </c>
      <c r="G79" s="8" t="s">
        <v>21</v>
      </c>
      <c r="H79" s="8" t="s">
        <v>20</v>
      </c>
      <c r="I79" s="8" t="s">
        <v>18</v>
      </c>
      <c r="J79" s="8" t="s">
        <v>853</v>
      </c>
      <c r="K79" s="8" t="s">
        <v>100</v>
      </c>
      <c r="M79" s="8" t="s">
        <v>78</v>
      </c>
    </row>
    <row r="80" spans="1:14" x14ac:dyDescent="0.25">
      <c r="A80" s="8" t="s">
        <v>17</v>
      </c>
      <c r="B80" s="15" t="s">
        <v>101</v>
      </c>
      <c r="C80" s="8">
        <v>802122</v>
      </c>
      <c r="D80" s="8" t="s">
        <v>102</v>
      </c>
      <c r="E80" s="8">
        <v>139</v>
      </c>
      <c r="F80" s="16">
        <v>117.12567415743101</v>
      </c>
      <c r="G80" s="8" t="s">
        <v>23</v>
      </c>
      <c r="H80" s="8" t="s">
        <v>27</v>
      </c>
      <c r="I80" s="8" t="s">
        <v>18</v>
      </c>
      <c r="J80" s="744" t="s">
        <v>857</v>
      </c>
      <c r="K80" s="744" t="s">
        <v>898</v>
      </c>
      <c r="L80" s="744" t="s">
        <v>899</v>
      </c>
      <c r="M80" s="744" t="s">
        <v>78</v>
      </c>
    </row>
    <row r="81" spans="1:14" x14ac:dyDescent="0.25">
      <c r="A81" s="8" t="s">
        <v>17</v>
      </c>
      <c r="B81" s="15" t="s">
        <v>100</v>
      </c>
      <c r="C81" s="8">
        <v>802131</v>
      </c>
      <c r="D81" s="8" t="s">
        <v>103</v>
      </c>
      <c r="E81" s="8">
        <v>18</v>
      </c>
      <c r="F81" s="16">
        <v>118.287037037037</v>
      </c>
      <c r="G81" s="8" t="s">
        <v>23</v>
      </c>
      <c r="H81" s="8" t="s">
        <v>20</v>
      </c>
      <c r="I81" s="8" t="s">
        <v>18</v>
      </c>
      <c r="J81" s="8" t="s">
        <v>853</v>
      </c>
      <c r="K81" s="8" t="s">
        <v>900</v>
      </c>
      <c r="M81" s="8" t="s">
        <v>78</v>
      </c>
    </row>
    <row r="82" spans="1:14" x14ac:dyDescent="0.25">
      <c r="A82" s="8" t="s">
        <v>17</v>
      </c>
      <c r="B82" s="15" t="s">
        <v>104</v>
      </c>
      <c r="C82" s="8">
        <v>802132</v>
      </c>
      <c r="D82" s="8" t="s">
        <v>29</v>
      </c>
      <c r="E82" s="8">
        <v>237</v>
      </c>
      <c r="F82" s="16">
        <v>128.06712273150401</v>
      </c>
      <c r="G82" s="8" t="s">
        <v>47</v>
      </c>
      <c r="H82" s="8" t="s">
        <v>27</v>
      </c>
      <c r="I82" s="8" t="s">
        <v>18</v>
      </c>
      <c r="J82" s="8" t="s">
        <v>857</v>
      </c>
      <c r="K82" s="8" t="s">
        <v>104</v>
      </c>
      <c r="M82" s="8" t="s">
        <v>78</v>
      </c>
    </row>
    <row r="83" spans="1:14" x14ac:dyDescent="0.25">
      <c r="A83" s="8" t="s">
        <v>17</v>
      </c>
      <c r="B83" s="15" t="s">
        <v>89</v>
      </c>
      <c r="C83" s="8">
        <v>802141</v>
      </c>
      <c r="D83" s="8" t="s">
        <v>20</v>
      </c>
      <c r="E83" s="8">
        <v>67</v>
      </c>
      <c r="F83" s="16">
        <v>105.616560056859</v>
      </c>
      <c r="G83" s="8" t="s">
        <v>21</v>
      </c>
      <c r="H83" s="8" t="s">
        <v>20</v>
      </c>
      <c r="I83" s="8" t="s">
        <v>18</v>
      </c>
      <c r="J83" s="8" t="s">
        <v>853</v>
      </c>
      <c r="K83" s="8" t="s">
        <v>890</v>
      </c>
      <c r="M83" s="8" t="s">
        <v>78</v>
      </c>
    </row>
    <row r="84" spans="1:14" x14ac:dyDescent="0.25">
      <c r="A84" s="8" t="s">
        <v>17</v>
      </c>
      <c r="B84" s="15" t="s">
        <v>105</v>
      </c>
      <c r="C84" s="8">
        <v>802142</v>
      </c>
      <c r="D84" s="8" t="s">
        <v>29</v>
      </c>
      <c r="E84" s="8">
        <v>228</v>
      </c>
      <c r="F84" s="16">
        <v>106.73892150171601</v>
      </c>
      <c r="G84" s="8" t="s">
        <v>21</v>
      </c>
      <c r="H84" s="8" t="s">
        <v>27</v>
      </c>
      <c r="I84" s="8" t="s">
        <v>18</v>
      </c>
      <c r="J84" s="8" t="s">
        <v>857</v>
      </c>
      <c r="K84" s="8" t="s">
        <v>901</v>
      </c>
      <c r="M84" s="8" t="s">
        <v>78</v>
      </c>
    </row>
    <row r="85" spans="1:14" x14ac:dyDescent="0.25">
      <c r="A85" s="8" t="s">
        <v>17</v>
      </c>
      <c r="B85" s="15" t="s">
        <v>91</v>
      </c>
      <c r="C85" s="8">
        <v>802151</v>
      </c>
      <c r="D85" s="8" t="s">
        <v>20</v>
      </c>
      <c r="E85" s="8">
        <v>97</v>
      </c>
      <c r="F85" s="16">
        <v>116.579783834314</v>
      </c>
      <c r="G85" s="8" t="s">
        <v>23</v>
      </c>
      <c r="H85" s="8" t="s">
        <v>20</v>
      </c>
      <c r="I85" s="8" t="s">
        <v>18</v>
      </c>
      <c r="J85" s="8" t="s">
        <v>853</v>
      </c>
      <c r="K85" s="8" t="s">
        <v>91</v>
      </c>
      <c r="M85" s="8" t="s">
        <v>78</v>
      </c>
    </row>
    <row r="86" spans="1:14" x14ac:dyDescent="0.25">
      <c r="A86" s="8" t="s">
        <v>17</v>
      </c>
      <c r="B86" s="15" t="s">
        <v>106</v>
      </c>
      <c r="C86" s="8">
        <v>802152</v>
      </c>
      <c r="D86" s="8" t="s">
        <v>29</v>
      </c>
      <c r="E86" s="8">
        <v>87</v>
      </c>
      <c r="F86" s="16">
        <v>133.99143901764299</v>
      </c>
      <c r="G86" s="8" t="s">
        <v>47</v>
      </c>
      <c r="H86" s="8" t="s">
        <v>27</v>
      </c>
      <c r="I86" s="8" t="s">
        <v>18</v>
      </c>
      <c r="J86" s="8" t="s">
        <v>857</v>
      </c>
      <c r="K86" s="8" t="s">
        <v>902</v>
      </c>
      <c r="M86" s="8" t="s">
        <v>78</v>
      </c>
    </row>
    <row r="87" spans="1:14" x14ac:dyDescent="0.25">
      <c r="A87" s="8" t="s">
        <v>17</v>
      </c>
      <c r="B87" s="15" t="s">
        <v>107</v>
      </c>
      <c r="C87" s="8">
        <v>802161</v>
      </c>
      <c r="D87" s="20" t="s">
        <v>20</v>
      </c>
      <c r="E87" s="8">
        <v>23</v>
      </c>
      <c r="F87" s="16">
        <v>102.173913043478</v>
      </c>
      <c r="G87" s="8" t="s">
        <v>21</v>
      </c>
      <c r="H87" s="8" t="s">
        <v>20</v>
      </c>
      <c r="I87" s="8" t="s">
        <v>18</v>
      </c>
      <c r="J87" s="8" t="s">
        <v>853</v>
      </c>
      <c r="K87" s="8" t="s">
        <v>903</v>
      </c>
      <c r="M87" s="8" t="s">
        <v>78</v>
      </c>
    </row>
    <row r="88" spans="1:14" x14ac:dyDescent="0.25">
      <c r="A88" s="8" t="s">
        <v>17</v>
      </c>
      <c r="B88" s="15" t="s">
        <v>108</v>
      </c>
      <c r="C88" s="8">
        <v>802162</v>
      </c>
      <c r="D88" s="8" t="s">
        <v>29</v>
      </c>
      <c r="E88" s="8">
        <v>383</v>
      </c>
      <c r="F88" s="16">
        <v>122.300988315323</v>
      </c>
      <c r="G88" s="8" t="s">
        <v>23</v>
      </c>
      <c r="H88" s="8" t="s">
        <v>27</v>
      </c>
      <c r="I88" s="8" t="s">
        <v>18</v>
      </c>
      <c r="J88" s="8" t="s">
        <v>857</v>
      </c>
      <c r="K88" s="8" t="s">
        <v>108</v>
      </c>
      <c r="M88" s="8" t="s">
        <v>78</v>
      </c>
      <c r="N88" s="747">
        <v>-0.5</v>
      </c>
    </row>
    <row r="89" spans="1:14" x14ac:dyDescent="0.25">
      <c r="A89" s="8" t="s">
        <v>17</v>
      </c>
      <c r="B89" s="15" t="s">
        <v>109</v>
      </c>
      <c r="C89" s="8">
        <v>802172</v>
      </c>
      <c r="D89" s="8" t="s">
        <v>29</v>
      </c>
      <c r="E89" s="8">
        <v>168</v>
      </c>
      <c r="F89" s="16">
        <v>110.256120874319</v>
      </c>
      <c r="G89" s="8" t="s">
        <v>21</v>
      </c>
      <c r="H89" s="8" t="s">
        <v>27</v>
      </c>
      <c r="I89" s="8" t="s">
        <v>18</v>
      </c>
      <c r="J89" s="8" t="s">
        <v>857</v>
      </c>
      <c r="K89" s="8" t="s">
        <v>109</v>
      </c>
      <c r="M89" s="8" t="s">
        <v>78</v>
      </c>
    </row>
    <row r="90" spans="1:14" x14ac:dyDescent="0.25">
      <c r="A90" s="8" t="s">
        <v>17</v>
      </c>
      <c r="B90" s="15" t="s">
        <v>110</v>
      </c>
      <c r="C90" s="8">
        <v>802182</v>
      </c>
      <c r="D90" s="8" t="s">
        <v>111</v>
      </c>
      <c r="E90" s="8">
        <v>222</v>
      </c>
      <c r="F90" s="16">
        <v>134.46516103242601</v>
      </c>
      <c r="G90" s="8" t="s">
        <v>47</v>
      </c>
      <c r="H90" s="8" t="s">
        <v>27</v>
      </c>
      <c r="I90" s="8" t="s">
        <v>18</v>
      </c>
      <c r="J90" s="8" t="s">
        <v>857</v>
      </c>
      <c r="K90" s="8" t="s">
        <v>904</v>
      </c>
      <c r="M90" s="8" t="s">
        <v>78</v>
      </c>
    </row>
    <row r="91" spans="1:14" x14ac:dyDescent="0.25">
      <c r="A91" s="8" t="s">
        <v>17</v>
      </c>
      <c r="B91" s="15" t="s">
        <v>112</v>
      </c>
      <c r="C91" s="8">
        <v>802191</v>
      </c>
      <c r="D91" s="8" t="s">
        <v>20</v>
      </c>
      <c r="E91" s="8">
        <v>54</v>
      </c>
      <c r="F91" s="16">
        <v>109.205707440209</v>
      </c>
      <c r="G91" s="8" t="s">
        <v>21</v>
      </c>
      <c r="H91" s="8" t="s">
        <v>20</v>
      </c>
      <c r="I91" s="8" t="s">
        <v>18</v>
      </c>
      <c r="J91" s="8" t="s">
        <v>853</v>
      </c>
      <c r="K91" s="8" t="s">
        <v>112</v>
      </c>
      <c r="M91" s="8" t="s">
        <v>78</v>
      </c>
    </row>
    <row r="92" spans="1:14" x14ac:dyDescent="0.25">
      <c r="A92" s="8" t="s">
        <v>17</v>
      </c>
      <c r="B92" s="15" t="s">
        <v>113</v>
      </c>
      <c r="C92" s="8">
        <v>802201</v>
      </c>
      <c r="D92" s="8" t="s">
        <v>20</v>
      </c>
      <c r="E92" s="8">
        <v>29</v>
      </c>
      <c r="F92" s="16">
        <v>103.30592805449101</v>
      </c>
      <c r="G92" s="8" t="s">
        <v>21</v>
      </c>
      <c r="H92" s="8" t="s">
        <v>20</v>
      </c>
      <c r="I92" s="8" t="s">
        <v>18</v>
      </c>
      <c r="J92" s="8" t="s">
        <v>853</v>
      </c>
      <c r="K92" s="8" t="s">
        <v>113</v>
      </c>
      <c r="M92" s="8" t="s">
        <v>78</v>
      </c>
    </row>
    <row r="93" spans="1:14" x14ac:dyDescent="0.25">
      <c r="A93" s="8" t="s">
        <v>17</v>
      </c>
      <c r="B93" s="15" t="s">
        <v>114</v>
      </c>
      <c r="C93" s="8">
        <v>802202</v>
      </c>
      <c r="D93" s="8" t="s">
        <v>29</v>
      </c>
      <c r="E93" s="8">
        <v>207</v>
      </c>
      <c r="F93" s="16">
        <v>110.151134317212</v>
      </c>
      <c r="G93" s="8" t="s">
        <v>21</v>
      </c>
      <c r="H93" s="8" t="s">
        <v>27</v>
      </c>
      <c r="I93" s="8" t="s">
        <v>18</v>
      </c>
      <c r="J93" s="8" t="s">
        <v>857</v>
      </c>
      <c r="K93" s="8" t="s">
        <v>114</v>
      </c>
      <c r="M93" s="8" t="s">
        <v>78</v>
      </c>
    </row>
    <row r="94" spans="1:14" x14ac:dyDescent="0.25">
      <c r="A94" s="8" t="s">
        <v>17</v>
      </c>
      <c r="B94" s="15" t="s">
        <v>115</v>
      </c>
      <c r="C94" s="8">
        <v>802211</v>
      </c>
      <c r="D94" s="8" t="s">
        <v>20</v>
      </c>
      <c r="E94" s="8">
        <v>22</v>
      </c>
      <c r="F94" s="16">
        <v>100.75757575757601</v>
      </c>
      <c r="G94" s="8" t="s">
        <v>21</v>
      </c>
      <c r="H94" s="8" t="s">
        <v>20</v>
      </c>
      <c r="I94" s="8" t="s">
        <v>18</v>
      </c>
      <c r="J94" s="8" t="s">
        <v>853</v>
      </c>
      <c r="K94" s="8" t="s">
        <v>115</v>
      </c>
      <c r="M94" s="8" t="s">
        <v>78</v>
      </c>
    </row>
    <row r="95" spans="1:14" x14ac:dyDescent="0.25">
      <c r="A95" s="8" t="s">
        <v>17</v>
      </c>
      <c r="B95" s="15" t="s">
        <v>116</v>
      </c>
      <c r="C95" s="8">
        <v>802212</v>
      </c>
      <c r="D95" s="8" t="s">
        <v>29</v>
      </c>
      <c r="E95" s="8">
        <v>189</v>
      </c>
      <c r="F95" s="16">
        <v>111.26045019774701</v>
      </c>
      <c r="G95" s="8" t="s">
        <v>21</v>
      </c>
      <c r="H95" s="8" t="s">
        <v>27</v>
      </c>
      <c r="I95" s="8" t="s">
        <v>18</v>
      </c>
      <c r="J95" s="8" t="s">
        <v>857</v>
      </c>
      <c r="K95" s="8" t="s">
        <v>116</v>
      </c>
      <c r="M95" s="8" t="s">
        <v>78</v>
      </c>
      <c r="N95" s="747">
        <v>-0.5</v>
      </c>
    </row>
    <row r="96" spans="1:14" x14ac:dyDescent="0.25">
      <c r="A96" s="8" t="s">
        <v>17</v>
      </c>
      <c r="B96" s="15" t="s">
        <v>109</v>
      </c>
      <c r="C96" s="8">
        <v>802221</v>
      </c>
      <c r="D96" s="8" t="s">
        <v>117</v>
      </c>
      <c r="E96" s="8">
        <v>45</v>
      </c>
      <c r="F96" s="16">
        <v>119.756190480808</v>
      </c>
      <c r="G96" s="8" t="s">
        <v>23</v>
      </c>
      <c r="H96" s="8" t="s">
        <v>20</v>
      </c>
      <c r="I96" s="8" t="s">
        <v>18</v>
      </c>
      <c r="J96" s="8" t="s">
        <v>853</v>
      </c>
      <c r="K96" s="8" t="s">
        <v>109</v>
      </c>
      <c r="M96" s="8" t="s">
        <v>78</v>
      </c>
    </row>
    <row r="97" spans="1:14" x14ac:dyDescent="0.25">
      <c r="A97" s="8" t="s">
        <v>17</v>
      </c>
      <c r="B97" s="15" t="s">
        <v>92</v>
      </c>
      <c r="C97" s="8">
        <v>802231</v>
      </c>
      <c r="D97" s="8" t="s">
        <v>20</v>
      </c>
      <c r="E97" s="8">
        <v>106</v>
      </c>
      <c r="F97" s="16">
        <v>105.73061978846501</v>
      </c>
      <c r="G97" s="8" t="s">
        <v>21</v>
      </c>
      <c r="H97" s="8" t="s">
        <v>20</v>
      </c>
      <c r="I97" s="8" t="s">
        <v>18</v>
      </c>
      <c r="J97" s="8" t="s">
        <v>853</v>
      </c>
      <c r="K97" s="8" t="s">
        <v>893</v>
      </c>
      <c r="M97" s="8" t="s">
        <v>78</v>
      </c>
    </row>
    <row r="98" spans="1:14" x14ac:dyDescent="0.25">
      <c r="A98" s="8" t="s">
        <v>17</v>
      </c>
      <c r="B98" s="15" t="s">
        <v>92</v>
      </c>
      <c r="C98" s="8">
        <v>802241</v>
      </c>
      <c r="D98" s="8" t="s">
        <v>118</v>
      </c>
      <c r="E98" s="8">
        <v>44</v>
      </c>
      <c r="F98" s="16">
        <v>105.066962358629</v>
      </c>
      <c r="G98" s="8" t="s">
        <v>21</v>
      </c>
      <c r="H98" s="8" t="s">
        <v>20</v>
      </c>
      <c r="I98" s="8" t="s">
        <v>18</v>
      </c>
      <c r="J98" s="8" t="s">
        <v>853</v>
      </c>
      <c r="K98" s="8" t="s">
        <v>905</v>
      </c>
      <c r="M98" s="8" t="s">
        <v>78</v>
      </c>
    </row>
    <row r="99" spans="1:14" x14ac:dyDescent="0.25">
      <c r="A99" s="8" t="s">
        <v>17</v>
      </c>
      <c r="B99" s="15" t="s">
        <v>119</v>
      </c>
      <c r="C99" s="8">
        <v>802251</v>
      </c>
      <c r="D99" s="8" t="s">
        <v>20</v>
      </c>
      <c r="E99" s="8">
        <v>25</v>
      </c>
      <c r="F99" s="16">
        <v>110.710227272727</v>
      </c>
      <c r="G99" s="8" t="s">
        <v>21</v>
      </c>
      <c r="H99" s="8" t="s">
        <v>20</v>
      </c>
      <c r="I99" s="8" t="s">
        <v>18</v>
      </c>
      <c r="J99" s="8" t="s">
        <v>853</v>
      </c>
      <c r="K99" s="8" t="s">
        <v>119</v>
      </c>
      <c r="M99" s="8" t="s">
        <v>78</v>
      </c>
    </row>
    <row r="100" spans="1:14" x14ac:dyDescent="0.25">
      <c r="A100" s="8" t="s">
        <v>17</v>
      </c>
      <c r="B100" s="15" t="s">
        <v>120</v>
      </c>
      <c r="C100" s="8">
        <v>802261</v>
      </c>
      <c r="D100" s="8" t="s">
        <v>20</v>
      </c>
      <c r="E100" s="8">
        <v>141</v>
      </c>
      <c r="F100" s="16">
        <v>118.59590852841499</v>
      </c>
      <c r="G100" s="8" t="s">
        <v>23</v>
      </c>
      <c r="H100" s="8" t="s">
        <v>20</v>
      </c>
      <c r="I100" s="8" t="s">
        <v>18</v>
      </c>
      <c r="J100" s="8" t="s">
        <v>853</v>
      </c>
      <c r="K100" s="8" t="s">
        <v>120</v>
      </c>
      <c r="M100" s="8" t="s">
        <v>78</v>
      </c>
    </row>
    <row r="101" spans="1:14" x14ac:dyDescent="0.25">
      <c r="A101" s="8" t="s">
        <v>17</v>
      </c>
      <c r="B101" s="15" t="s">
        <v>121</v>
      </c>
      <c r="C101" s="8">
        <v>802271</v>
      </c>
      <c r="D101" s="8" t="s">
        <v>20</v>
      </c>
      <c r="E101" s="8">
        <v>87</v>
      </c>
      <c r="F101" s="16">
        <v>110.06347678900001</v>
      </c>
      <c r="G101" s="8" t="s">
        <v>21</v>
      </c>
      <c r="H101" s="8" t="s">
        <v>20</v>
      </c>
      <c r="I101" s="8" t="s">
        <v>18</v>
      </c>
      <c r="J101" s="8" t="s">
        <v>853</v>
      </c>
      <c r="K101" s="8" t="s">
        <v>906</v>
      </c>
      <c r="M101" s="8" t="s">
        <v>78</v>
      </c>
    </row>
    <row r="102" spans="1:14" x14ac:dyDescent="0.25">
      <c r="A102" s="8" t="s">
        <v>17</v>
      </c>
      <c r="B102" s="15" t="s">
        <v>94</v>
      </c>
      <c r="C102" s="8">
        <v>802281</v>
      </c>
      <c r="D102" s="8" t="s">
        <v>122</v>
      </c>
      <c r="E102" s="8">
        <v>373</v>
      </c>
      <c r="F102" s="16">
        <v>122.077067189267</v>
      </c>
      <c r="G102" s="8" t="s">
        <v>23</v>
      </c>
      <c r="H102" s="8" t="s">
        <v>20</v>
      </c>
      <c r="I102" s="8" t="s">
        <v>18</v>
      </c>
      <c r="J102" s="745" t="s">
        <v>853</v>
      </c>
      <c r="K102" s="746" t="s">
        <v>895</v>
      </c>
      <c r="L102" s="745"/>
      <c r="M102" s="745" t="s">
        <v>78</v>
      </c>
      <c r="N102" s="747">
        <v>-0.5</v>
      </c>
    </row>
    <row r="103" spans="1:14" x14ac:dyDescent="0.25">
      <c r="A103" s="8" t="s">
        <v>17</v>
      </c>
      <c r="B103" s="15" t="s">
        <v>110</v>
      </c>
      <c r="C103" s="8">
        <v>802291</v>
      </c>
      <c r="D103" s="8" t="s">
        <v>123</v>
      </c>
      <c r="E103" s="8">
        <v>255</v>
      </c>
      <c r="F103" s="16">
        <v>124.30731882148901</v>
      </c>
      <c r="G103" s="8" t="s">
        <v>23</v>
      </c>
      <c r="H103" s="8" t="s">
        <v>20</v>
      </c>
      <c r="I103" s="8" t="s">
        <v>18</v>
      </c>
      <c r="J103" s="8" t="s">
        <v>853</v>
      </c>
      <c r="K103" s="8" t="s">
        <v>904</v>
      </c>
      <c r="M103" s="8" t="s">
        <v>78</v>
      </c>
    </row>
    <row r="104" spans="1:14" x14ac:dyDescent="0.25">
      <c r="A104" s="8" t="s">
        <v>17</v>
      </c>
      <c r="B104" s="15" t="s">
        <v>116</v>
      </c>
      <c r="C104" s="8">
        <v>802301</v>
      </c>
      <c r="D104" s="8" t="s">
        <v>20</v>
      </c>
      <c r="E104" s="8">
        <v>74</v>
      </c>
      <c r="F104" s="16">
        <v>112.48421581037501</v>
      </c>
      <c r="G104" s="8" t="s">
        <v>21</v>
      </c>
      <c r="H104" s="8" t="s">
        <v>20</v>
      </c>
      <c r="I104" s="8" t="s">
        <v>18</v>
      </c>
      <c r="J104" s="8" t="s">
        <v>853</v>
      </c>
      <c r="K104" s="8" t="s">
        <v>116</v>
      </c>
      <c r="M104" s="8" t="s">
        <v>78</v>
      </c>
      <c r="N104" s="747">
        <v>-0.5</v>
      </c>
    </row>
    <row r="105" spans="1:14" x14ac:dyDescent="0.25">
      <c r="A105" s="8" t="s">
        <v>17</v>
      </c>
      <c r="B105" s="15" t="s">
        <v>97</v>
      </c>
      <c r="C105" s="8">
        <v>802311</v>
      </c>
      <c r="D105" s="8" t="s">
        <v>20</v>
      </c>
      <c r="E105" s="8">
        <v>273</v>
      </c>
      <c r="F105" s="16">
        <v>118.443539808409</v>
      </c>
      <c r="G105" s="8" t="s">
        <v>23</v>
      </c>
      <c r="H105" s="8" t="s">
        <v>20</v>
      </c>
      <c r="I105" s="8" t="s">
        <v>18</v>
      </c>
      <c r="J105" s="8" t="s">
        <v>853</v>
      </c>
      <c r="K105" s="8" t="s">
        <v>907</v>
      </c>
      <c r="M105" s="8" t="s">
        <v>78</v>
      </c>
      <c r="N105" s="747">
        <v>-0.5</v>
      </c>
    </row>
    <row r="106" spans="1:14" x14ac:dyDescent="0.25">
      <c r="A106" s="8" t="s">
        <v>17</v>
      </c>
      <c r="B106" s="15" t="s">
        <v>97</v>
      </c>
      <c r="C106" s="8">
        <v>802331</v>
      </c>
      <c r="D106" s="8" t="s">
        <v>124</v>
      </c>
      <c r="E106" s="8">
        <v>145</v>
      </c>
      <c r="F106" s="16">
        <v>117.300182687828</v>
      </c>
      <c r="G106" s="8" t="s">
        <v>23</v>
      </c>
      <c r="H106" s="8" t="s">
        <v>20</v>
      </c>
      <c r="I106" s="8" t="s">
        <v>18</v>
      </c>
      <c r="J106" s="8" t="s">
        <v>853</v>
      </c>
      <c r="K106" s="8" t="s">
        <v>908</v>
      </c>
      <c r="M106" s="8" t="s">
        <v>78</v>
      </c>
    </row>
    <row r="107" spans="1:14" x14ac:dyDescent="0.25">
      <c r="A107" s="8" t="s">
        <v>17</v>
      </c>
      <c r="B107" s="15" t="s">
        <v>99</v>
      </c>
      <c r="C107" s="8">
        <v>802341</v>
      </c>
      <c r="D107" s="8" t="s">
        <v>20</v>
      </c>
      <c r="E107" s="8">
        <v>243</v>
      </c>
      <c r="F107" s="16">
        <v>117.587240202904</v>
      </c>
      <c r="G107" s="8" t="s">
        <v>23</v>
      </c>
      <c r="H107" s="8" t="s">
        <v>20</v>
      </c>
      <c r="I107" s="8" t="s">
        <v>18</v>
      </c>
      <c r="J107" s="8" t="s">
        <v>853</v>
      </c>
      <c r="K107" s="8" t="s">
        <v>99</v>
      </c>
      <c r="M107" s="8" t="s">
        <v>78</v>
      </c>
    </row>
    <row r="108" spans="1:14" x14ac:dyDescent="0.25">
      <c r="A108" s="8" t="s">
        <v>17</v>
      </c>
      <c r="B108" s="15" t="s">
        <v>125</v>
      </c>
      <c r="C108" s="8">
        <v>802351</v>
      </c>
      <c r="D108" s="8" t="s">
        <v>20</v>
      </c>
      <c r="E108" s="8">
        <v>38</v>
      </c>
      <c r="F108" s="16">
        <v>112.402508784088</v>
      </c>
      <c r="G108" s="8" t="s">
        <v>21</v>
      </c>
      <c r="H108" s="8" t="s">
        <v>20</v>
      </c>
      <c r="I108" s="8" t="s">
        <v>18</v>
      </c>
      <c r="J108" s="8" t="s">
        <v>853</v>
      </c>
      <c r="K108" s="8" t="s">
        <v>125</v>
      </c>
      <c r="M108" s="8" t="s">
        <v>78</v>
      </c>
    </row>
    <row r="109" spans="1:14" x14ac:dyDescent="0.25">
      <c r="A109" s="8" t="s">
        <v>17</v>
      </c>
      <c r="B109" s="15" t="s">
        <v>126</v>
      </c>
      <c r="C109" s="8">
        <v>802361</v>
      </c>
      <c r="D109" s="8" t="s">
        <v>20</v>
      </c>
      <c r="E109" s="8">
        <v>62</v>
      </c>
      <c r="F109" s="16">
        <v>119.60622611579799</v>
      </c>
      <c r="G109" s="8" t="s">
        <v>23</v>
      </c>
      <c r="H109" s="8" t="s">
        <v>20</v>
      </c>
      <c r="I109" s="8" t="s">
        <v>18</v>
      </c>
      <c r="J109" s="8" t="s">
        <v>853</v>
      </c>
      <c r="K109" s="8" t="s">
        <v>126</v>
      </c>
      <c r="M109" s="8" t="s">
        <v>78</v>
      </c>
    </row>
    <row r="110" spans="1:14" x14ac:dyDescent="0.25">
      <c r="A110" s="8" t="s">
        <v>17</v>
      </c>
      <c r="B110" s="15" t="s">
        <v>127</v>
      </c>
      <c r="C110" s="8">
        <v>802371</v>
      </c>
      <c r="D110" s="8" t="s">
        <v>20</v>
      </c>
      <c r="E110" s="8">
        <v>37</v>
      </c>
      <c r="F110" s="16">
        <v>112.39012506049799</v>
      </c>
      <c r="G110" s="8" t="s">
        <v>21</v>
      </c>
      <c r="H110" s="8" t="s">
        <v>20</v>
      </c>
      <c r="I110" s="8" t="s">
        <v>18</v>
      </c>
      <c r="J110" s="8" t="s">
        <v>853</v>
      </c>
      <c r="K110" s="8" t="s">
        <v>909</v>
      </c>
      <c r="M110" s="8" t="s">
        <v>78</v>
      </c>
    </row>
    <row r="111" spans="1:14" x14ac:dyDescent="0.25">
      <c r="A111" s="8" t="s">
        <v>17</v>
      </c>
      <c r="B111" s="15" t="s">
        <v>128</v>
      </c>
      <c r="C111" s="8">
        <v>802381</v>
      </c>
      <c r="D111" s="8" t="s">
        <v>20</v>
      </c>
      <c r="E111" s="8">
        <v>45</v>
      </c>
      <c r="F111" s="16">
        <v>109.09839274201001</v>
      </c>
      <c r="G111" s="8" t="s">
        <v>21</v>
      </c>
      <c r="H111" s="8" t="s">
        <v>20</v>
      </c>
      <c r="I111" s="8" t="s">
        <v>18</v>
      </c>
      <c r="J111" s="8" t="s">
        <v>853</v>
      </c>
      <c r="K111" s="8" t="s">
        <v>910</v>
      </c>
      <c r="M111" s="8" t="s">
        <v>78</v>
      </c>
    </row>
    <row r="112" spans="1:14" x14ac:dyDescent="0.25">
      <c r="A112" s="8" t="s">
        <v>17</v>
      </c>
      <c r="B112" s="15" t="s">
        <v>129</v>
      </c>
      <c r="C112" s="8">
        <v>802401</v>
      </c>
      <c r="D112" s="8" t="s">
        <v>20</v>
      </c>
      <c r="E112" s="8">
        <v>80</v>
      </c>
      <c r="F112" s="16">
        <v>116.00769751934899</v>
      </c>
      <c r="G112" s="8" t="s">
        <v>23</v>
      </c>
      <c r="H112" s="8" t="s">
        <v>20</v>
      </c>
      <c r="I112" s="8" t="s">
        <v>18</v>
      </c>
      <c r="J112" s="744" t="s">
        <v>853</v>
      </c>
      <c r="K112" s="744" t="s">
        <v>129</v>
      </c>
      <c r="L112" s="744" t="s">
        <v>855</v>
      </c>
      <c r="M112" s="744" t="s">
        <v>78</v>
      </c>
    </row>
    <row r="113" spans="1:15" x14ac:dyDescent="0.25">
      <c r="A113" s="8" t="s">
        <v>17</v>
      </c>
      <c r="B113" s="15" t="s">
        <v>104</v>
      </c>
      <c r="C113" s="8">
        <v>802411</v>
      </c>
      <c r="D113" s="8" t="s">
        <v>130</v>
      </c>
      <c r="E113" s="8">
        <v>242</v>
      </c>
      <c r="F113" s="16">
        <v>124.318036045729</v>
      </c>
      <c r="G113" s="8" t="s">
        <v>23</v>
      </c>
      <c r="H113" s="8" t="s">
        <v>20</v>
      </c>
      <c r="I113" s="8" t="s">
        <v>18</v>
      </c>
      <c r="J113" s="8" t="s">
        <v>853</v>
      </c>
      <c r="K113" s="23" t="s">
        <v>911</v>
      </c>
      <c r="L113" s="23"/>
      <c r="M113" s="23" t="s">
        <v>78</v>
      </c>
    </row>
    <row r="114" spans="1:15" x14ac:dyDescent="0.25">
      <c r="A114" s="8" t="s">
        <v>17</v>
      </c>
      <c r="B114" s="15" t="s">
        <v>104</v>
      </c>
      <c r="C114" s="8">
        <v>802421</v>
      </c>
      <c r="D114" s="8" t="s">
        <v>131</v>
      </c>
      <c r="E114" s="8">
        <v>223</v>
      </c>
      <c r="F114" s="16">
        <v>123.025601031471</v>
      </c>
      <c r="G114" s="8" t="s">
        <v>23</v>
      </c>
      <c r="H114" s="8" t="s">
        <v>20</v>
      </c>
      <c r="I114" s="8" t="s">
        <v>18</v>
      </c>
      <c r="J114" s="744" t="s">
        <v>853</v>
      </c>
      <c r="K114" s="744" t="s">
        <v>912</v>
      </c>
      <c r="L114" s="744" t="s">
        <v>855</v>
      </c>
      <c r="M114" s="744" t="s">
        <v>78</v>
      </c>
    </row>
    <row r="115" spans="1:15" x14ac:dyDescent="0.25">
      <c r="A115" s="8" t="s">
        <v>17</v>
      </c>
      <c r="B115" s="15" t="s">
        <v>105</v>
      </c>
      <c r="C115" s="8">
        <v>802431</v>
      </c>
      <c r="D115" s="8" t="s">
        <v>20</v>
      </c>
      <c r="E115" s="8">
        <v>67</v>
      </c>
      <c r="F115" s="16">
        <v>110.665074487506</v>
      </c>
      <c r="G115" s="8" t="s">
        <v>21</v>
      </c>
      <c r="H115" s="8" t="s">
        <v>20</v>
      </c>
      <c r="I115" s="8" t="s">
        <v>18</v>
      </c>
      <c r="J115" s="8" t="s">
        <v>853</v>
      </c>
      <c r="K115" s="23" t="s">
        <v>901</v>
      </c>
      <c r="L115" s="23"/>
      <c r="M115" s="23" t="s">
        <v>78</v>
      </c>
    </row>
    <row r="116" spans="1:15" x14ac:dyDescent="0.25">
      <c r="A116" s="8" t="s">
        <v>17</v>
      </c>
      <c r="B116" s="15" t="s">
        <v>106</v>
      </c>
      <c r="C116" s="8">
        <v>802441</v>
      </c>
      <c r="D116" s="8" t="s">
        <v>20</v>
      </c>
      <c r="E116" s="8">
        <v>163</v>
      </c>
      <c r="F116" s="16">
        <v>121.89087437437399</v>
      </c>
      <c r="G116" s="8" t="s">
        <v>23</v>
      </c>
      <c r="H116" s="8" t="s">
        <v>20</v>
      </c>
      <c r="I116" s="8" t="s">
        <v>18</v>
      </c>
      <c r="J116" s="8" t="s">
        <v>853</v>
      </c>
      <c r="K116" s="23" t="s">
        <v>902</v>
      </c>
      <c r="L116" s="23"/>
      <c r="M116" s="23" t="s">
        <v>78</v>
      </c>
    </row>
    <row r="117" spans="1:15" x14ac:dyDescent="0.25">
      <c r="A117" s="8" t="s">
        <v>17</v>
      </c>
      <c r="B117" s="15" t="s">
        <v>132</v>
      </c>
      <c r="C117" s="8">
        <v>802451</v>
      </c>
      <c r="D117" s="8" t="s">
        <v>20</v>
      </c>
      <c r="E117" s="8">
        <v>63</v>
      </c>
      <c r="F117" s="16">
        <v>114.876332746293</v>
      </c>
      <c r="G117" s="8" t="s">
        <v>21</v>
      </c>
      <c r="H117" s="8" t="s">
        <v>20</v>
      </c>
      <c r="I117" s="8" t="s">
        <v>18</v>
      </c>
      <c r="J117" s="8" t="s">
        <v>853</v>
      </c>
      <c r="K117" s="23" t="s">
        <v>132</v>
      </c>
      <c r="L117" s="23"/>
      <c r="M117" s="23" t="s">
        <v>78</v>
      </c>
      <c r="O117" s="749"/>
    </row>
    <row r="118" spans="1:15" x14ac:dyDescent="0.25">
      <c r="A118" s="8" t="s">
        <v>17</v>
      </c>
      <c r="B118" s="15" t="s">
        <v>133</v>
      </c>
      <c r="C118" s="8">
        <v>802461</v>
      </c>
      <c r="D118" s="8" t="s">
        <v>20</v>
      </c>
      <c r="E118" s="8">
        <v>45</v>
      </c>
      <c r="F118" s="16">
        <v>119.579336648135</v>
      </c>
      <c r="G118" s="8" t="s">
        <v>23</v>
      </c>
      <c r="H118" s="8" t="s">
        <v>20</v>
      </c>
      <c r="I118" s="8" t="s">
        <v>18</v>
      </c>
      <c r="J118" s="8" t="s">
        <v>853</v>
      </c>
      <c r="K118" s="23" t="s">
        <v>913</v>
      </c>
      <c r="L118" s="23"/>
      <c r="M118" s="23" t="s">
        <v>78</v>
      </c>
      <c r="N118" s="747">
        <v>-0.5</v>
      </c>
    </row>
    <row r="119" spans="1:15" x14ac:dyDescent="0.25">
      <c r="A119" s="8" t="s">
        <v>17</v>
      </c>
      <c r="B119" s="15" t="s">
        <v>134</v>
      </c>
      <c r="C119" s="8">
        <v>802471</v>
      </c>
      <c r="D119" s="8" t="s">
        <v>20</v>
      </c>
      <c r="E119" s="8">
        <v>34</v>
      </c>
      <c r="F119" s="16">
        <v>123.812931086413</v>
      </c>
      <c r="G119" s="8" t="s">
        <v>23</v>
      </c>
      <c r="H119" s="8" t="s">
        <v>20</v>
      </c>
      <c r="I119" s="8" t="s">
        <v>18</v>
      </c>
      <c r="J119" s="8" t="s">
        <v>853</v>
      </c>
      <c r="K119" s="23" t="s">
        <v>914</v>
      </c>
      <c r="L119" s="23"/>
      <c r="M119" s="23" t="s">
        <v>78</v>
      </c>
      <c r="N119" s="747">
        <v>-0.5</v>
      </c>
    </row>
    <row r="120" spans="1:15" x14ac:dyDescent="0.25">
      <c r="A120" s="8" t="s">
        <v>17</v>
      </c>
      <c r="B120" s="15" t="s">
        <v>101</v>
      </c>
      <c r="C120" s="8">
        <v>802481</v>
      </c>
      <c r="D120" s="8" t="s">
        <v>20</v>
      </c>
      <c r="E120" s="8">
        <v>60</v>
      </c>
      <c r="F120" s="16">
        <v>117.06299421268299</v>
      </c>
      <c r="G120" s="8" t="s">
        <v>23</v>
      </c>
      <c r="H120" s="8" t="s">
        <v>20</v>
      </c>
      <c r="I120" s="8" t="s">
        <v>18</v>
      </c>
      <c r="J120" s="8" t="s">
        <v>853</v>
      </c>
      <c r="K120" s="23" t="s">
        <v>915</v>
      </c>
      <c r="L120" s="23"/>
      <c r="M120" s="23" t="s">
        <v>78</v>
      </c>
    </row>
    <row r="121" spans="1:15" x14ac:dyDescent="0.25">
      <c r="A121" s="8" t="s">
        <v>17</v>
      </c>
      <c r="B121" s="21" t="s">
        <v>135</v>
      </c>
      <c r="C121" s="8">
        <v>802491</v>
      </c>
      <c r="D121" s="8" t="s">
        <v>20</v>
      </c>
      <c r="E121" s="8">
        <v>14</v>
      </c>
      <c r="F121" s="16">
        <v>116.75384800384801</v>
      </c>
      <c r="G121" s="8" t="s">
        <v>23</v>
      </c>
      <c r="H121" s="8" t="s">
        <v>20</v>
      </c>
      <c r="I121" s="8" t="s">
        <v>18</v>
      </c>
      <c r="J121" s="8" t="s">
        <v>853</v>
      </c>
      <c r="K121" s="23" t="s">
        <v>916</v>
      </c>
      <c r="L121" s="23"/>
      <c r="M121" s="23" t="s">
        <v>78</v>
      </c>
    </row>
    <row r="122" spans="1:15" x14ac:dyDescent="0.25">
      <c r="A122" s="8" t="s">
        <v>17</v>
      </c>
      <c r="B122" s="15" t="s">
        <v>136</v>
      </c>
      <c r="C122" s="8">
        <v>802501</v>
      </c>
      <c r="D122" s="8" t="s">
        <v>20</v>
      </c>
      <c r="E122" s="8">
        <v>26</v>
      </c>
      <c r="F122" s="16">
        <v>116.965544871795</v>
      </c>
      <c r="G122" s="8" t="s">
        <v>23</v>
      </c>
      <c r="H122" s="8" t="s">
        <v>20</v>
      </c>
      <c r="I122" s="8" t="s">
        <v>18</v>
      </c>
      <c r="J122" s="8" t="s">
        <v>853</v>
      </c>
      <c r="K122" s="23" t="s">
        <v>136</v>
      </c>
      <c r="L122" s="23"/>
      <c r="M122" s="23" t="s">
        <v>78</v>
      </c>
    </row>
    <row r="123" spans="1:15" x14ac:dyDescent="0.25">
      <c r="A123" s="8" t="s">
        <v>17</v>
      </c>
      <c r="B123" s="15" t="s">
        <v>137</v>
      </c>
      <c r="C123" s="8">
        <v>802511</v>
      </c>
      <c r="D123" s="8" t="s">
        <v>20</v>
      </c>
      <c r="E123" s="8">
        <v>50</v>
      </c>
      <c r="F123" s="16">
        <v>112.653428416821</v>
      </c>
      <c r="G123" s="8" t="s">
        <v>21</v>
      </c>
      <c r="H123" s="8" t="s">
        <v>20</v>
      </c>
      <c r="I123" s="8" t="s">
        <v>18</v>
      </c>
      <c r="J123" s="8" t="s">
        <v>853</v>
      </c>
      <c r="K123" s="23" t="s">
        <v>137</v>
      </c>
      <c r="L123" s="23"/>
      <c r="M123" s="23" t="s">
        <v>78</v>
      </c>
    </row>
    <row r="124" spans="1:15" x14ac:dyDescent="0.25">
      <c r="A124" s="8" t="s">
        <v>17</v>
      </c>
      <c r="B124" s="15" t="s">
        <v>138</v>
      </c>
      <c r="C124" s="8">
        <v>802521</v>
      </c>
      <c r="D124" s="8" t="s">
        <v>20</v>
      </c>
      <c r="E124" s="8">
        <v>12</v>
      </c>
      <c r="F124" s="16">
        <v>114.880952380952</v>
      </c>
      <c r="G124" s="8" t="s">
        <v>21</v>
      </c>
      <c r="H124" s="8" t="s">
        <v>20</v>
      </c>
      <c r="I124" s="8" t="s">
        <v>18</v>
      </c>
      <c r="J124" s="8" t="s">
        <v>853</v>
      </c>
      <c r="K124" s="23" t="s">
        <v>138</v>
      </c>
      <c r="L124" s="23"/>
      <c r="M124" s="23" t="s">
        <v>78</v>
      </c>
    </row>
    <row r="125" spans="1:15" x14ac:dyDescent="0.25">
      <c r="A125" s="8" t="s">
        <v>17</v>
      </c>
      <c r="B125" s="15" t="s">
        <v>139</v>
      </c>
      <c r="C125" s="8">
        <v>802531</v>
      </c>
      <c r="D125" s="8" t="s">
        <v>20</v>
      </c>
      <c r="E125" s="8">
        <v>51</v>
      </c>
      <c r="F125" s="16">
        <v>103.49893162393199</v>
      </c>
      <c r="G125" s="8" t="s">
        <v>21</v>
      </c>
      <c r="H125" s="8" t="s">
        <v>20</v>
      </c>
      <c r="I125" s="8" t="s">
        <v>18</v>
      </c>
      <c r="J125" s="8" t="s">
        <v>853</v>
      </c>
      <c r="K125" s="23" t="s">
        <v>139</v>
      </c>
      <c r="L125" s="23"/>
      <c r="M125" s="23" t="s">
        <v>78</v>
      </c>
    </row>
    <row r="126" spans="1:15" x14ac:dyDescent="0.25">
      <c r="A126" s="8" t="s">
        <v>17</v>
      </c>
      <c r="B126" s="15" t="s">
        <v>140</v>
      </c>
      <c r="C126" s="8">
        <v>802541</v>
      </c>
      <c r="D126" s="8" t="s">
        <v>20</v>
      </c>
      <c r="E126" s="8">
        <v>16</v>
      </c>
      <c r="F126" s="16">
        <v>108.712121212121</v>
      </c>
      <c r="G126" s="8" t="s">
        <v>21</v>
      </c>
      <c r="H126" s="8" t="s">
        <v>20</v>
      </c>
      <c r="I126" s="8" t="s">
        <v>18</v>
      </c>
      <c r="J126" s="8" t="s">
        <v>853</v>
      </c>
      <c r="K126" s="23" t="s">
        <v>140</v>
      </c>
      <c r="L126" s="23"/>
      <c r="M126" s="23" t="s">
        <v>78</v>
      </c>
    </row>
    <row r="127" spans="1:15" x14ac:dyDescent="0.25">
      <c r="A127" s="8" t="s">
        <v>17</v>
      </c>
      <c r="B127" s="15" t="s">
        <v>107</v>
      </c>
      <c r="C127" s="8">
        <v>802551</v>
      </c>
      <c r="D127" s="8" t="s">
        <v>20</v>
      </c>
      <c r="E127" s="8">
        <v>172</v>
      </c>
      <c r="F127" s="16">
        <v>113.99349055080199</v>
      </c>
      <c r="G127" s="8" t="s">
        <v>21</v>
      </c>
      <c r="H127" s="8" t="s">
        <v>20</v>
      </c>
      <c r="I127" s="8" t="s">
        <v>18</v>
      </c>
      <c r="J127" s="8" t="s">
        <v>853</v>
      </c>
      <c r="K127" s="23" t="s">
        <v>114</v>
      </c>
      <c r="L127" s="23"/>
      <c r="M127" s="23" t="s">
        <v>78</v>
      </c>
    </row>
    <row r="128" spans="1:15" x14ac:dyDescent="0.25">
      <c r="A128" s="8" t="s">
        <v>17</v>
      </c>
      <c r="B128" s="15" t="s">
        <v>141</v>
      </c>
      <c r="C128" s="8">
        <v>802561</v>
      </c>
      <c r="D128" s="8" t="s">
        <v>20</v>
      </c>
      <c r="E128" s="8">
        <v>80</v>
      </c>
      <c r="F128" s="16">
        <v>105.751349345099</v>
      </c>
      <c r="G128" s="8" t="s">
        <v>21</v>
      </c>
      <c r="H128" s="8" t="s">
        <v>20</v>
      </c>
      <c r="I128" s="8" t="s">
        <v>18</v>
      </c>
      <c r="J128" s="8" t="s">
        <v>853</v>
      </c>
      <c r="K128" s="23" t="s">
        <v>917</v>
      </c>
      <c r="L128" s="23"/>
      <c r="M128" s="23" t="s">
        <v>78</v>
      </c>
    </row>
    <row r="129" spans="1:14" x14ac:dyDescent="0.25">
      <c r="A129" s="8" t="s">
        <v>17</v>
      </c>
      <c r="B129" s="15" t="s">
        <v>142</v>
      </c>
      <c r="C129" s="8">
        <v>802571</v>
      </c>
      <c r="D129" s="8" t="s">
        <v>20</v>
      </c>
      <c r="E129" s="8">
        <v>16</v>
      </c>
      <c r="F129" s="16">
        <v>116.50118978243999</v>
      </c>
      <c r="G129" s="8" t="s">
        <v>23</v>
      </c>
      <c r="H129" s="8" t="s">
        <v>20</v>
      </c>
      <c r="I129" s="8" t="s">
        <v>18</v>
      </c>
      <c r="J129" s="8" t="s">
        <v>853</v>
      </c>
      <c r="K129" s="23" t="s">
        <v>142</v>
      </c>
      <c r="L129" s="23"/>
      <c r="M129" s="23" t="s">
        <v>78</v>
      </c>
    </row>
    <row r="130" spans="1:14" x14ac:dyDescent="0.25">
      <c r="A130" s="8" t="s">
        <v>17</v>
      </c>
      <c r="B130" s="15" t="s">
        <v>143</v>
      </c>
      <c r="C130" s="8">
        <v>802581</v>
      </c>
      <c r="D130" s="8" t="s">
        <v>20</v>
      </c>
      <c r="E130" s="8">
        <v>69</v>
      </c>
      <c r="F130" s="16">
        <v>112.820244352941</v>
      </c>
      <c r="G130" s="8" t="s">
        <v>21</v>
      </c>
      <c r="H130" s="8" t="s">
        <v>20</v>
      </c>
      <c r="I130" s="8" t="s">
        <v>18</v>
      </c>
      <c r="J130" s="8" t="s">
        <v>853</v>
      </c>
      <c r="K130" s="23" t="s">
        <v>918</v>
      </c>
      <c r="L130" s="23"/>
      <c r="M130" s="23" t="s">
        <v>78</v>
      </c>
    </row>
    <row r="131" spans="1:14" x14ac:dyDescent="0.25">
      <c r="A131" s="8" t="s">
        <v>17</v>
      </c>
      <c r="B131" s="15" t="s">
        <v>143</v>
      </c>
      <c r="C131" s="8">
        <v>802591</v>
      </c>
      <c r="D131" s="8" t="s">
        <v>144</v>
      </c>
      <c r="E131" s="8">
        <v>17</v>
      </c>
      <c r="F131" s="16">
        <v>104.861111111111</v>
      </c>
      <c r="G131" s="8" t="s">
        <v>21</v>
      </c>
      <c r="H131" s="8" t="s">
        <v>20</v>
      </c>
      <c r="I131" s="8" t="s">
        <v>18</v>
      </c>
      <c r="J131" s="8" t="s">
        <v>853</v>
      </c>
      <c r="K131" s="23" t="s">
        <v>919</v>
      </c>
      <c r="L131" s="23"/>
      <c r="M131" s="23" t="s">
        <v>78</v>
      </c>
    </row>
    <row r="132" spans="1:14" x14ac:dyDescent="0.25">
      <c r="A132" s="8" t="s">
        <v>17</v>
      </c>
      <c r="B132" s="15" t="s">
        <v>108</v>
      </c>
      <c r="C132" s="8">
        <v>802611</v>
      </c>
      <c r="D132" s="8" t="s">
        <v>20</v>
      </c>
      <c r="E132" s="8">
        <v>255</v>
      </c>
      <c r="F132" s="16">
        <v>115.72840660054899</v>
      </c>
      <c r="G132" s="8" t="s">
        <v>23</v>
      </c>
      <c r="H132" s="8" t="s">
        <v>20</v>
      </c>
      <c r="I132" s="8" t="s">
        <v>18</v>
      </c>
      <c r="J132" s="8" t="s">
        <v>853</v>
      </c>
      <c r="K132" s="23" t="s">
        <v>920</v>
      </c>
      <c r="L132" s="23"/>
      <c r="M132" s="23" t="s">
        <v>78</v>
      </c>
      <c r="N132" s="747">
        <v>-0.5</v>
      </c>
    </row>
    <row r="133" spans="1:14" x14ac:dyDescent="0.25">
      <c r="A133" s="8" t="s">
        <v>17</v>
      </c>
      <c r="B133" s="15" t="s">
        <v>108</v>
      </c>
      <c r="C133" s="8">
        <v>802621</v>
      </c>
      <c r="D133" s="8" t="s">
        <v>145</v>
      </c>
      <c r="E133" s="8">
        <v>140</v>
      </c>
      <c r="F133" s="16">
        <v>121.701735280698</v>
      </c>
      <c r="G133" s="8" t="s">
        <v>23</v>
      </c>
      <c r="H133" s="8" t="s">
        <v>20</v>
      </c>
      <c r="I133" s="8" t="s">
        <v>18</v>
      </c>
      <c r="J133" s="8" t="s">
        <v>853</v>
      </c>
      <c r="K133" s="23" t="s">
        <v>921</v>
      </c>
      <c r="L133" s="23"/>
      <c r="M133" s="23" t="s">
        <v>78</v>
      </c>
    </row>
    <row r="134" spans="1:14" x14ac:dyDescent="0.25">
      <c r="A134" s="8" t="s">
        <v>17</v>
      </c>
      <c r="B134" s="15" t="s">
        <v>78</v>
      </c>
      <c r="C134" s="8">
        <v>802631</v>
      </c>
      <c r="D134" s="8" t="s">
        <v>146</v>
      </c>
      <c r="E134" s="8">
        <v>222</v>
      </c>
      <c r="F134" s="16">
        <v>126.65255404195899</v>
      </c>
      <c r="G134" s="8" t="s">
        <v>47</v>
      </c>
      <c r="H134" s="8" t="s">
        <v>20</v>
      </c>
      <c r="I134" s="8" t="s">
        <v>18</v>
      </c>
      <c r="J134" s="744" t="s">
        <v>853</v>
      </c>
      <c r="K134" s="744" t="s">
        <v>922</v>
      </c>
      <c r="L134" s="744" t="s">
        <v>855</v>
      </c>
      <c r="M134" s="744" t="s">
        <v>78</v>
      </c>
      <c r="N134" s="747">
        <v>-0.5</v>
      </c>
    </row>
    <row r="135" spans="1:14" x14ac:dyDescent="0.25">
      <c r="A135" s="8" t="s">
        <v>17</v>
      </c>
      <c r="B135" s="15" t="s">
        <v>147</v>
      </c>
      <c r="C135" s="8">
        <v>802641</v>
      </c>
      <c r="D135" s="8" t="s">
        <v>148</v>
      </c>
      <c r="E135" s="8">
        <v>26</v>
      </c>
      <c r="F135" s="16">
        <v>107.93052810715901</v>
      </c>
      <c r="G135" s="8" t="s">
        <v>21</v>
      </c>
      <c r="H135" s="8" t="s">
        <v>77</v>
      </c>
      <c r="I135" s="8" t="s">
        <v>53</v>
      </c>
      <c r="J135" s="746" t="s">
        <v>881</v>
      </c>
      <c r="K135" s="746" t="s">
        <v>923</v>
      </c>
      <c r="L135" s="746"/>
      <c r="M135" s="745" t="s">
        <v>78</v>
      </c>
    </row>
    <row r="136" spans="1:14" x14ac:dyDescent="0.25">
      <c r="A136" s="8" t="s">
        <v>17</v>
      </c>
      <c r="B136" s="15" t="s">
        <v>78</v>
      </c>
      <c r="C136" s="8">
        <v>802651</v>
      </c>
      <c r="D136" s="8" t="s">
        <v>149</v>
      </c>
      <c r="E136" s="8">
        <v>75</v>
      </c>
      <c r="F136" s="16">
        <v>105.027039032636</v>
      </c>
      <c r="G136" s="8" t="s">
        <v>21</v>
      </c>
      <c r="H136" s="8" t="s">
        <v>20</v>
      </c>
      <c r="I136" s="8" t="s">
        <v>53</v>
      </c>
      <c r="J136" s="746" t="s">
        <v>881</v>
      </c>
      <c r="K136" s="745" t="s">
        <v>886</v>
      </c>
      <c r="L136" s="745"/>
      <c r="M136" s="745" t="s">
        <v>78</v>
      </c>
    </row>
    <row r="137" spans="1:14" x14ac:dyDescent="0.25">
      <c r="A137" s="8" t="s">
        <v>17</v>
      </c>
      <c r="B137" s="15" t="s">
        <v>78</v>
      </c>
      <c r="C137" s="8">
        <v>802661</v>
      </c>
      <c r="D137" s="8" t="s">
        <v>150</v>
      </c>
      <c r="E137" s="8">
        <v>66</v>
      </c>
      <c r="F137" s="16">
        <v>114.294565501926</v>
      </c>
      <c r="G137" s="8" t="s">
        <v>21</v>
      </c>
      <c r="H137" s="8" t="s">
        <v>20</v>
      </c>
      <c r="I137" s="8" t="s">
        <v>53</v>
      </c>
      <c r="J137" s="746" t="s">
        <v>881</v>
      </c>
      <c r="K137" s="746" t="s">
        <v>924</v>
      </c>
      <c r="L137" s="745"/>
      <c r="M137" s="745" t="s">
        <v>78</v>
      </c>
    </row>
    <row r="138" spans="1:14" x14ac:dyDescent="0.25">
      <c r="A138" s="8" t="s">
        <v>17</v>
      </c>
      <c r="B138" s="15" t="s">
        <v>151</v>
      </c>
      <c r="C138" s="8">
        <v>803011</v>
      </c>
      <c r="D138" s="8" t="s">
        <v>152</v>
      </c>
      <c r="E138" s="8">
        <v>277</v>
      </c>
      <c r="F138" s="16">
        <v>121.99937828346999</v>
      </c>
      <c r="G138" s="8" t="s">
        <v>23</v>
      </c>
      <c r="H138" s="8" t="s">
        <v>20</v>
      </c>
      <c r="I138" s="8" t="s">
        <v>18</v>
      </c>
      <c r="J138" s="8" t="s">
        <v>853</v>
      </c>
      <c r="K138" s="8" t="s">
        <v>925</v>
      </c>
      <c r="M138" s="8" t="s">
        <v>151</v>
      </c>
      <c r="N138" s="747">
        <v>-0.5</v>
      </c>
    </row>
    <row r="139" spans="1:14" x14ac:dyDescent="0.25">
      <c r="A139" s="8" t="s">
        <v>17</v>
      </c>
      <c r="B139" s="15" t="s">
        <v>153</v>
      </c>
      <c r="C139" s="8">
        <v>803012</v>
      </c>
      <c r="D139" s="8" t="s">
        <v>154</v>
      </c>
      <c r="E139" s="8">
        <v>254</v>
      </c>
      <c r="F139" s="16">
        <v>133.425259575665</v>
      </c>
      <c r="G139" s="8" t="s">
        <v>47</v>
      </c>
      <c r="H139" s="8" t="s">
        <v>27</v>
      </c>
      <c r="I139" s="8" t="s">
        <v>18</v>
      </c>
      <c r="J139" s="8" t="s">
        <v>857</v>
      </c>
      <c r="K139" s="8" t="s">
        <v>153</v>
      </c>
      <c r="M139" s="8" t="s">
        <v>151</v>
      </c>
      <c r="N139" s="747">
        <v>-0.5</v>
      </c>
    </row>
    <row r="140" spans="1:14" x14ac:dyDescent="0.25">
      <c r="A140" s="8" t="s">
        <v>17</v>
      </c>
      <c r="B140" s="15" t="s">
        <v>151</v>
      </c>
      <c r="C140" s="8">
        <v>803021</v>
      </c>
      <c r="D140" s="8" t="s">
        <v>155</v>
      </c>
      <c r="E140" s="8">
        <v>234</v>
      </c>
      <c r="F140" s="16">
        <v>128.711694753751</v>
      </c>
      <c r="G140" s="8" t="s">
        <v>47</v>
      </c>
      <c r="H140" s="8" t="s">
        <v>20</v>
      </c>
      <c r="I140" s="8" t="s">
        <v>18</v>
      </c>
      <c r="J140" s="8" t="s">
        <v>853</v>
      </c>
      <c r="K140" s="8" t="s">
        <v>153</v>
      </c>
      <c r="M140" s="8" t="s">
        <v>151</v>
      </c>
      <c r="N140" s="747">
        <v>-0.5</v>
      </c>
    </row>
    <row r="141" spans="1:14" x14ac:dyDescent="0.25">
      <c r="A141" s="8" t="s">
        <v>17</v>
      </c>
      <c r="B141" s="15" t="s">
        <v>151</v>
      </c>
      <c r="C141" s="8">
        <v>803022</v>
      </c>
      <c r="D141" s="8" t="s">
        <v>156</v>
      </c>
      <c r="E141" s="8">
        <v>352</v>
      </c>
      <c r="F141" s="16">
        <v>120.24462018499599</v>
      </c>
      <c r="G141" s="8" t="s">
        <v>23</v>
      </c>
      <c r="H141" s="8" t="s">
        <v>27</v>
      </c>
      <c r="I141" s="8" t="s">
        <v>18</v>
      </c>
      <c r="J141" s="8" t="s">
        <v>857</v>
      </c>
      <c r="K141" s="8" t="s">
        <v>926</v>
      </c>
      <c r="M141" s="8" t="s">
        <v>151</v>
      </c>
      <c r="N141" s="747">
        <v>-0.5</v>
      </c>
    </row>
    <row r="142" spans="1:14" x14ac:dyDescent="0.25">
      <c r="A142" s="8" t="s">
        <v>17</v>
      </c>
      <c r="B142" s="15" t="s">
        <v>151</v>
      </c>
      <c r="C142" s="8">
        <v>803031</v>
      </c>
      <c r="D142" s="8" t="s">
        <v>157</v>
      </c>
      <c r="E142" s="8">
        <v>302</v>
      </c>
      <c r="F142" s="16">
        <v>115.137074718948</v>
      </c>
      <c r="G142" s="8" t="s">
        <v>23</v>
      </c>
      <c r="H142" s="8" t="s">
        <v>20</v>
      </c>
      <c r="I142" s="8" t="s">
        <v>18</v>
      </c>
      <c r="J142" s="8" t="s">
        <v>853</v>
      </c>
      <c r="K142" s="8" t="s">
        <v>927</v>
      </c>
      <c r="M142" s="8" t="s">
        <v>151</v>
      </c>
      <c r="N142" s="747">
        <v>-0.5</v>
      </c>
    </row>
    <row r="143" spans="1:14" x14ac:dyDescent="0.25">
      <c r="A143" s="8" t="s">
        <v>17</v>
      </c>
      <c r="B143" s="15" t="s">
        <v>158</v>
      </c>
      <c r="C143" s="8">
        <v>803032</v>
      </c>
      <c r="D143" s="8" t="s">
        <v>154</v>
      </c>
      <c r="E143" s="8">
        <v>343</v>
      </c>
      <c r="F143" s="16">
        <v>119.610331222315</v>
      </c>
      <c r="G143" s="8" t="s">
        <v>23</v>
      </c>
      <c r="H143" s="8" t="s">
        <v>27</v>
      </c>
      <c r="I143" s="8" t="s">
        <v>18</v>
      </c>
      <c r="J143" s="8" t="s">
        <v>857</v>
      </c>
      <c r="K143" s="8" t="s">
        <v>928</v>
      </c>
      <c r="M143" s="8" t="s">
        <v>151</v>
      </c>
    </row>
    <row r="144" spans="1:14" x14ac:dyDescent="0.25">
      <c r="A144" s="8" t="s">
        <v>17</v>
      </c>
      <c r="B144" s="15" t="s">
        <v>159</v>
      </c>
      <c r="C144" s="8">
        <v>803041</v>
      </c>
      <c r="D144" s="8" t="s">
        <v>160</v>
      </c>
      <c r="E144" s="8">
        <v>153</v>
      </c>
      <c r="F144" s="16">
        <v>125.022323320219</v>
      </c>
      <c r="G144" s="8" t="s">
        <v>23</v>
      </c>
      <c r="H144" s="8" t="s">
        <v>20</v>
      </c>
      <c r="I144" s="8" t="s">
        <v>18</v>
      </c>
      <c r="J144" s="8" t="s">
        <v>853</v>
      </c>
      <c r="K144" s="8" t="s">
        <v>929</v>
      </c>
      <c r="M144" s="8" t="s">
        <v>151</v>
      </c>
      <c r="N144" s="747">
        <v>-0.5</v>
      </c>
    </row>
    <row r="145" spans="1:14" x14ac:dyDescent="0.25">
      <c r="A145" s="8" t="s">
        <v>17</v>
      </c>
      <c r="B145" s="15" t="s">
        <v>161</v>
      </c>
      <c r="C145" s="8">
        <v>803042</v>
      </c>
      <c r="D145" s="8" t="s">
        <v>162</v>
      </c>
      <c r="E145" s="8">
        <v>258</v>
      </c>
      <c r="F145" s="16">
        <v>136.73835222624899</v>
      </c>
      <c r="G145" s="8" t="s">
        <v>26</v>
      </c>
      <c r="H145" s="8" t="s">
        <v>27</v>
      </c>
      <c r="I145" s="8" t="s">
        <v>18</v>
      </c>
      <c r="J145" s="8" t="s">
        <v>857</v>
      </c>
      <c r="K145" s="8" t="s">
        <v>930</v>
      </c>
      <c r="M145" s="8" t="s">
        <v>151</v>
      </c>
      <c r="N145" s="747">
        <v>-0.5</v>
      </c>
    </row>
    <row r="146" spans="1:14" x14ac:dyDescent="0.25">
      <c r="A146" s="8" t="s">
        <v>17</v>
      </c>
      <c r="B146" s="15" t="s">
        <v>151</v>
      </c>
      <c r="C146" s="8">
        <v>803051</v>
      </c>
      <c r="D146" s="8" t="s">
        <v>163</v>
      </c>
      <c r="E146" s="8">
        <v>165</v>
      </c>
      <c r="F146" s="16">
        <v>113.229129750067</v>
      </c>
      <c r="G146" s="8" t="s">
        <v>21</v>
      </c>
      <c r="H146" s="8" t="s">
        <v>20</v>
      </c>
      <c r="I146" s="8" t="s">
        <v>18</v>
      </c>
      <c r="J146" s="8" t="s">
        <v>853</v>
      </c>
      <c r="K146" s="8" t="s">
        <v>931</v>
      </c>
      <c r="M146" s="8" t="s">
        <v>151</v>
      </c>
      <c r="N146" s="747">
        <v>-0.5</v>
      </c>
    </row>
    <row r="147" spans="1:14" x14ac:dyDescent="0.25">
      <c r="A147" s="8" t="s">
        <v>17</v>
      </c>
      <c r="B147" s="15" t="s">
        <v>164</v>
      </c>
      <c r="C147" s="8">
        <v>803052</v>
      </c>
      <c r="D147" s="8" t="s">
        <v>165</v>
      </c>
      <c r="E147" s="8">
        <v>259</v>
      </c>
      <c r="F147" s="16">
        <v>126.714735832559</v>
      </c>
      <c r="G147" s="8" t="s">
        <v>47</v>
      </c>
      <c r="H147" s="8" t="s">
        <v>27</v>
      </c>
      <c r="I147" s="8" t="s">
        <v>18</v>
      </c>
      <c r="J147" s="8" t="s">
        <v>857</v>
      </c>
      <c r="K147" s="8" t="s">
        <v>164</v>
      </c>
      <c r="M147" s="8" t="s">
        <v>151</v>
      </c>
      <c r="N147" s="747">
        <v>-0.5</v>
      </c>
    </row>
    <row r="148" spans="1:14" x14ac:dyDescent="0.25">
      <c r="A148" s="8" t="s">
        <v>17</v>
      </c>
      <c r="B148" s="15" t="s">
        <v>151</v>
      </c>
      <c r="C148" s="8">
        <v>803061</v>
      </c>
      <c r="D148" s="8" t="s">
        <v>166</v>
      </c>
      <c r="E148" s="8">
        <v>242</v>
      </c>
      <c r="F148" s="16">
        <v>121.459786144253</v>
      </c>
      <c r="G148" s="8" t="s">
        <v>23</v>
      </c>
      <c r="H148" s="8" t="s">
        <v>20</v>
      </c>
      <c r="I148" s="8" t="s">
        <v>18</v>
      </c>
      <c r="J148" s="8" t="s">
        <v>853</v>
      </c>
      <c r="K148" s="8" t="s">
        <v>932</v>
      </c>
      <c r="M148" s="8" t="s">
        <v>151</v>
      </c>
      <c r="N148" s="747">
        <v>-0.5</v>
      </c>
    </row>
    <row r="149" spans="1:14" x14ac:dyDescent="0.25">
      <c r="A149" s="8" t="s">
        <v>17</v>
      </c>
      <c r="B149" s="15" t="s">
        <v>159</v>
      </c>
      <c r="C149" s="8">
        <v>803062</v>
      </c>
      <c r="D149" s="8" t="s">
        <v>167</v>
      </c>
      <c r="E149" s="8">
        <v>231</v>
      </c>
      <c r="F149" s="16">
        <v>127.87319792729301</v>
      </c>
      <c r="G149" s="8" t="s">
        <v>47</v>
      </c>
      <c r="H149" s="8" t="s">
        <v>27</v>
      </c>
      <c r="I149" s="8" t="s">
        <v>18</v>
      </c>
      <c r="J149" s="8" t="s">
        <v>857</v>
      </c>
      <c r="K149" s="8" t="s">
        <v>933</v>
      </c>
      <c r="M149" s="8" t="s">
        <v>151</v>
      </c>
      <c r="N149" s="747">
        <v>-0.5</v>
      </c>
    </row>
    <row r="150" spans="1:14" x14ac:dyDescent="0.25">
      <c r="A150" s="8" t="s">
        <v>17</v>
      </c>
      <c r="B150" s="15" t="s">
        <v>151</v>
      </c>
      <c r="C150" s="8">
        <v>803071</v>
      </c>
      <c r="D150" s="8" t="s">
        <v>168</v>
      </c>
      <c r="E150" s="8">
        <v>179</v>
      </c>
      <c r="F150" s="16">
        <v>125.395472772784</v>
      </c>
      <c r="G150" s="8" t="s">
        <v>47</v>
      </c>
      <c r="H150" s="8" t="s">
        <v>20</v>
      </c>
      <c r="I150" s="8" t="s">
        <v>18</v>
      </c>
      <c r="J150" s="8" t="s">
        <v>853</v>
      </c>
      <c r="K150" s="8" t="s">
        <v>934</v>
      </c>
      <c r="M150" s="8" t="s">
        <v>151</v>
      </c>
      <c r="N150" s="747">
        <v>-0.5</v>
      </c>
    </row>
    <row r="151" spans="1:14" x14ac:dyDescent="0.25">
      <c r="A151" s="8" t="s">
        <v>17</v>
      </c>
      <c r="B151" s="15" t="s">
        <v>159</v>
      </c>
      <c r="C151" s="8">
        <v>803072</v>
      </c>
      <c r="D151" s="8" t="s">
        <v>169</v>
      </c>
      <c r="E151" s="8">
        <v>213</v>
      </c>
      <c r="F151" s="16">
        <v>127.524659408967</v>
      </c>
      <c r="G151" s="8" t="s">
        <v>47</v>
      </c>
      <c r="H151" s="8" t="s">
        <v>27</v>
      </c>
      <c r="I151" s="8" t="s">
        <v>18</v>
      </c>
      <c r="J151" s="8" t="s">
        <v>857</v>
      </c>
      <c r="K151" s="8" t="s">
        <v>935</v>
      </c>
      <c r="M151" s="8" t="s">
        <v>151</v>
      </c>
      <c r="N151" s="747">
        <v>-0.5</v>
      </c>
    </row>
    <row r="152" spans="1:14" x14ac:dyDescent="0.25">
      <c r="A152" s="8" t="s">
        <v>17</v>
      </c>
      <c r="B152" s="15" t="s">
        <v>151</v>
      </c>
      <c r="C152" s="8">
        <v>803081</v>
      </c>
      <c r="D152" s="8" t="s">
        <v>170</v>
      </c>
      <c r="E152" s="8">
        <v>241</v>
      </c>
      <c r="F152" s="16">
        <v>118.31675172334199</v>
      </c>
      <c r="G152" s="8" t="s">
        <v>23</v>
      </c>
      <c r="H152" s="8" t="s">
        <v>20</v>
      </c>
      <c r="I152" s="8" t="s">
        <v>18</v>
      </c>
      <c r="J152" s="8" t="s">
        <v>853</v>
      </c>
      <c r="K152" s="8" t="s">
        <v>936</v>
      </c>
      <c r="M152" s="8" t="s">
        <v>151</v>
      </c>
      <c r="N152" s="747">
        <v>-0.5</v>
      </c>
    </row>
    <row r="153" spans="1:14" x14ac:dyDescent="0.25">
      <c r="A153" s="8" t="s">
        <v>17</v>
      </c>
      <c r="B153" s="15" t="s">
        <v>158</v>
      </c>
      <c r="C153" s="8">
        <v>803082</v>
      </c>
      <c r="D153" s="8" t="s">
        <v>171</v>
      </c>
      <c r="E153" s="8">
        <v>278</v>
      </c>
      <c r="F153" s="16">
        <v>130.67645236977299</v>
      </c>
      <c r="G153" s="8" t="s">
        <v>47</v>
      </c>
      <c r="H153" s="8" t="s">
        <v>27</v>
      </c>
      <c r="I153" s="8" t="s">
        <v>18</v>
      </c>
      <c r="J153" s="8" t="s">
        <v>857</v>
      </c>
      <c r="K153" s="8" t="s">
        <v>937</v>
      </c>
      <c r="M153" s="8" t="s">
        <v>151</v>
      </c>
    </row>
    <row r="154" spans="1:14" x14ac:dyDescent="0.25">
      <c r="A154" s="8" t="s">
        <v>17</v>
      </c>
      <c r="B154" s="15" t="s">
        <v>151</v>
      </c>
      <c r="C154" s="8">
        <v>803092</v>
      </c>
      <c r="D154" s="8" t="s">
        <v>172</v>
      </c>
      <c r="E154" s="8">
        <v>201</v>
      </c>
      <c r="F154" s="16">
        <v>131.04504834502001</v>
      </c>
      <c r="G154" s="8" t="s">
        <v>47</v>
      </c>
      <c r="H154" s="8" t="s">
        <v>27</v>
      </c>
      <c r="I154" s="8" t="s">
        <v>18</v>
      </c>
      <c r="J154" s="8" t="s">
        <v>857</v>
      </c>
      <c r="K154" s="8" t="s">
        <v>936</v>
      </c>
      <c r="M154" s="8" t="s">
        <v>151</v>
      </c>
      <c r="N154" s="747">
        <v>-0.5</v>
      </c>
    </row>
    <row r="155" spans="1:14" x14ac:dyDescent="0.25">
      <c r="A155" s="8" t="s">
        <v>17</v>
      </c>
      <c r="B155" s="15" t="s">
        <v>151</v>
      </c>
      <c r="C155" s="8">
        <v>803101</v>
      </c>
      <c r="D155" s="8" t="s">
        <v>173</v>
      </c>
      <c r="E155" s="8">
        <v>28</v>
      </c>
      <c r="F155" s="16">
        <v>103.296703296703</v>
      </c>
      <c r="G155" s="8" t="s">
        <v>21</v>
      </c>
      <c r="H155" s="8" t="s">
        <v>20</v>
      </c>
      <c r="I155" s="8" t="s">
        <v>18</v>
      </c>
      <c r="J155" s="8" t="s">
        <v>853</v>
      </c>
      <c r="K155" s="8" t="s">
        <v>938</v>
      </c>
      <c r="M155" s="8" t="s">
        <v>151</v>
      </c>
      <c r="N155" s="747">
        <v>-0.5</v>
      </c>
    </row>
    <row r="156" spans="1:14" x14ac:dyDescent="0.25">
      <c r="A156" s="8" t="s">
        <v>17</v>
      </c>
      <c r="B156" s="15" t="s">
        <v>161</v>
      </c>
      <c r="C156" s="8">
        <v>803102</v>
      </c>
      <c r="D156" s="8" t="s">
        <v>174</v>
      </c>
      <c r="E156" s="8">
        <v>182</v>
      </c>
      <c r="F156" s="16">
        <v>128.56762516867701</v>
      </c>
      <c r="G156" s="8" t="s">
        <v>47</v>
      </c>
      <c r="H156" s="8" t="s">
        <v>27</v>
      </c>
      <c r="I156" s="8" t="s">
        <v>18</v>
      </c>
      <c r="J156" s="8" t="s">
        <v>857</v>
      </c>
      <c r="K156" s="8" t="s">
        <v>939</v>
      </c>
      <c r="M156" s="8" t="s">
        <v>151</v>
      </c>
      <c r="N156" s="747">
        <v>-0.5</v>
      </c>
    </row>
    <row r="157" spans="1:14" x14ac:dyDescent="0.25">
      <c r="A157" s="8" t="s">
        <v>17</v>
      </c>
      <c r="B157" s="15" t="s">
        <v>151</v>
      </c>
      <c r="C157" s="8">
        <v>803111</v>
      </c>
      <c r="D157" s="8" t="s">
        <v>175</v>
      </c>
      <c r="E157" s="8">
        <v>24</v>
      </c>
      <c r="F157" s="16">
        <v>104.22979797979799</v>
      </c>
      <c r="G157" s="8" t="s">
        <v>21</v>
      </c>
      <c r="H157" s="8" t="s">
        <v>20</v>
      </c>
      <c r="I157" s="8" t="s">
        <v>18</v>
      </c>
      <c r="J157" s="8" t="s">
        <v>853</v>
      </c>
      <c r="K157" s="8" t="s">
        <v>940</v>
      </c>
      <c r="M157" s="8" t="s">
        <v>151</v>
      </c>
      <c r="N157" s="747">
        <v>-0.5</v>
      </c>
    </row>
    <row r="158" spans="1:14" x14ac:dyDescent="0.25">
      <c r="A158" s="8" t="s">
        <v>17</v>
      </c>
      <c r="B158" s="15" t="s">
        <v>151</v>
      </c>
      <c r="C158" s="8">
        <v>803121</v>
      </c>
      <c r="D158" s="8" t="s">
        <v>176</v>
      </c>
      <c r="E158" s="8">
        <v>24</v>
      </c>
      <c r="F158" s="16">
        <v>102.874228395062</v>
      </c>
      <c r="G158" s="8" t="s">
        <v>21</v>
      </c>
      <c r="H158" s="8" t="s">
        <v>20</v>
      </c>
      <c r="I158" s="8" t="s">
        <v>18</v>
      </c>
      <c r="J158" s="8" t="s">
        <v>853</v>
      </c>
      <c r="K158" s="8" t="s">
        <v>941</v>
      </c>
      <c r="M158" s="8" t="s">
        <v>151</v>
      </c>
      <c r="N158" s="747">
        <v>-0.5</v>
      </c>
    </row>
    <row r="159" spans="1:14" x14ac:dyDescent="0.25">
      <c r="A159" s="8" t="s">
        <v>17</v>
      </c>
      <c r="B159" s="15" t="s">
        <v>151</v>
      </c>
      <c r="C159" s="8">
        <v>803131</v>
      </c>
      <c r="D159" s="8" t="s">
        <v>177</v>
      </c>
      <c r="E159" s="8">
        <v>40</v>
      </c>
      <c r="F159" s="16">
        <v>101.76091269841299</v>
      </c>
      <c r="G159" s="8" t="s">
        <v>21</v>
      </c>
      <c r="H159" s="8" t="s">
        <v>20</v>
      </c>
      <c r="I159" s="8" t="s">
        <v>18</v>
      </c>
      <c r="J159" s="8" t="s">
        <v>853</v>
      </c>
      <c r="K159" s="8" t="s">
        <v>942</v>
      </c>
      <c r="M159" s="8" t="s">
        <v>151</v>
      </c>
      <c r="N159" s="747">
        <v>-0.5</v>
      </c>
    </row>
    <row r="160" spans="1:14" x14ac:dyDescent="0.25">
      <c r="A160" s="8" t="s">
        <v>17</v>
      </c>
      <c r="B160" s="15" t="s">
        <v>151</v>
      </c>
      <c r="C160" s="8">
        <v>803141</v>
      </c>
      <c r="D160" s="8" t="s">
        <v>178</v>
      </c>
      <c r="E160" s="8">
        <v>24</v>
      </c>
      <c r="F160" s="16">
        <v>109.930555555556</v>
      </c>
      <c r="G160" s="8" t="s">
        <v>21</v>
      </c>
      <c r="H160" s="8" t="s">
        <v>20</v>
      </c>
      <c r="I160" s="8" t="s">
        <v>18</v>
      </c>
      <c r="J160" s="8" t="s">
        <v>853</v>
      </c>
      <c r="K160" s="8" t="s">
        <v>943</v>
      </c>
      <c r="M160" s="8" t="s">
        <v>151</v>
      </c>
      <c r="N160" s="747">
        <v>-0.5</v>
      </c>
    </row>
    <row r="161" spans="1:16" x14ac:dyDescent="0.25">
      <c r="A161" s="8" t="s">
        <v>17</v>
      </c>
      <c r="B161" s="15" t="s">
        <v>158</v>
      </c>
      <c r="C161" s="8">
        <v>803151</v>
      </c>
      <c r="D161" s="8" t="s">
        <v>179</v>
      </c>
      <c r="E161" s="8">
        <v>387</v>
      </c>
      <c r="F161" s="16">
        <v>126.477150022857</v>
      </c>
      <c r="G161" s="8" t="s">
        <v>47</v>
      </c>
      <c r="H161" s="8" t="s">
        <v>20</v>
      </c>
      <c r="I161" s="8" t="s">
        <v>18</v>
      </c>
      <c r="J161" s="8" t="s">
        <v>853</v>
      </c>
      <c r="K161" s="8" t="s">
        <v>928</v>
      </c>
      <c r="M161" s="8" t="s">
        <v>151</v>
      </c>
    </row>
    <row r="162" spans="1:16" x14ac:dyDescent="0.25">
      <c r="A162" s="8" t="s">
        <v>17</v>
      </c>
      <c r="B162" s="15" t="s">
        <v>158</v>
      </c>
      <c r="C162" s="8">
        <v>803161</v>
      </c>
      <c r="D162" s="8" t="s">
        <v>180</v>
      </c>
      <c r="E162" s="8">
        <v>291</v>
      </c>
      <c r="F162" s="16">
        <v>126.417829331479</v>
      </c>
      <c r="G162" s="8" t="s">
        <v>47</v>
      </c>
      <c r="H162" s="8" t="s">
        <v>20</v>
      </c>
      <c r="I162" s="8" t="s">
        <v>18</v>
      </c>
      <c r="J162" s="8" t="s">
        <v>853</v>
      </c>
      <c r="K162" s="8" t="s">
        <v>937</v>
      </c>
      <c r="M162" s="8" t="s">
        <v>151</v>
      </c>
    </row>
    <row r="163" spans="1:16" x14ac:dyDescent="0.25">
      <c r="A163" s="8" t="s">
        <v>17</v>
      </c>
      <c r="B163" s="15" t="s">
        <v>158</v>
      </c>
      <c r="C163" s="8">
        <v>803171</v>
      </c>
      <c r="D163" s="8" t="s">
        <v>181</v>
      </c>
      <c r="E163" s="8">
        <v>35</v>
      </c>
      <c r="F163" s="16">
        <v>107.293841779136</v>
      </c>
      <c r="G163" s="8" t="s">
        <v>21</v>
      </c>
      <c r="H163" s="8" t="s">
        <v>20</v>
      </c>
      <c r="I163" s="8" t="s">
        <v>18</v>
      </c>
      <c r="J163" s="8" t="s">
        <v>853</v>
      </c>
      <c r="K163" s="8" t="s">
        <v>944</v>
      </c>
      <c r="M163" s="8" t="s">
        <v>151</v>
      </c>
    </row>
    <row r="164" spans="1:16" x14ac:dyDescent="0.25">
      <c r="A164" s="8" t="s">
        <v>17</v>
      </c>
      <c r="B164" s="15" t="s">
        <v>161</v>
      </c>
      <c r="C164" s="8">
        <v>803181</v>
      </c>
      <c r="D164" s="8" t="s">
        <v>182</v>
      </c>
      <c r="E164" s="8">
        <v>237</v>
      </c>
      <c r="F164" s="16">
        <v>122.80567083742</v>
      </c>
      <c r="G164" s="8" t="s">
        <v>23</v>
      </c>
      <c r="H164" s="8" t="s">
        <v>20</v>
      </c>
      <c r="I164" s="8" t="s">
        <v>18</v>
      </c>
      <c r="J164" s="8" t="s">
        <v>853</v>
      </c>
      <c r="K164" s="8" t="s">
        <v>939</v>
      </c>
      <c r="M164" s="8" t="s">
        <v>151</v>
      </c>
      <c r="N164" s="747">
        <v>-0.5</v>
      </c>
    </row>
    <row r="165" spans="1:16" x14ac:dyDescent="0.25">
      <c r="A165" s="8" t="s">
        <v>17</v>
      </c>
      <c r="B165" s="15" t="s">
        <v>161</v>
      </c>
      <c r="C165" s="8">
        <v>803191</v>
      </c>
      <c r="D165" s="8" t="s">
        <v>183</v>
      </c>
      <c r="E165" s="8">
        <v>386</v>
      </c>
      <c r="F165" s="16">
        <v>120.099652248326</v>
      </c>
      <c r="G165" s="8" t="s">
        <v>23</v>
      </c>
      <c r="H165" s="8" t="s">
        <v>20</v>
      </c>
      <c r="I165" s="8" t="s">
        <v>18</v>
      </c>
      <c r="J165" s="8" t="s">
        <v>853</v>
      </c>
      <c r="K165" s="8" t="s">
        <v>930</v>
      </c>
      <c r="M165" s="8" t="s">
        <v>151</v>
      </c>
      <c r="N165" s="747">
        <v>-0.5</v>
      </c>
    </row>
    <row r="166" spans="1:16" x14ac:dyDescent="0.25">
      <c r="A166" s="8" t="s">
        <v>17</v>
      </c>
      <c r="B166" s="15" t="s">
        <v>161</v>
      </c>
      <c r="C166" s="8">
        <v>803201</v>
      </c>
      <c r="D166" s="8" t="s">
        <v>184</v>
      </c>
      <c r="E166" s="8">
        <v>242</v>
      </c>
      <c r="F166" s="16">
        <v>130.38381998022501</v>
      </c>
      <c r="G166" s="8" t="s">
        <v>47</v>
      </c>
      <c r="H166" s="8" t="s">
        <v>20</v>
      </c>
      <c r="I166" s="8" t="s">
        <v>18</v>
      </c>
      <c r="J166" s="8" t="s">
        <v>853</v>
      </c>
      <c r="K166" s="8" t="s">
        <v>164</v>
      </c>
      <c r="M166" s="8" t="s">
        <v>151</v>
      </c>
      <c r="N166" s="747">
        <v>-0.5</v>
      </c>
    </row>
    <row r="167" spans="1:16" x14ac:dyDescent="0.25">
      <c r="A167" s="8" t="s">
        <v>17</v>
      </c>
      <c r="B167" s="15" t="s">
        <v>161</v>
      </c>
      <c r="C167" s="8">
        <v>803211</v>
      </c>
      <c r="D167" s="8" t="s">
        <v>185</v>
      </c>
      <c r="E167" s="8">
        <v>195</v>
      </c>
      <c r="F167" s="16">
        <v>124.655177933464</v>
      </c>
      <c r="G167" s="8" t="s">
        <v>23</v>
      </c>
      <c r="H167" s="8" t="s">
        <v>20</v>
      </c>
      <c r="I167" s="8" t="s">
        <v>18</v>
      </c>
      <c r="J167" s="8" t="s">
        <v>853</v>
      </c>
      <c r="K167" s="8" t="s">
        <v>945</v>
      </c>
      <c r="M167" s="8" t="s">
        <v>151</v>
      </c>
      <c r="N167" s="747">
        <v>-0.5</v>
      </c>
    </row>
    <row r="168" spans="1:16" x14ac:dyDescent="0.25">
      <c r="A168" s="8" t="s">
        <v>17</v>
      </c>
      <c r="B168" s="15" t="s">
        <v>159</v>
      </c>
      <c r="C168" s="8">
        <v>803221</v>
      </c>
      <c r="D168" s="8" t="s">
        <v>186</v>
      </c>
      <c r="E168" s="8">
        <v>172</v>
      </c>
      <c r="F168" s="16">
        <v>123.878672416586</v>
      </c>
      <c r="G168" s="8" t="s">
        <v>23</v>
      </c>
      <c r="H168" s="8" t="s">
        <v>20</v>
      </c>
      <c r="I168" s="8" t="s">
        <v>18</v>
      </c>
      <c r="J168" s="8" t="s">
        <v>853</v>
      </c>
      <c r="K168" s="8" t="s">
        <v>946</v>
      </c>
      <c r="M168" s="8" t="s">
        <v>151</v>
      </c>
      <c r="N168" s="747">
        <v>-0.5</v>
      </c>
    </row>
    <row r="169" spans="1:16" x14ac:dyDescent="0.25">
      <c r="B169" s="15" t="s">
        <v>158</v>
      </c>
      <c r="C169" s="8">
        <v>803251</v>
      </c>
      <c r="D169" s="17" t="s">
        <v>187</v>
      </c>
      <c r="E169" s="17">
        <v>0</v>
      </c>
      <c r="F169" s="19">
        <v>126.477150022857</v>
      </c>
      <c r="G169" s="17" t="s">
        <v>47</v>
      </c>
      <c r="H169" s="8" t="s">
        <v>20</v>
      </c>
      <c r="I169" s="8" t="s">
        <v>18</v>
      </c>
      <c r="J169" s="744" t="s">
        <v>853</v>
      </c>
      <c r="K169" s="744" t="s">
        <v>947</v>
      </c>
      <c r="L169" s="744" t="s">
        <v>855</v>
      </c>
      <c r="M169" s="744" t="s">
        <v>151</v>
      </c>
      <c r="P169" s="8" t="s">
        <v>280</v>
      </c>
    </row>
    <row r="170" spans="1:16" x14ac:dyDescent="0.25">
      <c r="B170" s="15" t="s">
        <v>151</v>
      </c>
      <c r="C170" s="8">
        <v>803261</v>
      </c>
      <c r="D170" s="17" t="s">
        <v>188</v>
      </c>
      <c r="E170" s="17">
        <v>0</v>
      </c>
      <c r="F170" s="19">
        <v>118.31675172334199</v>
      </c>
      <c r="G170" s="17" t="s">
        <v>23</v>
      </c>
      <c r="H170" s="8" t="s">
        <v>20</v>
      </c>
      <c r="I170" s="8" t="s">
        <v>18</v>
      </c>
      <c r="J170" s="8" t="s">
        <v>853</v>
      </c>
      <c r="K170" s="8" t="s">
        <v>948</v>
      </c>
      <c r="M170" s="8" t="s">
        <v>151</v>
      </c>
      <c r="N170" s="747">
        <v>-0.5</v>
      </c>
      <c r="P170" s="8" t="s">
        <v>279</v>
      </c>
    </row>
    <row r="171" spans="1:16" x14ac:dyDescent="0.25">
      <c r="A171" s="8" t="s">
        <v>17</v>
      </c>
      <c r="B171" s="15" t="s">
        <v>189</v>
      </c>
      <c r="C171" s="8">
        <v>804011</v>
      </c>
      <c r="D171" s="8" t="s">
        <v>20</v>
      </c>
      <c r="E171" s="8">
        <v>322</v>
      </c>
      <c r="F171" s="16">
        <v>112.059819373365</v>
      </c>
      <c r="G171" s="8" t="s">
        <v>21</v>
      </c>
      <c r="H171" s="8" t="s">
        <v>20</v>
      </c>
      <c r="I171" s="8" t="s">
        <v>18</v>
      </c>
      <c r="J171" s="8" t="s">
        <v>853</v>
      </c>
      <c r="K171" s="8" t="s">
        <v>189</v>
      </c>
      <c r="M171" s="8" t="s">
        <v>192</v>
      </c>
    </row>
    <row r="172" spans="1:16" x14ac:dyDescent="0.25">
      <c r="A172" s="8" t="s">
        <v>17</v>
      </c>
      <c r="B172" s="15" t="s">
        <v>189</v>
      </c>
      <c r="C172" s="8">
        <v>804012</v>
      </c>
      <c r="D172" s="8" t="s">
        <v>29</v>
      </c>
      <c r="E172" s="8">
        <v>259</v>
      </c>
      <c r="F172" s="16">
        <v>114.53750782335</v>
      </c>
      <c r="G172" s="8" t="s">
        <v>21</v>
      </c>
      <c r="H172" s="8" t="s">
        <v>27</v>
      </c>
      <c r="I172" s="8" t="s">
        <v>18</v>
      </c>
      <c r="J172" s="8" t="s">
        <v>857</v>
      </c>
      <c r="K172" s="8" t="s">
        <v>189</v>
      </c>
      <c r="M172" s="8" t="s">
        <v>192</v>
      </c>
    </row>
    <row r="173" spans="1:16" x14ac:dyDescent="0.25">
      <c r="A173" s="8" t="s">
        <v>17</v>
      </c>
      <c r="B173" s="15" t="s">
        <v>190</v>
      </c>
      <c r="C173" s="8">
        <v>804021</v>
      </c>
      <c r="D173" s="20" t="s">
        <v>20</v>
      </c>
      <c r="E173" s="8">
        <v>27</v>
      </c>
      <c r="F173" s="16">
        <v>110.43705167618199</v>
      </c>
      <c r="G173" s="8" t="s">
        <v>21</v>
      </c>
      <c r="H173" s="8" t="s">
        <v>20</v>
      </c>
      <c r="I173" s="8" t="s">
        <v>18</v>
      </c>
      <c r="J173" s="8" t="s">
        <v>853</v>
      </c>
      <c r="K173" s="8" t="s">
        <v>949</v>
      </c>
      <c r="M173" s="8" t="s">
        <v>192</v>
      </c>
    </row>
    <row r="174" spans="1:16" x14ac:dyDescent="0.25">
      <c r="A174" s="8" t="s">
        <v>17</v>
      </c>
      <c r="B174" s="15" t="s">
        <v>191</v>
      </c>
      <c r="C174" s="8">
        <v>804022</v>
      </c>
      <c r="D174" s="8" t="s">
        <v>29</v>
      </c>
      <c r="E174" s="8">
        <v>436</v>
      </c>
      <c r="F174" s="16">
        <v>126.290325589086</v>
      </c>
      <c r="G174" s="8" t="s">
        <v>47</v>
      </c>
      <c r="H174" s="8" t="s">
        <v>27</v>
      </c>
      <c r="I174" s="8" t="s">
        <v>18</v>
      </c>
      <c r="J174" s="8" t="s">
        <v>857</v>
      </c>
      <c r="K174" s="8" t="s">
        <v>950</v>
      </c>
      <c r="M174" s="8" t="s">
        <v>192</v>
      </c>
    </row>
    <row r="175" spans="1:16" x14ac:dyDescent="0.25">
      <c r="A175" s="8" t="s">
        <v>17</v>
      </c>
      <c r="B175" s="15" t="s">
        <v>192</v>
      </c>
      <c r="C175" s="8">
        <v>804032</v>
      </c>
      <c r="D175" s="8" t="s">
        <v>193</v>
      </c>
      <c r="E175" s="8">
        <v>191</v>
      </c>
      <c r="F175" s="16">
        <v>136.48018797633699</v>
      </c>
      <c r="G175" s="8" t="s">
        <v>26</v>
      </c>
      <c r="H175" s="8" t="s">
        <v>27</v>
      </c>
      <c r="I175" s="8" t="s">
        <v>18</v>
      </c>
      <c r="J175" s="8" t="s">
        <v>857</v>
      </c>
      <c r="K175" s="8" t="s">
        <v>951</v>
      </c>
      <c r="M175" s="8" t="s">
        <v>192</v>
      </c>
    </row>
    <row r="176" spans="1:16" x14ac:dyDescent="0.25">
      <c r="A176" s="8" t="s">
        <v>17</v>
      </c>
      <c r="B176" s="15" t="s">
        <v>192</v>
      </c>
      <c r="C176" s="8">
        <v>804041</v>
      </c>
      <c r="D176" s="20" t="s">
        <v>194</v>
      </c>
      <c r="E176" s="8">
        <v>144</v>
      </c>
      <c r="F176" s="16">
        <v>143.66517487328599</v>
      </c>
      <c r="G176" s="8" t="s">
        <v>26</v>
      </c>
      <c r="H176" s="8" t="s">
        <v>20</v>
      </c>
      <c r="I176" s="8" t="s">
        <v>18</v>
      </c>
      <c r="J176" s="8" t="s">
        <v>853</v>
      </c>
      <c r="K176" s="8" t="s">
        <v>951</v>
      </c>
      <c r="M176" s="8" t="s">
        <v>192</v>
      </c>
    </row>
    <row r="177" spans="1:14" x14ac:dyDescent="0.25">
      <c r="A177" s="8" t="s">
        <v>17</v>
      </c>
      <c r="B177" s="15" t="s">
        <v>195</v>
      </c>
      <c r="C177" s="8">
        <v>804042</v>
      </c>
      <c r="D177" s="8" t="s">
        <v>29</v>
      </c>
      <c r="E177" s="8">
        <v>483</v>
      </c>
      <c r="F177" s="16">
        <v>121.195661704614</v>
      </c>
      <c r="G177" s="8" t="s">
        <v>23</v>
      </c>
      <c r="H177" s="8" t="s">
        <v>27</v>
      </c>
      <c r="I177" s="8" t="s">
        <v>18</v>
      </c>
      <c r="J177" s="8" t="s">
        <v>857</v>
      </c>
      <c r="K177" s="8" t="s">
        <v>195</v>
      </c>
      <c r="M177" s="8" t="s">
        <v>192</v>
      </c>
    </row>
    <row r="178" spans="1:14" x14ac:dyDescent="0.25">
      <c r="A178" s="8" t="s">
        <v>17</v>
      </c>
      <c r="B178" s="15" t="s">
        <v>196</v>
      </c>
      <c r="C178" s="8">
        <v>804051</v>
      </c>
      <c r="D178" s="8" t="s">
        <v>20</v>
      </c>
      <c r="E178" s="8">
        <v>196</v>
      </c>
      <c r="F178" s="16">
        <v>120.172798266882</v>
      </c>
      <c r="G178" s="8" t="s">
        <v>23</v>
      </c>
      <c r="H178" s="8" t="s">
        <v>20</v>
      </c>
      <c r="I178" s="8" t="s">
        <v>18</v>
      </c>
      <c r="J178" s="8" t="s">
        <v>853</v>
      </c>
      <c r="K178" s="8" t="s">
        <v>196</v>
      </c>
      <c r="M178" s="8" t="s">
        <v>192</v>
      </c>
      <c r="N178" s="747">
        <v>-0.5</v>
      </c>
    </row>
    <row r="179" spans="1:14" x14ac:dyDescent="0.25">
      <c r="A179" s="8" t="s">
        <v>17</v>
      </c>
      <c r="B179" s="15" t="s">
        <v>197</v>
      </c>
      <c r="C179" s="8">
        <v>804052</v>
      </c>
      <c r="D179" s="8" t="s">
        <v>198</v>
      </c>
      <c r="E179" s="8">
        <v>259</v>
      </c>
      <c r="F179" s="16">
        <v>113.108328473773</v>
      </c>
      <c r="G179" s="8" t="s">
        <v>21</v>
      </c>
      <c r="H179" s="8" t="s">
        <v>27</v>
      </c>
      <c r="I179" s="8" t="s">
        <v>18</v>
      </c>
      <c r="J179" s="8" t="s">
        <v>857</v>
      </c>
      <c r="K179" s="8" t="s">
        <v>952</v>
      </c>
      <c r="M179" s="8" t="s">
        <v>192</v>
      </c>
    </row>
    <row r="180" spans="1:14" x14ac:dyDescent="0.25">
      <c r="A180" s="8" t="s">
        <v>17</v>
      </c>
      <c r="B180" s="15" t="s">
        <v>191</v>
      </c>
      <c r="C180" s="8">
        <v>804061</v>
      </c>
      <c r="D180" s="20" t="s">
        <v>20</v>
      </c>
      <c r="E180" s="8">
        <v>163</v>
      </c>
      <c r="F180" s="16">
        <v>114.236191266207</v>
      </c>
      <c r="G180" s="8" t="s">
        <v>21</v>
      </c>
      <c r="H180" s="8" t="s">
        <v>20</v>
      </c>
      <c r="I180" s="8" t="s">
        <v>18</v>
      </c>
      <c r="J180" s="745" t="s">
        <v>853</v>
      </c>
      <c r="K180" s="746" t="s">
        <v>953</v>
      </c>
      <c r="L180" s="745"/>
      <c r="M180" s="745" t="s">
        <v>192</v>
      </c>
    </row>
    <row r="181" spans="1:14" x14ac:dyDescent="0.25">
      <c r="A181" s="8" t="s">
        <v>17</v>
      </c>
      <c r="B181" s="15" t="s">
        <v>190</v>
      </c>
      <c r="C181" s="8">
        <v>804062</v>
      </c>
      <c r="D181" s="8" t="s">
        <v>29</v>
      </c>
      <c r="E181" s="8">
        <v>281</v>
      </c>
      <c r="F181" s="16">
        <v>112.457817386404</v>
      </c>
      <c r="G181" s="8" t="s">
        <v>21</v>
      </c>
      <c r="H181" s="8" t="s">
        <v>27</v>
      </c>
      <c r="I181" s="8" t="s">
        <v>18</v>
      </c>
      <c r="J181" s="8" t="s">
        <v>857</v>
      </c>
      <c r="K181" s="8" t="s">
        <v>190</v>
      </c>
      <c r="M181" s="8" t="s">
        <v>192</v>
      </c>
      <c r="N181" s="747">
        <v>-0.5</v>
      </c>
    </row>
    <row r="182" spans="1:14" x14ac:dyDescent="0.25">
      <c r="A182" s="8" t="s">
        <v>17</v>
      </c>
      <c r="B182" s="15" t="s">
        <v>191</v>
      </c>
      <c r="C182" s="8">
        <v>804071</v>
      </c>
      <c r="D182" s="8" t="s">
        <v>199</v>
      </c>
      <c r="E182" s="8">
        <v>231</v>
      </c>
      <c r="F182" s="16">
        <v>122.20008669339001</v>
      </c>
      <c r="G182" s="8" t="s">
        <v>23</v>
      </c>
      <c r="H182" s="8" t="s">
        <v>20</v>
      </c>
      <c r="I182" s="8" t="s">
        <v>18</v>
      </c>
      <c r="J182" s="745" t="s">
        <v>853</v>
      </c>
      <c r="K182" s="745" t="s">
        <v>954</v>
      </c>
      <c r="L182" s="745"/>
      <c r="M182" s="745" t="s">
        <v>192</v>
      </c>
    </row>
    <row r="183" spans="1:14" x14ac:dyDescent="0.25">
      <c r="A183" s="8" t="s">
        <v>17</v>
      </c>
      <c r="B183" s="15" t="s">
        <v>200</v>
      </c>
      <c r="C183" s="8">
        <v>804072</v>
      </c>
      <c r="D183" s="8" t="s">
        <v>29</v>
      </c>
      <c r="E183" s="8">
        <v>129</v>
      </c>
      <c r="F183" s="16">
        <v>107.65894428195701</v>
      </c>
      <c r="G183" s="8" t="s">
        <v>21</v>
      </c>
      <c r="H183" s="8" t="s">
        <v>27</v>
      </c>
      <c r="I183" s="8" t="s">
        <v>18</v>
      </c>
      <c r="J183" s="8" t="s">
        <v>857</v>
      </c>
      <c r="K183" s="8" t="s">
        <v>955</v>
      </c>
      <c r="M183" s="8" t="s">
        <v>192</v>
      </c>
    </row>
    <row r="184" spans="1:14" x14ac:dyDescent="0.25">
      <c r="A184" s="8" t="s">
        <v>17</v>
      </c>
      <c r="B184" s="15" t="s">
        <v>192</v>
      </c>
      <c r="C184" s="8">
        <v>804081</v>
      </c>
      <c r="D184" s="8" t="s">
        <v>201</v>
      </c>
      <c r="E184" s="8">
        <v>173</v>
      </c>
      <c r="F184" s="16">
        <v>112.864793916526</v>
      </c>
      <c r="G184" s="8" t="s">
        <v>21</v>
      </c>
      <c r="H184" s="8" t="s">
        <v>20</v>
      </c>
      <c r="I184" s="8" t="s">
        <v>18</v>
      </c>
      <c r="J184" s="8" t="s">
        <v>853</v>
      </c>
      <c r="K184" s="749" t="s">
        <v>956</v>
      </c>
      <c r="M184" s="8" t="s">
        <v>192</v>
      </c>
    </row>
    <row r="185" spans="1:14" x14ac:dyDescent="0.25">
      <c r="A185" s="8" t="s">
        <v>17</v>
      </c>
      <c r="B185" s="15" t="s">
        <v>192</v>
      </c>
      <c r="C185" s="8">
        <v>804082</v>
      </c>
      <c r="D185" s="8" t="s">
        <v>202</v>
      </c>
      <c r="E185" s="8">
        <v>270</v>
      </c>
      <c r="F185" s="16">
        <v>107.08966658895901</v>
      </c>
      <c r="G185" s="8" t="s">
        <v>21</v>
      </c>
      <c r="H185" s="8" t="s">
        <v>27</v>
      </c>
      <c r="I185" s="8" t="s">
        <v>53</v>
      </c>
      <c r="J185" s="746" t="s">
        <v>869</v>
      </c>
      <c r="K185" s="746" t="s">
        <v>957</v>
      </c>
      <c r="L185" s="745"/>
      <c r="M185" s="745" t="s">
        <v>192</v>
      </c>
    </row>
    <row r="186" spans="1:14" x14ac:dyDescent="0.25">
      <c r="A186" s="8" t="s">
        <v>17</v>
      </c>
      <c r="B186" s="15" t="s">
        <v>203</v>
      </c>
      <c r="C186" s="8">
        <v>804091</v>
      </c>
      <c r="D186" s="8" t="s">
        <v>20</v>
      </c>
      <c r="E186" s="8">
        <v>175</v>
      </c>
      <c r="F186" s="16">
        <v>122.383211664334</v>
      </c>
      <c r="G186" s="8" t="s">
        <v>23</v>
      </c>
      <c r="H186" s="8" t="s">
        <v>20</v>
      </c>
      <c r="I186" s="8" t="s">
        <v>18</v>
      </c>
      <c r="J186" s="8" t="s">
        <v>853</v>
      </c>
      <c r="K186" s="8" t="s">
        <v>203</v>
      </c>
      <c r="M186" s="8" t="s">
        <v>192</v>
      </c>
    </row>
    <row r="187" spans="1:14" x14ac:dyDescent="0.25">
      <c r="A187" s="8" t="s">
        <v>17</v>
      </c>
      <c r="B187" s="15" t="s">
        <v>192</v>
      </c>
      <c r="C187" s="8">
        <v>804101</v>
      </c>
      <c r="D187" s="8" t="s">
        <v>204</v>
      </c>
      <c r="E187" s="8">
        <v>206</v>
      </c>
      <c r="F187" s="16">
        <v>125.63208635752</v>
      </c>
      <c r="G187" s="8" t="s">
        <v>47</v>
      </c>
      <c r="H187" s="8" t="s">
        <v>20</v>
      </c>
      <c r="I187" s="8" t="s">
        <v>18</v>
      </c>
      <c r="J187" s="8" t="s">
        <v>853</v>
      </c>
      <c r="K187" s="8" t="s">
        <v>958</v>
      </c>
      <c r="M187" s="8" t="s">
        <v>192</v>
      </c>
    </row>
    <row r="188" spans="1:14" x14ac:dyDescent="0.25">
      <c r="A188" s="8" t="s">
        <v>17</v>
      </c>
      <c r="B188" s="15" t="s">
        <v>205</v>
      </c>
      <c r="C188" s="8">
        <v>804111</v>
      </c>
      <c r="D188" s="8" t="s">
        <v>20</v>
      </c>
      <c r="E188" s="8">
        <v>222</v>
      </c>
      <c r="F188" s="16">
        <v>122.90142777214599</v>
      </c>
      <c r="G188" s="8" t="s">
        <v>23</v>
      </c>
      <c r="H188" s="8" t="s">
        <v>20</v>
      </c>
      <c r="I188" s="8" t="s">
        <v>18</v>
      </c>
      <c r="J188" s="8" t="s">
        <v>853</v>
      </c>
      <c r="K188" s="8" t="s">
        <v>959</v>
      </c>
      <c r="M188" s="8" t="s">
        <v>192</v>
      </c>
      <c r="N188" s="747">
        <v>-0.5</v>
      </c>
    </row>
    <row r="189" spans="1:14" x14ac:dyDescent="0.25">
      <c r="A189" s="8" t="s">
        <v>17</v>
      </c>
      <c r="B189" s="15" t="s">
        <v>206</v>
      </c>
      <c r="C189" s="8">
        <v>804112</v>
      </c>
      <c r="D189" s="8" t="s">
        <v>29</v>
      </c>
      <c r="E189" s="8">
        <v>197</v>
      </c>
      <c r="F189" s="16">
        <v>116.55678488786999</v>
      </c>
      <c r="G189" s="8" t="s">
        <v>23</v>
      </c>
      <c r="H189" s="8" t="s">
        <v>27</v>
      </c>
      <c r="I189" s="8" t="s">
        <v>18</v>
      </c>
      <c r="J189" s="8" t="s">
        <v>857</v>
      </c>
      <c r="K189" s="8" t="s">
        <v>217</v>
      </c>
      <c r="M189" s="8" t="s">
        <v>192</v>
      </c>
    </row>
    <row r="190" spans="1:14" x14ac:dyDescent="0.25">
      <c r="A190" s="8" t="s">
        <v>17</v>
      </c>
      <c r="B190" s="15" t="s">
        <v>207</v>
      </c>
      <c r="C190" s="8">
        <v>804122</v>
      </c>
      <c r="D190" s="8" t="s">
        <v>208</v>
      </c>
      <c r="E190" s="8">
        <v>115</v>
      </c>
      <c r="F190" s="16">
        <v>117.63851527896399</v>
      </c>
      <c r="G190" s="8" t="s">
        <v>23</v>
      </c>
      <c r="H190" s="8" t="s">
        <v>27</v>
      </c>
      <c r="I190" s="8" t="s">
        <v>18</v>
      </c>
      <c r="J190" s="8" t="s">
        <v>857</v>
      </c>
      <c r="K190" s="8" t="s">
        <v>222</v>
      </c>
      <c r="M190" s="8" t="s">
        <v>192</v>
      </c>
    </row>
    <row r="191" spans="1:14" x14ac:dyDescent="0.25">
      <c r="A191" s="8" t="s">
        <v>17</v>
      </c>
      <c r="B191" s="15" t="s">
        <v>205</v>
      </c>
      <c r="C191" s="8">
        <v>804131</v>
      </c>
      <c r="D191" s="8" t="s">
        <v>209</v>
      </c>
      <c r="E191" s="8">
        <v>58</v>
      </c>
      <c r="F191" s="16">
        <v>118.278305745978</v>
      </c>
      <c r="G191" s="8" t="s">
        <v>23</v>
      </c>
      <c r="H191" s="8" t="s">
        <v>20</v>
      </c>
      <c r="I191" s="8" t="s">
        <v>18</v>
      </c>
      <c r="J191" s="8" t="s">
        <v>853</v>
      </c>
      <c r="K191" s="8" t="s">
        <v>960</v>
      </c>
      <c r="M191" s="8" t="s">
        <v>192</v>
      </c>
    </row>
    <row r="192" spans="1:14" x14ac:dyDescent="0.25">
      <c r="A192" s="8" t="s">
        <v>17</v>
      </c>
      <c r="B192" s="15" t="s">
        <v>205</v>
      </c>
      <c r="C192" s="8">
        <v>804132</v>
      </c>
      <c r="D192" s="8" t="s">
        <v>29</v>
      </c>
      <c r="E192" s="8">
        <v>170</v>
      </c>
      <c r="F192" s="16">
        <v>130.69540647815501</v>
      </c>
      <c r="G192" s="8" t="s">
        <v>47</v>
      </c>
      <c r="H192" s="8" t="s">
        <v>27</v>
      </c>
      <c r="I192" s="8" t="s">
        <v>18</v>
      </c>
      <c r="J192" s="8" t="s">
        <v>857</v>
      </c>
      <c r="K192" s="8" t="s">
        <v>205</v>
      </c>
      <c r="M192" s="8" t="s">
        <v>192</v>
      </c>
      <c r="N192" s="747">
        <v>-0.5</v>
      </c>
    </row>
    <row r="193" spans="1:14" x14ac:dyDescent="0.25">
      <c r="A193" s="8" t="s">
        <v>17</v>
      </c>
      <c r="B193" s="15" t="s">
        <v>210</v>
      </c>
      <c r="C193" s="8">
        <v>804141</v>
      </c>
      <c r="D193" s="8" t="s">
        <v>20</v>
      </c>
      <c r="E193" s="8">
        <v>32</v>
      </c>
      <c r="F193" s="16">
        <v>100.93005952381</v>
      </c>
      <c r="G193" s="8" t="s">
        <v>21</v>
      </c>
      <c r="H193" s="8" t="s">
        <v>20</v>
      </c>
      <c r="I193" s="8" t="s">
        <v>18</v>
      </c>
      <c r="J193" s="8" t="s">
        <v>853</v>
      </c>
      <c r="K193" s="8" t="s">
        <v>210</v>
      </c>
      <c r="M193" s="8" t="s">
        <v>192</v>
      </c>
    </row>
    <row r="194" spans="1:14" x14ac:dyDescent="0.25">
      <c r="A194" s="8" t="s">
        <v>17</v>
      </c>
      <c r="B194" s="15" t="s">
        <v>197</v>
      </c>
      <c r="C194" s="8">
        <v>804142</v>
      </c>
      <c r="D194" s="8" t="s">
        <v>211</v>
      </c>
      <c r="E194" s="8">
        <v>232</v>
      </c>
      <c r="F194" s="16">
        <v>124.17564148134301</v>
      </c>
      <c r="G194" s="8" t="s">
        <v>23</v>
      </c>
      <c r="H194" s="8" t="s">
        <v>27</v>
      </c>
      <c r="I194" s="8" t="s">
        <v>18</v>
      </c>
      <c r="J194" s="8" t="s">
        <v>857</v>
      </c>
      <c r="K194" s="8" t="s">
        <v>961</v>
      </c>
      <c r="M194" s="8" t="s">
        <v>192</v>
      </c>
    </row>
    <row r="195" spans="1:14" x14ac:dyDescent="0.25">
      <c r="A195" s="8" t="s">
        <v>17</v>
      </c>
      <c r="B195" s="15" t="s">
        <v>212</v>
      </c>
      <c r="C195" s="8">
        <v>804151</v>
      </c>
      <c r="D195" s="8" t="s">
        <v>213</v>
      </c>
      <c r="E195" s="8">
        <v>88</v>
      </c>
      <c r="F195" s="16">
        <v>111.81541674776101</v>
      </c>
      <c r="G195" s="8" t="s">
        <v>21</v>
      </c>
      <c r="H195" s="8" t="s">
        <v>20</v>
      </c>
      <c r="I195" s="8" t="s">
        <v>18</v>
      </c>
      <c r="J195" s="8" t="s">
        <v>853</v>
      </c>
      <c r="K195" s="8" t="s">
        <v>962</v>
      </c>
      <c r="M195" s="8" t="s">
        <v>192</v>
      </c>
    </row>
    <row r="196" spans="1:14" x14ac:dyDescent="0.25">
      <c r="A196" s="8" t="s">
        <v>17</v>
      </c>
      <c r="B196" s="15" t="s">
        <v>214</v>
      </c>
      <c r="C196" s="8">
        <v>804152</v>
      </c>
      <c r="D196" s="8" t="s">
        <v>29</v>
      </c>
      <c r="E196" s="8">
        <v>122</v>
      </c>
      <c r="F196" s="16">
        <v>111.463144381942</v>
      </c>
      <c r="G196" s="8" t="s">
        <v>21</v>
      </c>
      <c r="H196" s="8" t="s">
        <v>27</v>
      </c>
      <c r="I196" s="8" t="s">
        <v>18</v>
      </c>
      <c r="J196" s="8" t="s">
        <v>857</v>
      </c>
      <c r="K196" s="8" t="s">
        <v>214</v>
      </c>
      <c r="M196" s="8" t="s">
        <v>192</v>
      </c>
    </row>
    <row r="197" spans="1:14" x14ac:dyDescent="0.25">
      <c r="A197" s="8" t="s">
        <v>17</v>
      </c>
      <c r="B197" s="15" t="s">
        <v>212</v>
      </c>
      <c r="C197" s="8">
        <v>804161</v>
      </c>
      <c r="D197" s="8" t="s">
        <v>20</v>
      </c>
      <c r="E197" s="8">
        <v>42</v>
      </c>
      <c r="F197" s="16">
        <v>105.12706855792</v>
      </c>
      <c r="G197" s="8" t="s">
        <v>21</v>
      </c>
      <c r="H197" s="8" t="s">
        <v>20</v>
      </c>
      <c r="I197" s="8" t="s">
        <v>18</v>
      </c>
      <c r="J197" s="8" t="s">
        <v>853</v>
      </c>
      <c r="K197" s="8" t="s">
        <v>963</v>
      </c>
      <c r="M197" s="8" t="s">
        <v>192</v>
      </c>
    </row>
    <row r="198" spans="1:14" x14ac:dyDescent="0.25">
      <c r="A198" s="8" t="s">
        <v>17</v>
      </c>
      <c r="B198" s="15" t="s">
        <v>215</v>
      </c>
      <c r="C198" s="8">
        <v>804162</v>
      </c>
      <c r="D198" s="8" t="s">
        <v>29</v>
      </c>
      <c r="E198" s="8">
        <v>157</v>
      </c>
      <c r="F198" s="16">
        <v>114.952597884111</v>
      </c>
      <c r="G198" s="8" t="s">
        <v>21</v>
      </c>
      <c r="H198" s="8" t="s">
        <v>27</v>
      </c>
      <c r="I198" s="8" t="s">
        <v>18</v>
      </c>
      <c r="J198" s="8" t="s">
        <v>857</v>
      </c>
      <c r="K198" s="8" t="s">
        <v>215</v>
      </c>
      <c r="M198" s="8" t="s">
        <v>192</v>
      </c>
    </row>
    <row r="199" spans="1:14" x14ac:dyDescent="0.25">
      <c r="A199" s="8" t="s">
        <v>17</v>
      </c>
      <c r="B199" s="15" t="s">
        <v>195</v>
      </c>
      <c r="C199" s="8">
        <v>804171</v>
      </c>
      <c r="D199" s="8" t="s">
        <v>179</v>
      </c>
      <c r="E199" s="8">
        <v>258</v>
      </c>
      <c r="F199" s="16">
        <v>124.417361586729</v>
      </c>
      <c r="G199" s="8" t="s">
        <v>23</v>
      </c>
      <c r="H199" s="8" t="s">
        <v>20</v>
      </c>
      <c r="I199" s="8" t="s">
        <v>18</v>
      </c>
      <c r="J199" s="8" t="s">
        <v>853</v>
      </c>
      <c r="K199" s="8" t="s">
        <v>964</v>
      </c>
      <c r="M199" s="8" t="s">
        <v>192</v>
      </c>
    </row>
    <row r="200" spans="1:14" x14ac:dyDescent="0.25">
      <c r="A200" s="8" t="s">
        <v>17</v>
      </c>
      <c r="B200" s="15" t="s">
        <v>195</v>
      </c>
      <c r="C200" s="8">
        <v>804181</v>
      </c>
      <c r="D200" s="8" t="s">
        <v>216</v>
      </c>
      <c r="E200" s="8">
        <v>47</v>
      </c>
      <c r="F200" s="16">
        <v>111.7677337085</v>
      </c>
      <c r="G200" s="8" t="s">
        <v>21</v>
      </c>
      <c r="H200" s="8" t="s">
        <v>20</v>
      </c>
      <c r="I200" s="8" t="s">
        <v>18</v>
      </c>
      <c r="J200" s="8" t="s">
        <v>853</v>
      </c>
      <c r="K200" s="8" t="s">
        <v>965</v>
      </c>
      <c r="M200" s="8" t="s">
        <v>192</v>
      </c>
    </row>
    <row r="201" spans="1:14" x14ac:dyDescent="0.25">
      <c r="A201" s="8" t="s">
        <v>17</v>
      </c>
      <c r="B201" s="15" t="s">
        <v>217</v>
      </c>
      <c r="C201" s="8">
        <v>804191</v>
      </c>
      <c r="D201" s="8" t="s">
        <v>20</v>
      </c>
      <c r="E201" s="8">
        <v>134</v>
      </c>
      <c r="F201" s="16">
        <v>116.212566802374</v>
      </c>
      <c r="G201" s="8" t="s">
        <v>23</v>
      </c>
      <c r="H201" s="8" t="s">
        <v>20</v>
      </c>
      <c r="I201" s="8" t="s">
        <v>18</v>
      </c>
      <c r="J201" s="8" t="s">
        <v>853</v>
      </c>
      <c r="K201" s="8" t="s">
        <v>217</v>
      </c>
      <c r="M201" s="8" t="s">
        <v>192</v>
      </c>
    </row>
    <row r="202" spans="1:14" x14ac:dyDescent="0.25">
      <c r="A202" s="8" t="s">
        <v>17</v>
      </c>
      <c r="B202" s="15" t="s">
        <v>214</v>
      </c>
      <c r="C202" s="8">
        <v>804211</v>
      </c>
      <c r="D202" s="8" t="s">
        <v>20</v>
      </c>
      <c r="E202" s="8">
        <v>186</v>
      </c>
      <c r="F202" s="16">
        <v>111.050460563942</v>
      </c>
      <c r="G202" s="8" t="s">
        <v>21</v>
      </c>
      <c r="H202" s="8" t="s">
        <v>20</v>
      </c>
      <c r="I202" s="8" t="s">
        <v>18</v>
      </c>
      <c r="J202" s="8" t="s">
        <v>853</v>
      </c>
      <c r="K202" s="8" t="s">
        <v>214</v>
      </c>
      <c r="M202" s="8" t="s">
        <v>192</v>
      </c>
    </row>
    <row r="203" spans="1:14" x14ac:dyDescent="0.25">
      <c r="A203" s="8" t="s">
        <v>17</v>
      </c>
      <c r="B203" s="15" t="s">
        <v>218</v>
      </c>
      <c r="C203" s="8">
        <v>804221</v>
      </c>
      <c r="D203" s="8" t="s">
        <v>20</v>
      </c>
      <c r="E203" s="8">
        <v>32</v>
      </c>
      <c r="F203" s="16">
        <v>104.369355500821</v>
      </c>
      <c r="G203" s="8" t="s">
        <v>21</v>
      </c>
      <c r="H203" s="8" t="s">
        <v>20</v>
      </c>
      <c r="I203" s="8" t="s">
        <v>18</v>
      </c>
      <c r="J203" s="8" t="s">
        <v>853</v>
      </c>
      <c r="K203" s="8" t="s">
        <v>218</v>
      </c>
      <c r="M203" s="8" t="s">
        <v>192</v>
      </c>
    </row>
    <row r="204" spans="1:14" x14ac:dyDescent="0.25">
      <c r="A204" s="8" t="s">
        <v>17</v>
      </c>
      <c r="B204" s="15" t="s">
        <v>215</v>
      </c>
      <c r="C204" s="8">
        <v>804241</v>
      </c>
      <c r="D204" s="8" t="s">
        <v>20</v>
      </c>
      <c r="E204" s="8">
        <v>208</v>
      </c>
      <c r="F204" s="16">
        <v>117.697523536191</v>
      </c>
      <c r="G204" s="8" t="s">
        <v>23</v>
      </c>
      <c r="H204" s="8" t="s">
        <v>20</v>
      </c>
      <c r="I204" s="8" t="s">
        <v>18</v>
      </c>
      <c r="J204" s="8" t="s">
        <v>853</v>
      </c>
      <c r="K204" s="8" t="s">
        <v>215</v>
      </c>
      <c r="M204" s="8" t="s">
        <v>192</v>
      </c>
    </row>
    <row r="205" spans="1:14" x14ac:dyDescent="0.25">
      <c r="A205" s="8" t="s">
        <v>17</v>
      </c>
      <c r="B205" s="15" t="s">
        <v>219</v>
      </c>
      <c r="C205" s="8">
        <v>804251</v>
      </c>
      <c r="D205" s="8" t="s">
        <v>20</v>
      </c>
      <c r="E205" s="8">
        <v>136</v>
      </c>
      <c r="F205" s="16">
        <v>112.402878435749</v>
      </c>
      <c r="G205" s="8" t="s">
        <v>21</v>
      </c>
      <c r="H205" s="8" t="s">
        <v>20</v>
      </c>
      <c r="I205" s="8" t="s">
        <v>18</v>
      </c>
      <c r="J205" s="8" t="s">
        <v>853</v>
      </c>
      <c r="K205" s="8" t="s">
        <v>966</v>
      </c>
      <c r="M205" s="8" t="s">
        <v>192</v>
      </c>
    </row>
    <row r="206" spans="1:14" x14ac:dyDescent="0.25">
      <c r="A206" s="8" t="s">
        <v>17</v>
      </c>
      <c r="B206" s="15" t="s">
        <v>197</v>
      </c>
      <c r="C206" s="8">
        <v>804261</v>
      </c>
      <c r="D206" s="8" t="s">
        <v>179</v>
      </c>
      <c r="E206" s="8">
        <v>161</v>
      </c>
      <c r="F206" s="16">
        <v>115.60743180319901</v>
      </c>
      <c r="G206" s="8" t="s">
        <v>23</v>
      </c>
      <c r="H206" s="8" t="s">
        <v>20</v>
      </c>
      <c r="I206" s="8" t="s">
        <v>18</v>
      </c>
      <c r="J206" s="744" t="s">
        <v>853</v>
      </c>
      <c r="K206" s="744" t="s">
        <v>967</v>
      </c>
      <c r="L206" s="744" t="s">
        <v>855</v>
      </c>
      <c r="M206" s="744" t="s">
        <v>192</v>
      </c>
    </row>
    <row r="207" spans="1:14" x14ac:dyDescent="0.25">
      <c r="A207" s="8" t="s">
        <v>17</v>
      </c>
      <c r="B207" s="15" t="s">
        <v>197</v>
      </c>
      <c r="C207" s="8">
        <v>804271</v>
      </c>
      <c r="D207" s="8" t="s">
        <v>220</v>
      </c>
      <c r="E207" s="8">
        <v>65</v>
      </c>
      <c r="F207" s="16">
        <v>120.87260379184799</v>
      </c>
      <c r="G207" s="8" t="s">
        <v>23</v>
      </c>
      <c r="H207" s="8" t="s">
        <v>20</v>
      </c>
      <c r="I207" s="8" t="s">
        <v>18</v>
      </c>
      <c r="J207" s="8" t="s">
        <v>853</v>
      </c>
      <c r="K207" s="8" t="s">
        <v>968</v>
      </c>
      <c r="M207" s="8" t="s">
        <v>192</v>
      </c>
    </row>
    <row r="208" spans="1:14" x14ac:dyDescent="0.25">
      <c r="A208" s="8" t="s">
        <v>17</v>
      </c>
      <c r="B208" s="15" t="s">
        <v>221</v>
      </c>
      <c r="C208" s="8">
        <v>804281</v>
      </c>
      <c r="D208" s="8" t="s">
        <v>20</v>
      </c>
      <c r="E208" s="8">
        <v>15</v>
      </c>
      <c r="F208" s="16">
        <v>118.105158730159</v>
      </c>
      <c r="G208" s="8" t="s">
        <v>23</v>
      </c>
      <c r="H208" s="8" t="s">
        <v>20</v>
      </c>
      <c r="I208" s="8" t="s">
        <v>18</v>
      </c>
      <c r="J208" s="8" t="s">
        <v>853</v>
      </c>
      <c r="K208" s="8" t="s">
        <v>221</v>
      </c>
      <c r="M208" s="8" t="s">
        <v>192</v>
      </c>
      <c r="N208" s="747">
        <v>-0.5</v>
      </c>
    </row>
    <row r="209" spans="1:14" x14ac:dyDescent="0.25">
      <c r="A209" s="8" t="s">
        <v>17</v>
      </c>
      <c r="B209" s="15" t="s">
        <v>222</v>
      </c>
      <c r="C209" s="8">
        <v>804291</v>
      </c>
      <c r="D209" s="8" t="s">
        <v>20</v>
      </c>
      <c r="E209" s="8">
        <v>63</v>
      </c>
      <c r="F209" s="16">
        <v>110.089928655664</v>
      </c>
      <c r="G209" s="8" t="s">
        <v>21</v>
      </c>
      <c r="H209" s="8" t="s">
        <v>20</v>
      </c>
      <c r="I209" s="8" t="s">
        <v>18</v>
      </c>
      <c r="J209" s="8" t="s">
        <v>853</v>
      </c>
      <c r="K209" s="8" t="s">
        <v>969</v>
      </c>
      <c r="M209" s="8" t="s">
        <v>192</v>
      </c>
    </row>
    <row r="210" spans="1:14" x14ac:dyDescent="0.25">
      <c r="A210" s="8" t="s">
        <v>17</v>
      </c>
      <c r="B210" s="15" t="s">
        <v>190</v>
      </c>
      <c r="C210" s="8">
        <v>804301</v>
      </c>
      <c r="D210" s="8" t="s">
        <v>20</v>
      </c>
      <c r="E210" s="8">
        <v>118</v>
      </c>
      <c r="F210" s="16">
        <v>112.22795657479401</v>
      </c>
      <c r="G210" s="8" t="s">
        <v>21</v>
      </c>
      <c r="H210" s="8" t="s">
        <v>20</v>
      </c>
      <c r="I210" s="8" t="s">
        <v>18</v>
      </c>
      <c r="J210" s="8" t="s">
        <v>853</v>
      </c>
      <c r="K210" s="8" t="s">
        <v>190</v>
      </c>
      <c r="M210" s="8" t="s">
        <v>192</v>
      </c>
    </row>
    <row r="211" spans="1:14" x14ac:dyDescent="0.25">
      <c r="A211" s="8" t="s">
        <v>17</v>
      </c>
      <c r="B211" s="15" t="s">
        <v>223</v>
      </c>
      <c r="C211" s="8">
        <v>804311</v>
      </c>
      <c r="D211" s="8" t="s">
        <v>20</v>
      </c>
      <c r="E211" s="8">
        <v>104</v>
      </c>
      <c r="F211" s="16">
        <v>119.06866848857899</v>
      </c>
      <c r="G211" s="8" t="s">
        <v>23</v>
      </c>
      <c r="H211" s="8" t="s">
        <v>20</v>
      </c>
      <c r="I211" s="8" t="s">
        <v>18</v>
      </c>
      <c r="J211" s="8" t="s">
        <v>853</v>
      </c>
      <c r="K211" s="8" t="s">
        <v>223</v>
      </c>
      <c r="M211" s="8" t="s">
        <v>192</v>
      </c>
      <c r="N211" s="747">
        <v>-0.5</v>
      </c>
    </row>
    <row r="212" spans="1:14" x14ac:dyDescent="0.25">
      <c r="A212" s="8" t="s">
        <v>17</v>
      </c>
      <c r="B212" s="15" t="s">
        <v>224</v>
      </c>
      <c r="C212" s="8">
        <v>804321</v>
      </c>
      <c r="D212" s="8" t="s">
        <v>20</v>
      </c>
      <c r="E212" s="8">
        <v>30</v>
      </c>
      <c r="F212" s="16">
        <v>116.28908866516601</v>
      </c>
      <c r="G212" s="8" t="s">
        <v>23</v>
      </c>
      <c r="H212" s="8" t="s">
        <v>20</v>
      </c>
      <c r="I212" s="8" t="s">
        <v>18</v>
      </c>
      <c r="J212" s="8" t="s">
        <v>853</v>
      </c>
      <c r="K212" s="8" t="s">
        <v>224</v>
      </c>
      <c r="M212" s="8" t="s">
        <v>192</v>
      </c>
    </row>
    <row r="213" spans="1:14" x14ac:dyDescent="0.25">
      <c r="A213" s="8" t="s">
        <v>17</v>
      </c>
      <c r="B213" s="15" t="s">
        <v>222</v>
      </c>
      <c r="C213" s="8">
        <v>804331</v>
      </c>
      <c r="D213" s="8" t="s">
        <v>20</v>
      </c>
      <c r="E213" s="8">
        <v>106</v>
      </c>
      <c r="F213" s="16">
        <v>110.800281267823</v>
      </c>
      <c r="G213" s="8" t="s">
        <v>21</v>
      </c>
      <c r="H213" s="8" t="s">
        <v>20</v>
      </c>
      <c r="I213" s="8" t="s">
        <v>18</v>
      </c>
      <c r="J213" s="8" t="s">
        <v>853</v>
      </c>
      <c r="K213" s="8" t="s">
        <v>207</v>
      </c>
      <c r="M213" s="8" t="s">
        <v>192</v>
      </c>
    </row>
    <row r="214" spans="1:14" x14ac:dyDescent="0.25">
      <c r="A214" s="8" t="s">
        <v>17</v>
      </c>
      <c r="B214" s="15" t="s">
        <v>225</v>
      </c>
      <c r="C214" s="8">
        <v>804341</v>
      </c>
      <c r="D214" s="8" t="s">
        <v>20</v>
      </c>
      <c r="E214" s="8">
        <v>23</v>
      </c>
      <c r="F214" s="16">
        <v>104.102108036891</v>
      </c>
      <c r="G214" s="8" t="s">
        <v>21</v>
      </c>
      <c r="H214" s="8" t="s">
        <v>20</v>
      </c>
      <c r="I214" s="8" t="s">
        <v>18</v>
      </c>
      <c r="J214" s="8" t="s">
        <v>853</v>
      </c>
      <c r="K214" s="8" t="s">
        <v>225</v>
      </c>
      <c r="M214" s="8" t="s">
        <v>192</v>
      </c>
    </row>
    <row r="215" spans="1:14" x14ac:dyDescent="0.25">
      <c r="A215" s="8" t="s">
        <v>17</v>
      </c>
      <c r="B215" s="15" t="s">
        <v>226</v>
      </c>
      <c r="C215" s="8">
        <v>804351</v>
      </c>
      <c r="D215" s="8" t="s">
        <v>20</v>
      </c>
      <c r="E215" s="8">
        <v>15</v>
      </c>
      <c r="F215" s="16">
        <v>104.670138888889</v>
      </c>
      <c r="G215" s="8" t="s">
        <v>21</v>
      </c>
      <c r="H215" s="8" t="s">
        <v>20</v>
      </c>
      <c r="I215" s="8" t="s">
        <v>18</v>
      </c>
      <c r="J215" s="8" t="s">
        <v>853</v>
      </c>
      <c r="K215" s="8" t="s">
        <v>226</v>
      </c>
      <c r="M215" s="8" t="s">
        <v>192</v>
      </c>
    </row>
    <row r="216" spans="1:14" x14ac:dyDescent="0.25">
      <c r="A216" s="8" t="s">
        <v>17</v>
      </c>
      <c r="B216" s="15" t="s">
        <v>227</v>
      </c>
      <c r="C216" s="8">
        <v>804361</v>
      </c>
      <c r="D216" s="8" t="s">
        <v>20</v>
      </c>
      <c r="E216" s="8">
        <v>85</v>
      </c>
      <c r="F216" s="16">
        <v>112.927661589143</v>
      </c>
      <c r="G216" s="8" t="s">
        <v>21</v>
      </c>
      <c r="H216" s="8" t="s">
        <v>20</v>
      </c>
      <c r="I216" s="8" t="s">
        <v>18</v>
      </c>
      <c r="J216" s="8" t="s">
        <v>853</v>
      </c>
      <c r="K216" s="8" t="s">
        <v>227</v>
      </c>
      <c r="M216" s="8" t="s">
        <v>192</v>
      </c>
    </row>
    <row r="217" spans="1:14" x14ac:dyDescent="0.25">
      <c r="A217" s="8" t="s">
        <v>17</v>
      </c>
      <c r="B217" s="15" t="s">
        <v>228</v>
      </c>
      <c r="C217" s="8">
        <v>804371</v>
      </c>
      <c r="D217" s="8" t="s">
        <v>229</v>
      </c>
      <c r="E217" s="8">
        <v>61</v>
      </c>
      <c r="F217" s="16">
        <v>103.413199086661</v>
      </c>
      <c r="G217" s="8" t="s">
        <v>21</v>
      </c>
      <c r="H217" s="8" t="s">
        <v>20</v>
      </c>
      <c r="I217" s="8" t="s">
        <v>18</v>
      </c>
      <c r="J217" s="8" t="s">
        <v>853</v>
      </c>
      <c r="K217" s="8" t="s">
        <v>228</v>
      </c>
      <c r="M217" s="8" t="s">
        <v>192</v>
      </c>
    </row>
    <row r="218" spans="1:14" x14ac:dyDescent="0.25">
      <c r="A218" s="8" t="s">
        <v>17</v>
      </c>
      <c r="B218" s="15" t="s">
        <v>200</v>
      </c>
      <c r="C218" s="8">
        <v>804381</v>
      </c>
      <c r="D218" s="8" t="s">
        <v>230</v>
      </c>
      <c r="E218" s="8">
        <v>56</v>
      </c>
      <c r="F218" s="16">
        <v>112.35119047619</v>
      </c>
      <c r="G218" s="8" t="s">
        <v>21</v>
      </c>
      <c r="H218" s="8" t="s">
        <v>20</v>
      </c>
      <c r="I218" s="8" t="s">
        <v>18</v>
      </c>
      <c r="J218" s="8" t="s">
        <v>853</v>
      </c>
      <c r="K218" s="8" t="s">
        <v>955</v>
      </c>
      <c r="M218" s="8" t="s">
        <v>192</v>
      </c>
    </row>
    <row r="219" spans="1:14" x14ac:dyDescent="0.25">
      <c r="A219" s="8" t="s">
        <v>17</v>
      </c>
      <c r="B219" s="15" t="s">
        <v>195</v>
      </c>
      <c r="C219" s="8">
        <v>804391</v>
      </c>
      <c r="D219" s="8" t="s">
        <v>231</v>
      </c>
      <c r="E219" s="8">
        <v>167</v>
      </c>
      <c r="F219" s="16">
        <v>123.417394406298</v>
      </c>
      <c r="G219" s="8" t="s">
        <v>23</v>
      </c>
      <c r="H219" s="8" t="s">
        <v>20</v>
      </c>
      <c r="I219" s="8" t="s">
        <v>18</v>
      </c>
      <c r="J219" s="8" t="s">
        <v>853</v>
      </c>
      <c r="K219" s="8" t="s">
        <v>970</v>
      </c>
      <c r="M219" s="8" t="s">
        <v>192</v>
      </c>
    </row>
    <row r="220" spans="1:14" x14ac:dyDescent="0.25">
      <c r="A220" s="8" t="s">
        <v>17</v>
      </c>
      <c r="B220" s="15" t="s">
        <v>197</v>
      </c>
      <c r="C220" s="8">
        <v>804411</v>
      </c>
      <c r="D220" s="8" t="s">
        <v>232</v>
      </c>
      <c r="E220" s="8">
        <v>23</v>
      </c>
      <c r="F220" s="16">
        <v>107.898550724638</v>
      </c>
      <c r="G220" s="8" t="s">
        <v>21</v>
      </c>
      <c r="H220" s="8" t="s">
        <v>20</v>
      </c>
      <c r="I220" s="8" t="s">
        <v>53</v>
      </c>
      <c r="J220" s="746" t="s">
        <v>881</v>
      </c>
      <c r="K220" s="746" t="s">
        <v>971</v>
      </c>
      <c r="L220" s="746"/>
      <c r="M220" s="745" t="s">
        <v>192</v>
      </c>
    </row>
    <row r="221" spans="1:14" x14ac:dyDescent="0.25">
      <c r="A221" s="8" t="s">
        <v>17</v>
      </c>
      <c r="B221" s="15" t="s">
        <v>197</v>
      </c>
      <c r="C221" s="8">
        <v>804421</v>
      </c>
      <c r="D221" s="8" t="s">
        <v>233</v>
      </c>
      <c r="E221" s="8">
        <v>230</v>
      </c>
      <c r="F221" s="16">
        <v>118.75463401180799</v>
      </c>
      <c r="G221" s="8" t="s">
        <v>23</v>
      </c>
      <c r="H221" s="8" t="s">
        <v>20</v>
      </c>
      <c r="I221" s="8" t="s">
        <v>18</v>
      </c>
      <c r="J221" s="8" t="s">
        <v>853</v>
      </c>
      <c r="K221" s="8" t="s">
        <v>972</v>
      </c>
      <c r="M221" s="8" t="s">
        <v>192</v>
      </c>
    </row>
    <row r="222" spans="1:14" x14ac:dyDescent="0.25">
      <c r="A222" s="8" t="s">
        <v>17</v>
      </c>
      <c r="B222" s="15" t="s">
        <v>189</v>
      </c>
      <c r="C222" s="8">
        <v>804441</v>
      </c>
      <c r="D222" s="8" t="s">
        <v>234</v>
      </c>
      <c r="E222" s="8">
        <v>135</v>
      </c>
      <c r="F222" s="16">
        <v>103.838137090947</v>
      </c>
      <c r="G222" s="8" t="s">
        <v>21</v>
      </c>
      <c r="H222" s="8" t="s">
        <v>27</v>
      </c>
      <c r="I222" s="8" t="s">
        <v>53</v>
      </c>
      <c r="J222" s="746" t="s">
        <v>881</v>
      </c>
      <c r="K222" s="745" t="s">
        <v>973</v>
      </c>
      <c r="L222" s="745"/>
      <c r="M222" s="745" t="s">
        <v>192</v>
      </c>
    </row>
    <row r="223" spans="1:14" x14ac:dyDescent="0.25">
      <c r="A223" s="8" t="s">
        <v>17</v>
      </c>
      <c r="B223" s="15" t="s">
        <v>235</v>
      </c>
      <c r="C223" s="8">
        <v>804451</v>
      </c>
      <c r="D223" s="8" t="s">
        <v>20</v>
      </c>
      <c r="E223" s="8">
        <v>20</v>
      </c>
      <c r="F223" s="16">
        <v>110.927033492823</v>
      </c>
      <c r="G223" s="8" t="s">
        <v>21</v>
      </c>
      <c r="H223" s="8" t="s">
        <v>20</v>
      </c>
      <c r="I223" s="8" t="s">
        <v>18</v>
      </c>
      <c r="J223" s="8" t="s">
        <v>853</v>
      </c>
      <c r="K223" s="8" t="s">
        <v>235</v>
      </c>
      <c r="M223" s="8" t="s">
        <v>192</v>
      </c>
    </row>
    <row r="227" spans="1:9" x14ac:dyDescent="0.25">
      <c r="A227" s="8" t="s">
        <v>17</v>
      </c>
      <c r="B227" s="15" t="s">
        <v>151</v>
      </c>
      <c r="C227" s="8">
        <v>803231</v>
      </c>
      <c r="D227" s="8" t="s">
        <v>236</v>
      </c>
      <c r="E227" s="8">
        <v>20</v>
      </c>
      <c r="F227" s="16">
        <v>131.16185897435901</v>
      </c>
      <c r="G227" s="8" t="s">
        <v>47</v>
      </c>
      <c r="H227" s="8" t="s">
        <v>27</v>
      </c>
      <c r="I227" s="8" t="s">
        <v>53</v>
      </c>
    </row>
    <row r="228" spans="1:9" x14ac:dyDescent="0.25">
      <c r="A228" s="8" t="s">
        <v>17</v>
      </c>
      <c r="B228" s="15" t="s">
        <v>158</v>
      </c>
      <c r="C228" s="8">
        <v>803241</v>
      </c>
      <c r="D228" s="8" t="s">
        <v>237</v>
      </c>
      <c r="E228" s="8">
        <v>25</v>
      </c>
      <c r="F228" s="16">
        <v>106.758838383838</v>
      </c>
      <c r="G228" s="8" t="s">
        <v>21</v>
      </c>
      <c r="H228" s="8" t="s">
        <v>20</v>
      </c>
      <c r="I228" s="8" t="s">
        <v>53</v>
      </c>
    </row>
    <row r="229" spans="1:9" x14ac:dyDescent="0.25">
      <c r="A229" s="8" t="s">
        <v>17</v>
      </c>
      <c r="B229" s="15" t="s">
        <v>195</v>
      </c>
      <c r="C229" s="8">
        <v>804201</v>
      </c>
      <c r="D229" s="8" t="s">
        <v>238</v>
      </c>
      <c r="E229" s="8">
        <v>40</v>
      </c>
      <c r="F229" s="16">
        <v>107.72391456582599</v>
      </c>
      <c r="G229" s="8" t="s">
        <v>21</v>
      </c>
      <c r="H229" s="8" t="s">
        <v>77</v>
      </c>
      <c r="I229" s="8" t="s">
        <v>53</v>
      </c>
    </row>
    <row r="231" spans="1:9" x14ac:dyDescent="0.25">
      <c r="A231" s="8" t="s">
        <v>17</v>
      </c>
      <c r="B231" s="15" t="s">
        <v>151</v>
      </c>
      <c r="C231" s="8">
        <v>803043</v>
      </c>
      <c r="D231" s="8" t="s">
        <v>239</v>
      </c>
      <c r="E231" s="8">
        <v>55</v>
      </c>
      <c r="F231" s="16">
        <v>125.090098170009</v>
      </c>
      <c r="G231" s="8" t="s">
        <v>47</v>
      </c>
      <c r="H231" s="8" t="s">
        <v>240</v>
      </c>
      <c r="I231" s="8" t="s">
        <v>53</v>
      </c>
    </row>
    <row r="232" spans="1:9" x14ac:dyDescent="0.25">
      <c r="A232" s="8" t="s">
        <v>17</v>
      </c>
      <c r="B232" s="15" t="s">
        <v>192</v>
      </c>
      <c r="C232" s="8">
        <v>804013</v>
      </c>
      <c r="D232" s="8" t="s">
        <v>241</v>
      </c>
      <c r="E232" s="8">
        <v>59</v>
      </c>
      <c r="F232" s="16">
        <v>135.86194447067601</v>
      </c>
      <c r="G232" s="8" t="s">
        <v>26</v>
      </c>
      <c r="H232" s="8" t="s">
        <v>240</v>
      </c>
      <c r="I232" s="8" t="s">
        <v>18</v>
      </c>
    </row>
    <row r="233" spans="1:9" x14ac:dyDescent="0.25">
      <c r="A233" s="8" t="s">
        <v>17</v>
      </c>
      <c r="B233" s="15" t="s">
        <v>223</v>
      </c>
      <c r="C233" s="8">
        <v>804023</v>
      </c>
      <c r="D233" s="8" t="s">
        <v>242</v>
      </c>
      <c r="E233" s="8">
        <v>54</v>
      </c>
      <c r="F233" s="16">
        <v>122.565174075591</v>
      </c>
      <c r="G233" s="8" t="s">
        <v>23</v>
      </c>
      <c r="H233" s="8" t="s">
        <v>240</v>
      </c>
      <c r="I233" s="8" t="s">
        <v>53</v>
      </c>
    </row>
    <row r="234" spans="1:9" x14ac:dyDescent="0.25">
      <c r="A234" s="8" t="s">
        <v>17</v>
      </c>
      <c r="B234" s="15" t="s">
        <v>223</v>
      </c>
      <c r="C234" s="8">
        <v>804033</v>
      </c>
      <c r="D234" s="8" t="s">
        <v>243</v>
      </c>
      <c r="E234" s="8">
        <v>58</v>
      </c>
      <c r="F234" s="16">
        <v>122.466328777718</v>
      </c>
      <c r="G234" s="8" t="s">
        <v>23</v>
      </c>
      <c r="H234" s="8" t="s">
        <v>240</v>
      </c>
      <c r="I234" s="8" t="s">
        <v>18</v>
      </c>
    </row>
    <row r="235" spans="1:9" x14ac:dyDescent="0.25">
      <c r="B235" s="22"/>
      <c r="F235" s="16"/>
    </row>
    <row r="236" spans="1:9" x14ac:dyDescent="0.25">
      <c r="C236" s="8">
        <v>801541</v>
      </c>
      <c r="D236" s="8" t="s">
        <v>321</v>
      </c>
      <c r="F236" s="8" t="s">
        <v>558</v>
      </c>
    </row>
    <row r="237" spans="1:9" x14ac:dyDescent="0.25">
      <c r="C237" s="8">
        <v>803091</v>
      </c>
      <c r="D237" s="8" t="s">
        <v>386</v>
      </c>
      <c r="F237" s="8" t="s">
        <v>558</v>
      </c>
    </row>
    <row r="238" spans="1:9" x14ac:dyDescent="0.25">
      <c r="B238" s="22"/>
      <c r="F238" s="16"/>
    </row>
    <row r="240" spans="1:9" x14ac:dyDescent="0.25">
      <c r="C240" s="23" t="s">
        <v>266</v>
      </c>
    </row>
    <row r="241" spans="3:9" x14ac:dyDescent="0.25">
      <c r="C241" s="310" t="s">
        <v>267</v>
      </c>
      <c r="D241" s="311" t="s">
        <v>268</v>
      </c>
      <c r="E241" s="311" t="s">
        <v>555</v>
      </c>
      <c r="F241" s="311" t="s">
        <v>556</v>
      </c>
      <c r="G241" s="311" t="s">
        <v>559</v>
      </c>
      <c r="H241" s="311"/>
    </row>
    <row r="242" spans="3:9" x14ac:dyDescent="0.25">
      <c r="C242" s="8">
        <v>0</v>
      </c>
      <c r="D242" s="8" t="s">
        <v>281</v>
      </c>
      <c r="F242" s="8" t="s">
        <v>558</v>
      </c>
    </row>
    <row r="243" spans="3:9" x14ac:dyDescent="0.25">
      <c r="C243" s="8">
        <v>801011</v>
      </c>
      <c r="D243" s="8" t="s">
        <v>283</v>
      </c>
      <c r="F243" s="8" t="s">
        <v>558</v>
      </c>
      <c r="G243" s="820"/>
      <c r="H243" s="820"/>
      <c r="I243" s="820"/>
    </row>
    <row r="244" spans="3:9" x14ac:dyDescent="0.25">
      <c r="C244" s="8">
        <v>801021</v>
      </c>
      <c r="D244" s="8" t="s">
        <v>284</v>
      </c>
      <c r="F244" s="8" t="s">
        <v>558</v>
      </c>
      <c r="G244" s="820"/>
      <c r="H244" s="820"/>
      <c r="I244" s="820"/>
    </row>
    <row r="245" spans="3:9" x14ac:dyDescent="0.25">
      <c r="C245" s="8">
        <v>801051</v>
      </c>
      <c r="D245" s="8" t="s">
        <v>285</v>
      </c>
      <c r="F245" s="8" t="s">
        <v>558</v>
      </c>
      <c r="G245" s="820"/>
      <c r="H245" s="820"/>
      <c r="I245" s="820"/>
    </row>
    <row r="246" spans="3:9" x14ac:dyDescent="0.25">
      <c r="C246" s="8">
        <v>801071</v>
      </c>
      <c r="D246" s="8" t="s">
        <v>286</v>
      </c>
      <c r="E246" s="312"/>
      <c r="F246" s="8" t="s">
        <v>558</v>
      </c>
      <c r="G246" s="819">
        <v>8</v>
      </c>
      <c r="H246" s="819" t="s">
        <v>985</v>
      </c>
      <c r="I246" s="820"/>
    </row>
    <row r="247" spans="3:9" x14ac:dyDescent="0.25">
      <c r="C247" s="8">
        <v>801081</v>
      </c>
      <c r="D247" s="8" t="s">
        <v>287</v>
      </c>
      <c r="F247" s="8" t="s">
        <v>558</v>
      </c>
      <c r="G247" s="820"/>
      <c r="H247" s="820"/>
      <c r="I247" s="820"/>
    </row>
    <row r="248" spans="3:9" x14ac:dyDescent="0.25">
      <c r="C248" s="8">
        <v>801091</v>
      </c>
      <c r="D248" s="8" t="s">
        <v>288</v>
      </c>
      <c r="F248" s="8" t="s">
        <v>558</v>
      </c>
      <c r="G248" s="820"/>
      <c r="H248" s="820"/>
      <c r="I248" s="820"/>
    </row>
    <row r="249" spans="3:9" x14ac:dyDescent="0.25">
      <c r="C249" s="8">
        <v>801101</v>
      </c>
      <c r="D249" s="8" t="s">
        <v>289</v>
      </c>
      <c r="F249" s="8" t="s">
        <v>558</v>
      </c>
      <c r="G249" s="820"/>
      <c r="H249" s="820"/>
      <c r="I249" s="820"/>
    </row>
    <row r="250" spans="3:9" x14ac:dyDescent="0.25">
      <c r="C250" s="8">
        <v>801111</v>
      </c>
      <c r="D250" s="8" t="s">
        <v>290</v>
      </c>
      <c r="F250" s="8" t="s">
        <v>558</v>
      </c>
      <c r="G250" s="820"/>
      <c r="H250" s="820"/>
      <c r="I250" s="820"/>
    </row>
    <row r="251" spans="3:9" x14ac:dyDescent="0.25">
      <c r="C251" s="8">
        <v>801121</v>
      </c>
      <c r="D251" s="8" t="s">
        <v>291</v>
      </c>
      <c r="F251" s="8" t="s">
        <v>558</v>
      </c>
      <c r="G251" s="820"/>
      <c r="H251" s="820"/>
      <c r="I251" s="820"/>
    </row>
    <row r="252" spans="3:9" x14ac:dyDescent="0.25">
      <c r="C252" s="8">
        <v>801131</v>
      </c>
      <c r="D252" s="8" t="s">
        <v>292</v>
      </c>
      <c r="F252" s="8" t="s">
        <v>558</v>
      </c>
      <c r="G252" s="820"/>
      <c r="H252" s="820"/>
      <c r="I252" s="820"/>
    </row>
    <row r="253" spans="3:9" x14ac:dyDescent="0.25">
      <c r="C253" s="8">
        <v>801141</v>
      </c>
      <c r="D253" s="8" t="s">
        <v>293</v>
      </c>
      <c r="F253" s="8" t="s">
        <v>558</v>
      </c>
      <c r="G253" s="820"/>
      <c r="H253" s="820"/>
      <c r="I253" s="820"/>
    </row>
    <row r="254" spans="3:9" x14ac:dyDescent="0.25">
      <c r="C254" s="8">
        <v>801151</v>
      </c>
      <c r="D254" s="8" t="s">
        <v>294</v>
      </c>
      <c r="F254" s="8" t="s">
        <v>558</v>
      </c>
      <c r="G254" s="820"/>
      <c r="H254" s="820"/>
      <c r="I254" s="820"/>
    </row>
    <row r="255" spans="3:9" x14ac:dyDescent="0.25">
      <c r="C255" s="8">
        <v>801161</v>
      </c>
      <c r="D255" s="8" t="s">
        <v>295</v>
      </c>
      <c r="F255" s="8" t="s">
        <v>558</v>
      </c>
      <c r="G255" s="820"/>
      <c r="H255" s="820"/>
      <c r="I255" s="820"/>
    </row>
    <row r="256" spans="3:9" x14ac:dyDescent="0.25">
      <c r="C256" s="8">
        <v>801171</v>
      </c>
      <c r="D256" s="8" t="s">
        <v>296</v>
      </c>
      <c r="F256" s="8" t="s">
        <v>558</v>
      </c>
      <c r="G256" s="820"/>
      <c r="H256" s="820"/>
      <c r="I256" s="820"/>
    </row>
    <row r="257" spans="3:21" x14ac:dyDescent="0.25">
      <c r="C257" s="8">
        <v>801181</v>
      </c>
      <c r="D257" s="8" t="s">
        <v>297</v>
      </c>
      <c r="E257" s="312"/>
      <c r="F257" s="8" t="s">
        <v>558</v>
      </c>
      <c r="G257" s="819">
        <v>4</v>
      </c>
      <c r="H257" s="819" t="s">
        <v>980</v>
      </c>
      <c r="I257" s="820"/>
    </row>
    <row r="258" spans="3:21" x14ac:dyDescent="0.25">
      <c r="C258" s="8">
        <v>801201</v>
      </c>
      <c r="D258" s="8" t="s">
        <v>298</v>
      </c>
      <c r="E258" s="312"/>
      <c r="F258" s="8" t="s">
        <v>558</v>
      </c>
      <c r="G258" s="820"/>
      <c r="H258" s="820"/>
      <c r="I258" s="820"/>
    </row>
    <row r="259" spans="3:21" x14ac:dyDescent="0.25">
      <c r="C259" s="8">
        <v>801211</v>
      </c>
      <c r="D259" s="8" t="s">
        <v>299</v>
      </c>
      <c r="E259" s="312"/>
      <c r="F259" s="8" t="s">
        <v>558</v>
      </c>
      <c r="G259" s="820"/>
      <c r="H259" s="820"/>
      <c r="I259" s="820"/>
    </row>
    <row r="260" spans="3:21" x14ac:dyDescent="0.25">
      <c r="C260" s="8">
        <v>801221</v>
      </c>
      <c r="D260" s="8" t="s">
        <v>300</v>
      </c>
      <c r="F260" s="8" t="s">
        <v>558</v>
      </c>
      <c r="G260" s="820"/>
      <c r="H260" s="820"/>
      <c r="I260" s="820"/>
      <c r="U260" s="564" t="s">
        <v>773</v>
      </c>
    </row>
    <row r="261" spans="3:21" x14ac:dyDescent="0.25">
      <c r="C261" s="8">
        <v>801231</v>
      </c>
      <c r="D261" s="8" t="s">
        <v>301</v>
      </c>
      <c r="F261" s="8" t="s">
        <v>558</v>
      </c>
      <c r="G261" s="820"/>
      <c r="H261" s="820"/>
      <c r="I261" s="820"/>
      <c r="U261" s="567" t="s">
        <v>780</v>
      </c>
    </row>
    <row r="262" spans="3:21" x14ac:dyDescent="0.25">
      <c r="C262" s="8">
        <v>801251</v>
      </c>
      <c r="D262" s="8" t="s">
        <v>302</v>
      </c>
      <c r="E262" s="312"/>
      <c r="F262" s="8" t="s">
        <v>558</v>
      </c>
      <c r="G262" s="820"/>
      <c r="H262" s="818" t="s">
        <v>560</v>
      </c>
      <c r="I262" s="820"/>
    </row>
    <row r="263" spans="3:21" x14ac:dyDescent="0.25">
      <c r="C263" s="8">
        <v>801271</v>
      </c>
      <c r="D263" s="8" t="s">
        <v>303</v>
      </c>
      <c r="F263" s="8" t="s">
        <v>558</v>
      </c>
      <c r="G263" s="820"/>
      <c r="H263" s="820"/>
      <c r="I263" s="820"/>
    </row>
    <row r="264" spans="3:21" x14ac:dyDescent="0.25">
      <c r="C264" s="8">
        <v>801281</v>
      </c>
      <c r="D264" s="8" t="s">
        <v>304</v>
      </c>
      <c r="E264" s="309"/>
      <c r="F264" s="309" t="s">
        <v>557</v>
      </c>
      <c r="G264" s="820"/>
      <c r="H264" s="820"/>
      <c r="I264" s="820"/>
    </row>
    <row r="265" spans="3:21" x14ac:dyDescent="0.25">
      <c r="C265" s="8">
        <v>801291</v>
      </c>
      <c r="D265" s="8" t="s">
        <v>305</v>
      </c>
      <c r="F265" s="8" t="s">
        <v>558</v>
      </c>
      <c r="G265" s="820"/>
      <c r="H265" s="820"/>
      <c r="I265" s="820"/>
    </row>
    <row r="266" spans="3:21" x14ac:dyDescent="0.25">
      <c r="C266" s="8">
        <v>801301</v>
      </c>
      <c r="D266" s="8" t="s">
        <v>306</v>
      </c>
      <c r="F266" s="8" t="s">
        <v>558</v>
      </c>
      <c r="G266" s="820"/>
      <c r="H266" s="820"/>
      <c r="I266" s="820"/>
    </row>
    <row r="267" spans="3:21" x14ac:dyDescent="0.25">
      <c r="C267" s="8">
        <v>801311</v>
      </c>
      <c r="D267" s="8" t="s">
        <v>307</v>
      </c>
      <c r="E267" s="312"/>
      <c r="F267" s="8" t="s">
        <v>558</v>
      </c>
      <c r="G267" s="820"/>
      <c r="H267" s="818" t="s">
        <v>561</v>
      </c>
      <c r="I267" s="820"/>
    </row>
    <row r="268" spans="3:21" x14ac:dyDescent="0.25">
      <c r="C268" s="8">
        <v>801321</v>
      </c>
      <c r="D268" s="8" t="s">
        <v>308</v>
      </c>
      <c r="E268" s="312"/>
      <c r="F268" s="8" t="s">
        <v>558</v>
      </c>
      <c r="G268" s="819">
        <v>1</v>
      </c>
      <c r="H268" s="819" t="s">
        <v>562</v>
      </c>
      <c r="I268" s="820"/>
    </row>
    <row r="269" spans="3:21" x14ac:dyDescent="0.25">
      <c r="C269" s="8">
        <v>801341</v>
      </c>
      <c r="D269" s="8" t="s">
        <v>309</v>
      </c>
      <c r="F269" s="8" t="s">
        <v>558</v>
      </c>
      <c r="G269" s="820"/>
      <c r="H269" s="820"/>
      <c r="I269" s="820"/>
    </row>
    <row r="270" spans="3:21" x14ac:dyDescent="0.25">
      <c r="C270" s="8">
        <v>801351</v>
      </c>
      <c r="D270" s="8" t="s">
        <v>310</v>
      </c>
      <c r="F270" s="8" t="s">
        <v>558</v>
      </c>
      <c r="G270" s="820"/>
      <c r="H270" s="818" t="s">
        <v>984</v>
      </c>
      <c r="I270" s="820"/>
    </row>
    <row r="271" spans="3:21" x14ac:dyDescent="0.25">
      <c r="C271" s="8">
        <v>801381</v>
      </c>
      <c r="D271" s="8" t="s">
        <v>311</v>
      </c>
      <c r="F271" s="8" t="s">
        <v>558</v>
      </c>
      <c r="G271" s="820"/>
      <c r="H271" s="820"/>
      <c r="I271" s="820"/>
    </row>
    <row r="272" spans="3:21" x14ac:dyDescent="0.25">
      <c r="C272" s="8">
        <v>801391</v>
      </c>
      <c r="D272" s="8" t="s">
        <v>312</v>
      </c>
      <c r="E272" s="312"/>
      <c r="F272" s="8" t="s">
        <v>558</v>
      </c>
      <c r="G272" s="820"/>
      <c r="H272" s="818" t="s">
        <v>563</v>
      </c>
      <c r="I272" s="820"/>
    </row>
    <row r="273" spans="3:9" x14ac:dyDescent="0.25">
      <c r="C273" s="8">
        <v>801411</v>
      </c>
      <c r="D273" s="8" t="s">
        <v>313</v>
      </c>
      <c r="E273" s="312"/>
      <c r="F273" s="8" t="s">
        <v>558</v>
      </c>
      <c r="G273" s="819">
        <v>5</v>
      </c>
      <c r="H273" s="821" t="s">
        <v>986</v>
      </c>
      <c r="I273" s="820"/>
    </row>
    <row r="274" spans="3:9" x14ac:dyDescent="0.25">
      <c r="C274" s="8">
        <v>801421</v>
      </c>
      <c r="D274" s="8" t="s">
        <v>314</v>
      </c>
      <c r="F274" s="8" t="s">
        <v>558</v>
      </c>
      <c r="G274" s="820"/>
      <c r="H274" s="820"/>
      <c r="I274" s="820"/>
    </row>
    <row r="275" spans="3:9" x14ac:dyDescent="0.25">
      <c r="C275" s="8">
        <v>801431</v>
      </c>
      <c r="D275" s="8" t="s">
        <v>315</v>
      </c>
      <c r="F275" s="8" t="s">
        <v>558</v>
      </c>
      <c r="G275" s="820"/>
      <c r="H275" s="820"/>
      <c r="I275" s="820"/>
    </row>
    <row r="276" spans="3:9" x14ac:dyDescent="0.25">
      <c r="C276" s="8">
        <v>801461</v>
      </c>
      <c r="D276" s="8" t="s">
        <v>316</v>
      </c>
      <c r="F276" s="8" t="s">
        <v>558</v>
      </c>
      <c r="G276" s="820"/>
      <c r="H276" s="820"/>
      <c r="I276" s="820"/>
    </row>
    <row r="277" spans="3:9" x14ac:dyDescent="0.25">
      <c r="C277" s="8">
        <v>801481</v>
      </c>
      <c r="D277" s="8" t="s">
        <v>317</v>
      </c>
      <c r="F277" s="8" t="s">
        <v>558</v>
      </c>
      <c r="G277" s="820"/>
      <c r="H277" s="820"/>
      <c r="I277" s="820"/>
    </row>
    <row r="278" spans="3:9" x14ac:dyDescent="0.25">
      <c r="C278" s="8">
        <v>801511</v>
      </c>
      <c r="D278" s="8" t="s">
        <v>318</v>
      </c>
      <c r="F278" s="8" t="s">
        <v>558</v>
      </c>
      <c r="G278" s="820"/>
      <c r="H278" s="820"/>
      <c r="I278" s="820"/>
    </row>
    <row r="279" spans="3:9" x14ac:dyDescent="0.25">
      <c r="C279" s="8">
        <v>801521</v>
      </c>
      <c r="D279" s="8" t="s">
        <v>319</v>
      </c>
      <c r="F279" s="8" t="s">
        <v>558</v>
      </c>
      <c r="G279" s="820"/>
      <c r="H279" s="820"/>
      <c r="I279" s="820"/>
    </row>
    <row r="280" spans="3:9" x14ac:dyDescent="0.25">
      <c r="C280" s="8">
        <v>801531</v>
      </c>
      <c r="D280" s="8" t="s">
        <v>320</v>
      </c>
      <c r="F280" s="8" t="s">
        <v>558</v>
      </c>
      <c r="G280" s="820"/>
      <c r="H280" s="820"/>
      <c r="I280" s="820"/>
    </row>
    <row r="281" spans="3:9" x14ac:dyDescent="0.25">
      <c r="C281" s="8">
        <v>801551</v>
      </c>
      <c r="D281" s="8" t="s">
        <v>322</v>
      </c>
      <c r="E281" s="312"/>
      <c r="F281" s="8" t="s">
        <v>558</v>
      </c>
      <c r="G281" s="819">
        <v>2</v>
      </c>
      <c r="H281" s="822" t="s">
        <v>566</v>
      </c>
      <c r="I281" s="820"/>
    </row>
    <row r="282" spans="3:9" x14ac:dyDescent="0.25">
      <c r="C282" s="8">
        <v>801561</v>
      </c>
      <c r="D282" s="8" t="s">
        <v>323</v>
      </c>
      <c r="E282" s="312"/>
      <c r="F282" s="8" t="s">
        <v>558</v>
      </c>
      <c r="G282" s="820"/>
      <c r="H282" s="823" t="s">
        <v>563</v>
      </c>
      <c r="I282" s="820"/>
    </row>
    <row r="283" spans="3:9" x14ac:dyDescent="0.25">
      <c r="C283" s="8">
        <v>801571</v>
      </c>
      <c r="D283" s="8" t="s">
        <v>583</v>
      </c>
      <c r="E283" s="8" t="s">
        <v>324</v>
      </c>
      <c r="F283" s="8" t="s">
        <v>558</v>
      </c>
      <c r="G283" s="820"/>
      <c r="H283" s="820"/>
      <c r="I283" s="820"/>
    </row>
    <row r="284" spans="3:9" x14ac:dyDescent="0.25">
      <c r="C284" s="8">
        <v>801581</v>
      </c>
      <c r="D284" s="8" t="s">
        <v>584</v>
      </c>
      <c r="E284" s="8" t="s">
        <v>324</v>
      </c>
      <c r="F284" s="8" t="s">
        <v>558</v>
      </c>
      <c r="G284" s="820"/>
      <c r="H284" s="820"/>
      <c r="I284" s="820"/>
    </row>
    <row r="285" spans="3:9" x14ac:dyDescent="0.25">
      <c r="C285" s="8">
        <v>802011</v>
      </c>
      <c r="D285" s="8" t="s">
        <v>325</v>
      </c>
      <c r="F285" s="8" t="s">
        <v>558</v>
      </c>
      <c r="G285" s="820"/>
      <c r="H285" s="820"/>
      <c r="I285" s="820"/>
    </row>
    <row r="286" spans="3:9" x14ac:dyDescent="0.25">
      <c r="C286" s="8">
        <v>802021</v>
      </c>
      <c r="D286" s="8" t="s">
        <v>326</v>
      </c>
      <c r="F286" s="8" t="s">
        <v>558</v>
      </c>
      <c r="G286" s="820"/>
      <c r="H286" s="820"/>
      <c r="I286" s="820"/>
    </row>
    <row r="287" spans="3:9" x14ac:dyDescent="0.25">
      <c r="C287" s="8">
        <v>802041</v>
      </c>
      <c r="D287" s="8" t="s">
        <v>327</v>
      </c>
      <c r="F287" s="8" t="s">
        <v>558</v>
      </c>
      <c r="G287" s="820"/>
      <c r="H287" s="820"/>
      <c r="I287" s="820"/>
    </row>
    <row r="288" spans="3:9" x14ac:dyDescent="0.25">
      <c r="C288" s="8">
        <v>802051</v>
      </c>
      <c r="D288" s="8" t="s">
        <v>328</v>
      </c>
      <c r="F288" s="8" t="s">
        <v>558</v>
      </c>
      <c r="G288" s="820"/>
      <c r="H288" s="820"/>
      <c r="I288" s="820"/>
    </row>
    <row r="289" spans="3:9" x14ac:dyDescent="0.25">
      <c r="C289" s="8">
        <v>802061</v>
      </c>
      <c r="D289" s="8" t="s">
        <v>329</v>
      </c>
      <c r="F289" s="8" t="s">
        <v>558</v>
      </c>
      <c r="G289" s="820"/>
      <c r="H289" s="820"/>
      <c r="I289" s="820"/>
    </row>
    <row r="290" spans="3:9" x14ac:dyDescent="0.25">
      <c r="C290" s="8">
        <v>802071</v>
      </c>
      <c r="D290" s="8" t="s">
        <v>585</v>
      </c>
      <c r="E290" s="8" t="s">
        <v>324</v>
      </c>
      <c r="F290" s="8" t="s">
        <v>558</v>
      </c>
      <c r="G290" s="820"/>
      <c r="H290" s="820"/>
      <c r="I290" s="820"/>
    </row>
    <row r="291" spans="3:9" x14ac:dyDescent="0.25">
      <c r="C291" s="8">
        <v>802081</v>
      </c>
      <c r="D291" s="8" t="s">
        <v>330</v>
      </c>
      <c r="E291" s="312"/>
      <c r="F291" s="8" t="s">
        <v>558</v>
      </c>
      <c r="G291" s="819">
        <v>4</v>
      </c>
      <c r="H291" s="819" t="s">
        <v>564</v>
      </c>
      <c r="I291" s="820"/>
    </row>
    <row r="292" spans="3:9" x14ac:dyDescent="0.25">
      <c r="C292" s="8">
        <v>802091</v>
      </c>
      <c r="D292" s="8" t="s">
        <v>586</v>
      </c>
      <c r="E292" s="312"/>
      <c r="F292" s="8" t="s">
        <v>558</v>
      </c>
      <c r="G292" s="820"/>
      <c r="H292" s="818" t="s">
        <v>565</v>
      </c>
      <c r="I292" s="820"/>
    </row>
    <row r="293" spans="3:9" x14ac:dyDescent="0.25">
      <c r="C293" s="8">
        <v>802101</v>
      </c>
      <c r="D293" s="8" t="s">
        <v>331</v>
      </c>
      <c r="E293" s="312"/>
      <c r="F293" s="8" t="s">
        <v>558</v>
      </c>
      <c r="G293" s="820"/>
      <c r="H293" s="818" t="s">
        <v>565</v>
      </c>
      <c r="I293" s="820"/>
    </row>
    <row r="294" spans="3:9" x14ac:dyDescent="0.25">
      <c r="C294" s="8">
        <v>802111</v>
      </c>
      <c r="D294" s="8" t="s">
        <v>332</v>
      </c>
      <c r="F294" s="8" t="s">
        <v>558</v>
      </c>
      <c r="G294" s="820"/>
      <c r="H294" s="820"/>
      <c r="I294" s="820"/>
    </row>
    <row r="295" spans="3:9" x14ac:dyDescent="0.25">
      <c r="C295" s="8">
        <v>802121</v>
      </c>
      <c r="D295" s="8" t="s">
        <v>333</v>
      </c>
      <c r="F295" s="8" t="s">
        <v>558</v>
      </c>
      <c r="G295" s="820"/>
      <c r="H295" s="820"/>
      <c r="I295" s="820"/>
    </row>
    <row r="296" spans="3:9" x14ac:dyDescent="0.25">
      <c r="C296" s="8">
        <v>802131</v>
      </c>
      <c r="D296" s="8" t="s">
        <v>334</v>
      </c>
      <c r="E296" s="309"/>
      <c r="F296" s="309" t="s">
        <v>557</v>
      </c>
      <c r="G296" s="820"/>
      <c r="H296" s="820"/>
      <c r="I296" s="820"/>
    </row>
    <row r="297" spans="3:9" x14ac:dyDescent="0.25">
      <c r="C297" s="8">
        <v>802141</v>
      </c>
      <c r="D297" s="8" t="s">
        <v>335</v>
      </c>
      <c r="F297" s="8" t="s">
        <v>558</v>
      </c>
      <c r="G297" s="820"/>
      <c r="H297" s="820"/>
      <c r="I297" s="820"/>
    </row>
    <row r="298" spans="3:9" x14ac:dyDescent="0.25">
      <c r="C298" s="8">
        <v>802151</v>
      </c>
      <c r="D298" s="8" t="s">
        <v>336</v>
      </c>
      <c r="F298" s="8" t="s">
        <v>558</v>
      </c>
      <c r="G298" s="820"/>
      <c r="H298" s="820"/>
      <c r="I298" s="820"/>
    </row>
    <row r="299" spans="3:9" x14ac:dyDescent="0.25">
      <c r="C299" s="8">
        <v>802161</v>
      </c>
      <c r="D299" s="8" t="s">
        <v>337</v>
      </c>
      <c r="F299" s="8" t="s">
        <v>558</v>
      </c>
      <c r="G299" s="820"/>
      <c r="H299" s="820"/>
      <c r="I299" s="820"/>
    </row>
    <row r="300" spans="3:9" x14ac:dyDescent="0.25">
      <c r="C300" s="8">
        <v>802191</v>
      </c>
      <c r="D300" s="8" t="s">
        <v>338</v>
      </c>
      <c r="F300" s="8" t="s">
        <v>558</v>
      </c>
      <c r="G300" s="820"/>
      <c r="H300" s="820"/>
      <c r="I300" s="820"/>
    </row>
    <row r="301" spans="3:9" x14ac:dyDescent="0.25">
      <c r="C301" s="8">
        <v>802201</v>
      </c>
      <c r="D301" s="8" t="s">
        <v>339</v>
      </c>
      <c r="F301" s="8" t="s">
        <v>558</v>
      </c>
      <c r="G301" s="820"/>
      <c r="H301" s="820"/>
      <c r="I301" s="820"/>
    </row>
    <row r="302" spans="3:9" x14ac:dyDescent="0.25">
      <c r="C302" s="8">
        <v>802211</v>
      </c>
      <c r="D302" s="8" t="s">
        <v>340</v>
      </c>
      <c r="E302" s="309"/>
      <c r="F302" s="309" t="s">
        <v>557</v>
      </c>
      <c r="G302" s="820"/>
      <c r="H302" s="820"/>
      <c r="I302" s="820"/>
    </row>
    <row r="303" spans="3:9" x14ac:dyDescent="0.25">
      <c r="C303" s="8">
        <v>802221</v>
      </c>
      <c r="D303" s="8" t="s">
        <v>341</v>
      </c>
      <c r="E303" s="312"/>
      <c r="F303" s="8" t="s">
        <v>558</v>
      </c>
      <c r="G303" s="820"/>
      <c r="H303" s="818" t="s">
        <v>733</v>
      </c>
      <c r="I303" s="820"/>
    </row>
    <row r="304" spans="3:9" x14ac:dyDescent="0.25">
      <c r="C304" s="8">
        <v>802231</v>
      </c>
      <c r="D304" s="8" t="s">
        <v>342</v>
      </c>
      <c r="F304" s="8" t="s">
        <v>558</v>
      </c>
      <c r="G304" s="820"/>
      <c r="H304" s="820"/>
      <c r="I304" s="820"/>
    </row>
    <row r="305" spans="2:9" x14ac:dyDescent="0.25">
      <c r="C305" s="8">
        <v>802241</v>
      </c>
      <c r="D305" s="8" t="s">
        <v>343</v>
      </c>
      <c r="F305" s="8" t="s">
        <v>558</v>
      </c>
      <c r="G305" s="820"/>
      <c r="H305" s="820"/>
      <c r="I305" s="820"/>
    </row>
    <row r="306" spans="2:9" x14ac:dyDescent="0.25">
      <c r="C306" s="8">
        <v>802251</v>
      </c>
      <c r="D306" s="8" t="s">
        <v>344</v>
      </c>
      <c r="F306" s="8" t="s">
        <v>558</v>
      </c>
      <c r="G306" s="820"/>
      <c r="H306" s="820"/>
      <c r="I306" s="820"/>
    </row>
    <row r="307" spans="2:9" x14ac:dyDescent="0.25">
      <c r="C307" s="8">
        <v>802261</v>
      </c>
      <c r="D307" s="8" t="s">
        <v>345</v>
      </c>
      <c r="F307" s="8" t="s">
        <v>558</v>
      </c>
      <c r="G307" s="820"/>
      <c r="H307" s="820"/>
      <c r="I307" s="820"/>
    </row>
    <row r="308" spans="2:9" x14ac:dyDescent="0.25">
      <c r="C308" s="8">
        <v>802271</v>
      </c>
      <c r="D308" s="8" t="s">
        <v>587</v>
      </c>
      <c r="F308" s="8" t="s">
        <v>558</v>
      </c>
      <c r="G308" s="820"/>
      <c r="H308" s="820"/>
      <c r="I308" s="820"/>
    </row>
    <row r="309" spans="2:9" x14ac:dyDescent="0.25">
      <c r="C309" s="8">
        <v>802281</v>
      </c>
      <c r="D309" s="8" t="s">
        <v>588</v>
      </c>
      <c r="F309" s="8" t="s">
        <v>558</v>
      </c>
      <c r="G309" s="820"/>
      <c r="H309" s="820"/>
      <c r="I309" s="820"/>
    </row>
    <row r="310" spans="2:9" x14ac:dyDescent="0.25">
      <c r="C310" s="8">
        <v>802291</v>
      </c>
      <c r="D310" s="8" t="s">
        <v>346</v>
      </c>
      <c r="F310" s="8" t="s">
        <v>558</v>
      </c>
      <c r="G310" s="820"/>
      <c r="H310" s="820"/>
      <c r="I310" s="820"/>
    </row>
    <row r="311" spans="2:9" x14ac:dyDescent="0.25">
      <c r="B311" s="8"/>
      <c r="C311" s="8">
        <v>802301</v>
      </c>
      <c r="D311" s="8" t="s">
        <v>347</v>
      </c>
      <c r="E311" s="312"/>
      <c r="F311" s="8" t="s">
        <v>558</v>
      </c>
      <c r="G311" s="819">
        <v>2</v>
      </c>
      <c r="H311" s="819" t="s">
        <v>735</v>
      </c>
      <c r="I311" s="820"/>
    </row>
    <row r="312" spans="2:9" x14ac:dyDescent="0.25">
      <c r="B312" s="8"/>
      <c r="C312" s="8">
        <v>802311</v>
      </c>
      <c r="D312" s="8" t="s">
        <v>348</v>
      </c>
      <c r="F312" s="8" t="s">
        <v>558</v>
      </c>
      <c r="G312" s="820"/>
      <c r="H312" s="820"/>
      <c r="I312" s="820"/>
    </row>
    <row r="313" spans="2:9" x14ac:dyDescent="0.25">
      <c r="B313" s="8"/>
      <c r="C313" s="8">
        <v>802331</v>
      </c>
      <c r="D313" s="8" t="s">
        <v>349</v>
      </c>
      <c r="F313" s="8" t="s">
        <v>558</v>
      </c>
      <c r="G313" s="820"/>
      <c r="H313" s="820"/>
      <c r="I313" s="820"/>
    </row>
    <row r="314" spans="2:9" x14ac:dyDescent="0.25">
      <c r="B314" s="8"/>
      <c r="C314" s="8">
        <v>802341</v>
      </c>
      <c r="D314" s="8" t="s">
        <v>350</v>
      </c>
      <c r="F314" s="8" t="s">
        <v>558</v>
      </c>
      <c r="G314" s="820"/>
      <c r="H314" s="820"/>
      <c r="I314" s="820"/>
    </row>
    <row r="315" spans="2:9" x14ac:dyDescent="0.25">
      <c r="B315" s="8"/>
      <c r="C315" s="8">
        <v>802351</v>
      </c>
      <c r="D315" s="8" t="s">
        <v>351</v>
      </c>
      <c r="F315" s="8" t="s">
        <v>558</v>
      </c>
      <c r="G315" s="820"/>
      <c r="H315" s="820"/>
      <c r="I315" s="820"/>
    </row>
    <row r="316" spans="2:9" x14ac:dyDescent="0.25">
      <c r="B316" s="8"/>
      <c r="C316" s="8">
        <v>802361</v>
      </c>
      <c r="D316" s="8" t="s">
        <v>352</v>
      </c>
      <c r="F316" s="8" t="s">
        <v>558</v>
      </c>
      <c r="G316" s="820"/>
      <c r="H316" s="820"/>
      <c r="I316" s="820"/>
    </row>
    <row r="317" spans="2:9" x14ac:dyDescent="0.25">
      <c r="B317" s="8"/>
      <c r="C317" s="8">
        <v>802371</v>
      </c>
      <c r="D317" s="8" t="s">
        <v>353</v>
      </c>
      <c r="F317" s="8" t="s">
        <v>558</v>
      </c>
      <c r="G317" s="820"/>
      <c r="H317" s="820"/>
      <c r="I317" s="820"/>
    </row>
    <row r="318" spans="2:9" x14ac:dyDescent="0.25">
      <c r="B318" s="8"/>
      <c r="C318" s="8">
        <v>802381</v>
      </c>
      <c r="D318" s="8" t="s">
        <v>354</v>
      </c>
      <c r="E318" s="312"/>
      <c r="F318" s="8" t="s">
        <v>558</v>
      </c>
      <c r="G318" s="819">
        <v>1</v>
      </c>
      <c r="H318" s="819" t="s">
        <v>734</v>
      </c>
      <c r="I318" s="820"/>
    </row>
    <row r="319" spans="2:9" x14ac:dyDescent="0.25">
      <c r="B319" s="8"/>
      <c r="C319" s="8">
        <v>802401</v>
      </c>
      <c r="D319" s="8" t="s">
        <v>355</v>
      </c>
      <c r="E319" s="312"/>
      <c r="F319" s="8" t="s">
        <v>558</v>
      </c>
      <c r="G319" s="819">
        <v>5</v>
      </c>
      <c r="H319" s="822" t="s">
        <v>566</v>
      </c>
      <c r="I319" s="820"/>
    </row>
    <row r="320" spans="2:9" x14ac:dyDescent="0.25">
      <c r="B320" s="8"/>
      <c r="C320" s="8">
        <v>802411</v>
      </c>
      <c r="D320" s="8" t="s">
        <v>356</v>
      </c>
      <c r="F320" s="8" t="s">
        <v>558</v>
      </c>
      <c r="G320" s="820"/>
      <c r="H320" s="820"/>
      <c r="I320" s="820"/>
    </row>
    <row r="321" spans="2:16" x14ac:dyDescent="0.25">
      <c r="B321" s="8"/>
      <c r="C321" s="8">
        <v>802421</v>
      </c>
      <c r="D321" s="8" t="s">
        <v>357</v>
      </c>
      <c r="E321" s="312"/>
      <c r="F321" s="8" t="s">
        <v>558</v>
      </c>
      <c r="G321" s="819">
        <v>7</v>
      </c>
      <c r="H321" s="822" t="s">
        <v>566</v>
      </c>
      <c r="I321" s="820"/>
    </row>
    <row r="322" spans="2:16" x14ac:dyDescent="0.25">
      <c r="B322" s="8"/>
      <c r="C322" s="8">
        <v>802431</v>
      </c>
      <c r="D322" s="8" t="s">
        <v>358</v>
      </c>
      <c r="F322" s="8" t="s">
        <v>558</v>
      </c>
      <c r="G322" s="820"/>
      <c r="H322" s="820"/>
      <c r="I322" s="820"/>
    </row>
    <row r="323" spans="2:16" x14ac:dyDescent="0.25">
      <c r="B323" s="8"/>
      <c r="C323" s="8">
        <v>802441</v>
      </c>
      <c r="D323" s="8" t="s">
        <v>359</v>
      </c>
      <c r="E323" s="309"/>
      <c r="F323" s="309" t="s">
        <v>557</v>
      </c>
      <c r="G323" s="820"/>
      <c r="H323" s="820"/>
      <c r="I323" s="820"/>
    </row>
    <row r="324" spans="2:16" x14ac:dyDescent="0.25">
      <c r="B324" s="8"/>
      <c r="C324" s="8">
        <v>802451</v>
      </c>
      <c r="D324" s="8" t="s">
        <v>360</v>
      </c>
      <c r="F324" s="8" t="s">
        <v>558</v>
      </c>
      <c r="G324" s="820"/>
      <c r="H324" s="820"/>
      <c r="I324" s="820"/>
    </row>
    <row r="325" spans="2:16" x14ac:dyDescent="0.25">
      <c r="B325" s="8"/>
      <c r="C325" s="8">
        <v>802461</v>
      </c>
      <c r="D325" s="8" t="s">
        <v>361</v>
      </c>
      <c r="F325" s="8" t="s">
        <v>558</v>
      </c>
      <c r="G325" s="820"/>
      <c r="H325" s="820"/>
      <c r="I325" s="820"/>
    </row>
    <row r="326" spans="2:16" x14ac:dyDescent="0.25">
      <c r="B326" s="8"/>
      <c r="C326" s="8">
        <v>802471</v>
      </c>
      <c r="D326" s="8" t="s">
        <v>362</v>
      </c>
      <c r="F326" s="8" t="s">
        <v>558</v>
      </c>
      <c r="G326" s="820"/>
      <c r="H326" s="820"/>
      <c r="I326" s="820"/>
      <c r="P326" s="566" t="s">
        <v>779</v>
      </c>
    </row>
    <row r="327" spans="2:16" x14ac:dyDescent="0.25">
      <c r="B327" s="8"/>
      <c r="C327" s="8">
        <v>802481</v>
      </c>
      <c r="D327" s="8" t="s">
        <v>363</v>
      </c>
      <c r="F327" s="8" t="s">
        <v>558</v>
      </c>
      <c r="G327" s="820"/>
      <c r="H327" s="820"/>
      <c r="I327" s="820"/>
    </row>
    <row r="328" spans="2:16" x14ac:dyDescent="0.25">
      <c r="B328" s="8"/>
      <c r="C328" s="8">
        <v>802491</v>
      </c>
      <c r="D328" s="8" t="s">
        <v>364</v>
      </c>
      <c r="F328" s="8" t="s">
        <v>558</v>
      </c>
      <c r="G328" s="820"/>
      <c r="H328" s="820"/>
      <c r="I328" s="820"/>
    </row>
    <row r="329" spans="2:16" x14ac:dyDescent="0.25">
      <c r="B329" s="8"/>
      <c r="C329" s="8">
        <v>802501</v>
      </c>
      <c r="D329" s="8" t="s">
        <v>365</v>
      </c>
      <c r="F329" s="8" t="s">
        <v>558</v>
      </c>
      <c r="G329" s="820"/>
      <c r="H329" s="820"/>
      <c r="I329" s="820"/>
    </row>
    <row r="330" spans="2:16" x14ac:dyDescent="0.25">
      <c r="B330" s="8"/>
      <c r="C330" s="8">
        <v>802511</v>
      </c>
      <c r="D330" s="8" t="s">
        <v>366</v>
      </c>
      <c r="F330" s="8" t="s">
        <v>558</v>
      </c>
      <c r="G330" s="820"/>
      <c r="H330" s="820"/>
      <c r="I330" s="820"/>
    </row>
    <row r="331" spans="2:16" x14ac:dyDescent="0.25">
      <c r="B331" s="8"/>
      <c r="C331" s="8">
        <v>802521</v>
      </c>
      <c r="D331" s="8" t="s">
        <v>367</v>
      </c>
      <c r="F331" s="8" t="s">
        <v>558</v>
      </c>
      <c r="G331" s="820"/>
      <c r="H331" s="820"/>
      <c r="I331" s="820"/>
    </row>
    <row r="332" spans="2:16" x14ac:dyDescent="0.25">
      <c r="B332" s="8"/>
      <c r="C332" s="8">
        <v>802531</v>
      </c>
      <c r="D332" s="8" t="s">
        <v>368</v>
      </c>
      <c r="F332" s="8" t="s">
        <v>558</v>
      </c>
      <c r="G332" s="820"/>
      <c r="H332" s="820"/>
      <c r="I332" s="820"/>
    </row>
    <row r="333" spans="2:16" x14ac:dyDescent="0.25">
      <c r="B333" s="8"/>
      <c r="C333" s="8">
        <v>802541</v>
      </c>
      <c r="D333" s="8" t="s">
        <v>369</v>
      </c>
      <c r="F333" s="8" t="s">
        <v>558</v>
      </c>
      <c r="G333" s="820"/>
      <c r="H333" s="820"/>
      <c r="I333" s="820"/>
    </row>
    <row r="334" spans="2:16" x14ac:dyDescent="0.25">
      <c r="B334" s="8"/>
      <c r="C334" s="8">
        <v>802551</v>
      </c>
      <c r="D334" s="8" t="s">
        <v>370</v>
      </c>
      <c r="F334" s="8" t="s">
        <v>558</v>
      </c>
      <c r="G334" s="820"/>
      <c r="H334" s="820"/>
      <c r="I334" s="820"/>
    </row>
    <row r="335" spans="2:16" x14ac:dyDescent="0.25">
      <c r="B335" s="8"/>
      <c r="C335" s="8">
        <v>802561</v>
      </c>
      <c r="D335" s="8" t="s">
        <v>371</v>
      </c>
      <c r="F335" s="8" t="s">
        <v>558</v>
      </c>
      <c r="G335" s="820"/>
      <c r="H335" s="820"/>
      <c r="I335" s="820"/>
    </row>
    <row r="336" spans="2:16" x14ac:dyDescent="0.25">
      <c r="B336" s="8"/>
      <c r="C336" s="8">
        <v>802571</v>
      </c>
      <c r="D336" s="8" t="s">
        <v>372</v>
      </c>
      <c r="E336" s="312"/>
      <c r="F336" s="8" t="s">
        <v>558</v>
      </c>
      <c r="G336" s="820"/>
      <c r="H336" s="818" t="s">
        <v>736</v>
      </c>
      <c r="I336" s="820"/>
    </row>
    <row r="337" spans="3:9" x14ac:dyDescent="0.25">
      <c r="C337" s="8">
        <v>802581</v>
      </c>
      <c r="D337" s="8" t="s">
        <v>373</v>
      </c>
      <c r="F337" s="8" t="s">
        <v>558</v>
      </c>
      <c r="G337" s="820"/>
      <c r="H337" s="820"/>
      <c r="I337" s="820"/>
    </row>
    <row r="338" spans="3:9" x14ac:dyDescent="0.25">
      <c r="C338" s="8">
        <v>802591</v>
      </c>
      <c r="D338" s="8" t="s">
        <v>374</v>
      </c>
      <c r="E338" s="312"/>
      <c r="F338" s="8" t="s">
        <v>558</v>
      </c>
      <c r="G338" s="820"/>
      <c r="H338" s="818" t="s">
        <v>733</v>
      </c>
      <c r="I338" s="820"/>
    </row>
    <row r="339" spans="3:9" x14ac:dyDescent="0.25">
      <c r="C339" s="8">
        <v>802611</v>
      </c>
      <c r="D339" s="8" t="s">
        <v>375</v>
      </c>
      <c r="F339" s="8" t="s">
        <v>558</v>
      </c>
      <c r="G339" s="820"/>
      <c r="H339" s="820"/>
      <c r="I339" s="820"/>
    </row>
    <row r="340" spans="3:9" x14ac:dyDescent="0.25">
      <c r="C340" s="8">
        <v>802621</v>
      </c>
      <c r="D340" s="8" t="s">
        <v>376</v>
      </c>
      <c r="F340" s="8" t="s">
        <v>558</v>
      </c>
      <c r="G340" s="820"/>
      <c r="H340" s="820"/>
      <c r="I340" s="820"/>
    </row>
    <row r="341" spans="3:9" x14ac:dyDescent="0.25">
      <c r="C341" s="8">
        <v>802631</v>
      </c>
      <c r="D341" s="8" t="s">
        <v>377</v>
      </c>
      <c r="E341" s="312"/>
      <c r="F341" s="8" t="s">
        <v>558</v>
      </c>
      <c r="G341" s="819">
        <v>8</v>
      </c>
      <c r="H341" s="822" t="s">
        <v>566</v>
      </c>
      <c r="I341" s="820"/>
    </row>
    <row r="342" spans="3:9" x14ac:dyDescent="0.25">
      <c r="C342" s="8">
        <v>802641</v>
      </c>
      <c r="D342" s="8" t="s">
        <v>589</v>
      </c>
      <c r="E342" s="309" t="s">
        <v>324</v>
      </c>
      <c r="F342" s="309" t="s">
        <v>557</v>
      </c>
      <c r="G342" s="820"/>
      <c r="H342" s="818" t="s">
        <v>981</v>
      </c>
      <c r="I342" s="820"/>
    </row>
    <row r="343" spans="3:9" x14ac:dyDescent="0.25">
      <c r="C343" s="8">
        <v>802651</v>
      </c>
      <c r="D343" s="8" t="s">
        <v>590</v>
      </c>
      <c r="E343" s="309" t="s">
        <v>324</v>
      </c>
      <c r="F343" s="309" t="s">
        <v>557</v>
      </c>
      <c r="G343" s="820"/>
      <c r="H343" s="820"/>
      <c r="I343" s="820"/>
    </row>
    <row r="344" spans="3:9" x14ac:dyDescent="0.25">
      <c r="C344" s="8">
        <v>802661</v>
      </c>
      <c r="D344" s="8" t="s">
        <v>591</v>
      </c>
      <c r="E344" s="8" t="s">
        <v>324</v>
      </c>
      <c r="F344" s="8" t="s">
        <v>558</v>
      </c>
      <c r="G344" s="820"/>
      <c r="H344" s="820"/>
      <c r="I344" s="820"/>
    </row>
    <row r="345" spans="3:9" x14ac:dyDescent="0.25">
      <c r="C345" s="8">
        <v>803011</v>
      </c>
      <c r="D345" s="8" t="s">
        <v>378</v>
      </c>
      <c r="F345" s="8" t="s">
        <v>558</v>
      </c>
      <c r="G345" s="820"/>
      <c r="H345" s="820"/>
      <c r="I345" s="820"/>
    </row>
    <row r="346" spans="3:9" x14ac:dyDescent="0.25">
      <c r="C346" s="8">
        <v>803021</v>
      </c>
      <c r="D346" s="8" t="s">
        <v>379</v>
      </c>
      <c r="F346" s="8" t="s">
        <v>558</v>
      </c>
      <c r="G346" s="820"/>
      <c r="H346" s="820"/>
      <c r="I346" s="820"/>
    </row>
    <row r="347" spans="3:9" x14ac:dyDescent="0.25">
      <c r="C347" s="8">
        <v>803031</v>
      </c>
      <c r="D347" s="8" t="s">
        <v>380</v>
      </c>
      <c r="F347" s="8" t="s">
        <v>558</v>
      </c>
      <c r="G347" s="820"/>
      <c r="H347" s="820"/>
      <c r="I347" s="820"/>
    </row>
    <row r="348" spans="3:9" x14ac:dyDescent="0.25">
      <c r="C348" s="8">
        <v>803041</v>
      </c>
      <c r="D348" s="8" t="s">
        <v>381</v>
      </c>
      <c r="F348" s="8" t="s">
        <v>558</v>
      </c>
      <c r="G348" s="820"/>
      <c r="H348" s="820"/>
      <c r="I348" s="820"/>
    </row>
    <row r="349" spans="3:9" x14ac:dyDescent="0.25">
      <c r="C349" s="8">
        <v>803051</v>
      </c>
      <c r="D349" s="8" t="s">
        <v>382</v>
      </c>
      <c r="F349" s="8" t="s">
        <v>558</v>
      </c>
      <c r="G349" s="820"/>
      <c r="H349" s="820"/>
      <c r="I349" s="820"/>
    </row>
    <row r="350" spans="3:9" x14ac:dyDescent="0.25">
      <c r="C350" s="8">
        <v>803061</v>
      </c>
      <c r="D350" s="8" t="s">
        <v>383</v>
      </c>
      <c r="F350" s="8" t="s">
        <v>558</v>
      </c>
      <c r="G350" s="820"/>
      <c r="H350" s="820"/>
      <c r="I350" s="820"/>
    </row>
    <row r="351" spans="3:9" x14ac:dyDescent="0.25">
      <c r="C351" s="8">
        <v>803071</v>
      </c>
      <c r="D351" s="8" t="s">
        <v>384</v>
      </c>
      <c r="F351" s="8" t="s">
        <v>558</v>
      </c>
      <c r="G351" s="820"/>
      <c r="H351" s="820"/>
      <c r="I351" s="820"/>
    </row>
    <row r="352" spans="3:9" x14ac:dyDescent="0.25">
      <c r="C352" s="8">
        <v>803081</v>
      </c>
      <c r="D352" s="8" t="s">
        <v>385</v>
      </c>
      <c r="F352" s="8" t="s">
        <v>558</v>
      </c>
      <c r="G352" s="820"/>
      <c r="H352" s="820"/>
      <c r="I352" s="820"/>
    </row>
    <row r="353" spans="3:9" x14ac:dyDescent="0.25">
      <c r="C353" s="8">
        <v>803101</v>
      </c>
      <c r="D353" s="8" t="s">
        <v>387</v>
      </c>
      <c r="F353" s="8" t="s">
        <v>558</v>
      </c>
      <c r="G353" s="820"/>
      <c r="H353" s="820"/>
      <c r="I353" s="820"/>
    </row>
    <row r="354" spans="3:9" x14ac:dyDescent="0.25">
      <c r="C354" s="8">
        <v>803111</v>
      </c>
      <c r="D354" s="8" t="s">
        <v>388</v>
      </c>
      <c r="E354" s="312"/>
      <c r="F354" s="8" t="s">
        <v>558</v>
      </c>
      <c r="G354" s="820"/>
      <c r="H354" s="818" t="s">
        <v>567</v>
      </c>
      <c r="I354" s="820"/>
    </row>
    <row r="355" spans="3:9" x14ac:dyDescent="0.25">
      <c r="C355" s="8">
        <v>803121</v>
      </c>
      <c r="D355" s="8" t="s">
        <v>389</v>
      </c>
      <c r="F355" s="8" t="s">
        <v>558</v>
      </c>
      <c r="G355" s="820"/>
      <c r="H355" s="820"/>
      <c r="I355" s="820"/>
    </row>
    <row r="356" spans="3:9" x14ac:dyDescent="0.25">
      <c r="C356" s="8">
        <v>803131</v>
      </c>
      <c r="D356" s="8" t="s">
        <v>390</v>
      </c>
      <c r="F356" s="8" t="s">
        <v>558</v>
      </c>
      <c r="G356" s="820"/>
      <c r="H356" s="820"/>
      <c r="I356" s="820"/>
    </row>
    <row r="357" spans="3:9" x14ac:dyDescent="0.25">
      <c r="C357" s="8">
        <v>803141</v>
      </c>
      <c r="D357" s="8" t="s">
        <v>391</v>
      </c>
      <c r="E357" s="312"/>
      <c r="F357" s="8" t="s">
        <v>558</v>
      </c>
      <c r="G357" s="819">
        <v>1</v>
      </c>
      <c r="H357" s="819" t="s">
        <v>568</v>
      </c>
      <c r="I357" s="820"/>
    </row>
    <row r="358" spans="3:9" x14ac:dyDescent="0.25">
      <c r="C358" s="8">
        <v>803151</v>
      </c>
      <c r="D358" s="8" t="s">
        <v>392</v>
      </c>
      <c r="F358" s="8" t="s">
        <v>558</v>
      </c>
      <c r="G358" s="820"/>
      <c r="H358" s="820"/>
      <c r="I358" s="820"/>
    </row>
    <row r="359" spans="3:9" x14ac:dyDescent="0.25">
      <c r="C359" s="8">
        <v>803161</v>
      </c>
      <c r="D359" s="8" t="s">
        <v>393</v>
      </c>
      <c r="F359" s="8" t="s">
        <v>558</v>
      </c>
      <c r="G359" s="820"/>
      <c r="H359" s="820"/>
      <c r="I359" s="820"/>
    </row>
    <row r="360" spans="3:9" x14ac:dyDescent="0.25">
      <c r="C360" s="8">
        <v>803171</v>
      </c>
      <c r="D360" s="8" t="s">
        <v>394</v>
      </c>
      <c r="F360" s="8" t="s">
        <v>558</v>
      </c>
      <c r="G360" s="820"/>
      <c r="H360" s="820"/>
      <c r="I360" s="820"/>
    </row>
    <row r="361" spans="3:9" x14ac:dyDescent="0.25">
      <c r="C361" s="8">
        <v>803181</v>
      </c>
      <c r="D361" s="8" t="s">
        <v>395</v>
      </c>
      <c r="F361" s="8" t="s">
        <v>558</v>
      </c>
      <c r="G361" s="820"/>
      <c r="H361" s="820"/>
      <c r="I361" s="820"/>
    </row>
    <row r="362" spans="3:9" x14ac:dyDescent="0.25">
      <c r="C362" s="8">
        <v>803191</v>
      </c>
      <c r="D362" s="8" t="s">
        <v>396</v>
      </c>
      <c r="F362" s="8" t="s">
        <v>558</v>
      </c>
      <c r="G362" s="820"/>
      <c r="H362" s="820"/>
      <c r="I362" s="820"/>
    </row>
    <row r="363" spans="3:9" x14ac:dyDescent="0.25">
      <c r="C363" s="8">
        <v>803201</v>
      </c>
      <c r="D363" s="8" t="s">
        <v>397</v>
      </c>
      <c r="F363" s="8" t="s">
        <v>558</v>
      </c>
      <c r="G363" s="820"/>
      <c r="H363" s="820"/>
      <c r="I363" s="820"/>
    </row>
    <row r="364" spans="3:9" x14ac:dyDescent="0.25">
      <c r="C364" s="8">
        <v>803211</v>
      </c>
      <c r="D364" s="8" t="s">
        <v>398</v>
      </c>
      <c r="F364" s="8" t="s">
        <v>558</v>
      </c>
      <c r="G364" s="820"/>
      <c r="H364" s="820"/>
      <c r="I364" s="820"/>
    </row>
    <row r="365" spans="3:9" x14ac:dyDescent="0.25">
      <c r="C365" s="8">
        <v>803221</v>
      </c>
      <c r="D365" s="8" t="s">
        <v>399</v>
      </c>
      <c r="F365" s="8" t="s">
        <v>558</v>
      </c>
      <c r="G365" s="820"/>
      <c r="H365" s="820"/>
      <c r="I365" s="820"/>
    </row>
    <row r="366" spans="3:9" x14ac:dyDescent="0.25">
      <c r="C366" s="8">
        <v>803251</v>
      </c>
      <c r="D366" s="8" t="s">
        <v>400</v>
      </c>
      <c r="E366" s="312"/>
      <c r="F366" s="8" t="s">
        <v>558</v>
      </c>
      <c r="G366" s="819">
        <v>4</v>
      </c>
      <c r="H366" s="822" t="s">
        <v>566</v>
      </c>
      <c r="I366" s="820"/>
    </row>
    <row r="367" spans="3:9" x14ac:dyDescent="0.25">
      <c r="C367" s="8">
        <v>803261</v>
      </c>
      <c r="D367" s="8" t="s">
        <v>401</v>
      </c>
      <c r="F367" s="8" t="s">
        <v>558</v>
      </c>
      <c r="G367" s="820"/>
      <c r="H367" s="820"/>
      <c r="I367" s="820"/>
    </row>
    <row r="368" spans="3:9" x14ac:dyDescent="0.25">
      <c r="C368" s="8">
        <v>804011</v>
      </c>
      <c r="D368" s="8" t="s">
        <v>402</v>
      </c>
      <c r="F368" s="8" t="s">
        <v>558</v>
      </c>
      <c r="G368" s="820"/>
      <c r="H368" s="820"/>
      <c r="I368" s="820"/>
    </row>
    <row r="369" spans="3:9" x14ac:dyDescent="0.25">
      <c r="C369" s="8">
        <v>804021</v>
      </c>
      <c r="D369" s="8" t="s">
        <v>403</v>
      </c>
      <c r="F369" s="8" t="s">
        <v>558</v>
      </c>
      <c r="G369" s="820"/>
      <c r="H369" s="820"/>
      <c r="I369" s="820"/>
    </row>
    <row r="370" spans="3:9" x14ac:dyDescent="0.25">
      <c r="C370" s="8">
        <v>804041</v>
      </c>
      <c r="D370" s="8" t="s">
        <v>404</v>
      </c>
      <c r="F370" s="8" t="s">
        <v>558</v>
      </c>
      <c r="G370" s="820"/>
      <c r="H370" s="820"/>
      <c r="I370" s="820"/>
    </row>
    <row r="371" spans="3:9" x14ac:dyDescent="0.25">
      <c r="C371" s="8">
        <v>804051</v>
      </c>
      <c r="D371" s="8" t="s">
        <v>405</v>
      </c>
      <c r="F371" s="8" t="s">
        <v>558</v>
      </c>
      <c r="G371" s="820"/>
      <c r="H371" s="820"/>
      <c r="I371" s="820"/>
    </row>
    <row r="372" spans="3:9" x14ac:dyDescent="0.25">
      <c r="C372" s="8">
        <v>804061</v>
      </c>
      <c r="D372" s="8" t="s">
        <v>406</v>
      </c>
      <c r="F372" s="8" t="s">
        <v>558</v>
      </c>
      <c r="G372" s="820"/>
      <c r="H372" s="820"/>
      <c r="I372" s="820"/>
    </row>
    <row r="373" spans="3:9" x14ac:dyDescent="0.25">
      <c r="C373" s="8">
        <v>804071</v>
      </c>
      <c r="D373" s="8" t="s">
        <v>407</v>
      </c>
      <c r="F373" s="8" t="s">
        <v>558</v>
      </c>
      <c r="G373" s="820"/>
      <c r="H373" s="820"/>
      <c r="I373" s="820"/>
    </row>
    <row r="374" spans="3:9" x14ac:dyDescent="0.25">
      <c r="C374" s="8">
        <v>804081</v>
      </c>
      <c r="D374" s="8" t="s">
        <v>408</v>
      </c>
      <c r="F374" s="8" t="s">
        <v>558</v>
      </c>
      <c r="G374" s="820"/>
      <c r="H374" s="820"/>
      <c r="I374" s="820"/>
    </row>
    <row r="375" spans="3:9" x14ac:dyDescent="0.25">
      <c r="C375" s="8">
        <v>804091</v>
      </c>
      <c r="D375" s="8" t="s">
        <v>409</v>
      </c>
      <c r="F375" s="8" t="s">
        <v>558</v>
      </c>
      <c r="G375" s="820"/>
      <c r="H375" s="820"/>
      <c r="I375" s="820"/>
    </row>
    <row r="376" spans="3:9" x14ac:dyDescent="0.25">
      <c r="C376" s="8">
        <v>804101</v>
      </c>
      <c r="D376" s="8" t="s">
        <v>410</v>
      </c>
      <c r="F376" s="8" t="s">
        <v>558</v>
      </c>
      <c r="G376" s="820"/>
      <c r="H376" s="820"/>
      <c r="I376" s="820"/>
    </row>
    <row r="377" spans="3:9" x14ac:dyDescent="0.25">
      <c r="C377" s="8">
        <v>804111</v>
      </c>
      <c r="D377" s="8" t="s">
        <v>411</v>
      </c>
      <c r="F377" s="8" t="s">
        <v>558</v>
      </c>
      <c r="G377" s="820"/>
      <c r="H377" s="820"/>
      <c r="I377" s="820"/>
    </row>
    <row r="378" spans="3:9" x14ac:dyDescent="0.25">
      <c r="C378" s="8">
        <v>804131</v>
      </c>
      <c r="D378" s="8" t="s">
        <v>412</v>
      </c>
      <c r="F378" s="8" t="s">
        <v>558</v>
      </c>
      <c r="G378" s="820"/>
      <c r="H378" s="820"/>
      <c r="I378" s="820"/>
    </row>
    <row r="379" spans="3:9" x14ac:dyDescent="0.25">
      <c r="C379" s="8">
        <v>804141</v>
      </c>
      <c r="D379" s="8" t="s">
        <v>413</v>
      </c>
      <c r="F379" s="8" t="s">
        <v>558</v>
      </c>
      <c r="G379" s="820"/>
      <c r="H379" s="820"/>
      <c r="I379" s="820"/>
    </row>
    <row r="380" spans="3:9" x14ac:dyDescent="0.25">
      <c r="C380" s="8">
        <v>804151</v>
      </c>
      <c r="D380" s="8" t="s">
        <v>414</v>
      </c>
      <c r="F380" s="8" t="s">
        <v>558</v>
      </c>
      <c r="G380" s="820"/>
      <c r="H380" s="820"/>
      <c r="I380" s="820"/>
    </row>
    <row r="381" spans="3:9" x14ac:dyDescent="0.25">
      <c r="C381" s="8">
        <v>804161</v>
      </c>
      <c r="D381" s="8" t="s">
        <v>415</v>
      </c>
      <c r="F381" s="8" t="s">
        <v>558</v>
      </c>
      <c r="G381" s="820"/>
      <c r="H381" s="820"/>
      <c r="I381" s="820"/>
    </row>
    <row r="382" spans="3:9" x14ac:dyDescent="0.25">
      <c r="C382" s="8">
        <v>804171</v>
      </c>
      <c r="D382" s="8" t="s">
        <v>416</v>
      </c>
      <c r="F382" s="8" t="s">
        <v>558</v>
      </c>
      <c r="G382" s="820"/>
      <c r="H382" s="820"/>
      <c r="I382" s="820"/>
    </row>
    <row r="383" spans="3:9" x14ac:dyDescent="0.25">
      <c r="C383" s="8">
        <v>804181</v>
      </c>
      <c r="D383" s="8" t="s">
        <v>417</v>
      </c>
      <c r="F383" s="8" t="s">
        <v>558</v>
      </c>
      <c r="G383" s="820"/>
      <c r="H383" s="820"/>
      <c r="I383" s="820"/>
    </row>
    <row r="384" spans="3:9" x14ac:dyDescent="0.25">
      <c r="C384" s="8">
        <v>804191</v>
      </c>
      <c r="D384" s="8" t="s">
        <v>418</v>
      </c>
      <c r="F384" s="8" t="s">
        <v>558</v>
      </c>
      <c r="G384" s="820"/>
      <c r="H384" s="820"/>
      <c r="I384" s="820"/>
    </row>
    <row r="385" spans="3:9" x14ac:dyDescent="0.25">
      <c r="C385" s="8">
        <v>804211</v>
      </c>
      <c r="D385" s="8" t="s">
        <v>419</v>
      </c>
      <c r="F385" s="8" t="s">
        <v>558</v>
      </c>
      <c r="G385" s="820"/>
      <c r="H385" s="820"/>
      <c r="I385" s="820"/>
    </row>
    <row r="386" spans="3:9" x14ac:dyDescent="0.25">
      <c r="C386" s="8">
        <v>804221</v>
      </c>
      <c r="D386" s="8" t="s">
        <v>420</v>
      </c>
      <c r="F386" s="8" t="s">
        <v>558</v>
      </c>
      <c r="G386" s="820"/>
      <c r="H386" s="820"/>
      <c r="I386" s="820"/>
    </row>
    <row r="387" spans="3:9" x14ac:dyDescent="0.25">
      <c r="C387" s="8">
        <v>804241</v>
      </c>
      <c r="D387" s="8" t="s">
        <v>421</v>
      </c>
      <c r="F387" s="8" t="s">
        <v>558</v>
      </c>
      <c r="G387" s="820"/>
      <c r="H387" s="820"/>
      <c r="I387" s="820"/>
    </row>
    <row r="388" spans="3:9" x14ac:dyDescent="0.25">
      <c r="C388" s="8">
        <v>804251</v>
      </c>
      <c r="D388" s="8" t="s">
        <v>422</v>
      </c>
      <c r="F388" s="8" t="s">
        <v>558</v>
      </c>
      <c r="G388" s="820"/>
      <c r="H388" s="820"/>
      <c r="I388" s="820"/>
    </row>
    <row r="389" spans="3:9" x14ac:dyDescent="0.25">
      <c r="C389" s="8">
        <v>804261</v>
      </c>
      <c r="D389" s="8" t="s">
        <v>423</v>
      </c>
      <c r="E389" s="312"/>
      <c r="F389" s="8" t="s">
        <v>558</v>
      </c>
      <c r="G389" s="819">
        <v>4</v>
      </c>
      <c r="H389" s="822" t="s">
        <v>566</v>
      </c>
      <c r="I389" s="820"/>
    </row>
    <row r="390" spans="3:9" x14ac:dyDescent="0.25">
      <c r="C390" s="8">
        <v>804271</v>
      </c>
      <c r="D390" s="8" t="s">
        <v>424</v>
      </c>
      <c r="F390" s="8" t="s">
        <v>558</v>
      </c>
      <c r="G390" s="820"/>
      <c r="H390" s="820"/>
      <c r="I390" s="820"/>
    </row>
    <row r="391" spans="3:9" x14ac:dyDescent="0.25">
      <c r="C391" s="8">
        <v>804281</v>
      </c>
      <c r="D391" s="8" t="s">
        <v>425</v>
      </c>
      <c r="F391" s="8" t="s">
        <v>558</v>
      </c>
      <c r="G391" s="820"/>
      <c r="H391" s="818" t="s">
        <v>982</v>
      </c>
      <c r="I391" s="820"/>
    </row>
    <row r="392" spans="3:9" x14ac:dyDescent="0.25">
      <c r="C392" s="8">
        <v>804291</v>
      </c>
      <c r="D392" s="8" t="s">
        <v>426</v>
      </c>
      <c r="F392" s="8" t="s">
        <v>558</v>
      </c>
      <c r="G392" s="820"/>
      <c r="H392" s="820"/>
      <c r="I392" s="820"/>
    </row>
    <row r="393" spans="3:9" x14ac:dyDescent="0.25">
      <c r="C393" s="8">
        <v>804301</v>
      </c>
      <c r="D393" s="8" t="s">
        <v>427</v>
      </c>
      <c r="E393" s="312"/>
      <c r="F393" s="8" t="s">
        <v>558</v>
      </c>
      <c r="G393" s="819">
        <v>2</v>
      </c>
      <c r="H393" s="819" t="s">
        <v>978</v>
      </c>
      <c r="I393" s="820"/>
    </row>
    <row r="394" spans="3:9" x14ac:dyDescent="0.25">
      <c r="C394" s="8">
        <v>804311</v>
      </c>
      <c r="D394" s="8" t="s">
        <v>428</v>
      </c>
      <c r="F394" s="8" t="s">
        <v>558</v>
      </c>
      <c r="G394" s="820"/>
      <c r="H394" s="820"/>
      <c r="I394" s="820"/>
    </row>
    <row r="395" spans="3:9" x14ac:dyDescent="0.25">
      <c r="C395" s="8">
        <v>804321</v>
      </c>
      <c r="D395" s="8" t="s">
        <v>429</v>
      </c>
      <c r="F395" s="8" t="s">
        <v>558</v>
      </c>
      <c r="G395" s="820"/>
      <c r="H395" s="820"/>
      <c r="I395" s="820"/>
    </row>
    <row r="396" spans="3:9" x14ac:dyDescent="0.25">
      <c r="C396" s="8">
        <v>804331</v>
      </c>
      <c r="D396" s="8" t="s">
        <v>430</v>
      </c>
      <c r="E396" s="312"/>
      <c r="F396" s="8" t="s">
        <v>558</v>
      </c>
      <c r="G396" s="819">
        <v>2</v>
      </c>
      <c r="H396" s="819" t="s">
        <v>979</v>
      </c>
      <c r="I396" s="820"/>
    </row>
    <row r="397" spans="3:9" x14ac:dyDescent="0.25">
      <c r="C397" s="8">
        <v>804341</v>
      </c>
      <c r="D397" s="8" t="s">
        <v>431</v>
      </c>
      <c r="F397" s="8" t="s">
        <v>558</v>
      </c>
      <c r="G397" s="820"/>
      <c r="H397" s="818" t="s">
        <v>983</v>
      </c>
      <c r="I397" s="820"/>
    </row>
    <row r="398" spans="3:9" x14ac:dyDescent="0.25">
      <c r="C398" s="8">
        <v>804351</v>
      </c>
      <c r="D398" s="8" t="s">
        <v>432</v>
      </c>
      <c r="F398" s="8" t="s">
        <v>558</v>
      </c>
      <c r="G398" s="820"/>
      <c r="H398" s="820"/>
      <c r="I398" s="820"/>
    </row>
    <row r="399" spans="3:9" x14ac:dyDescent="0.25">
      <c r="C399" s="8">
        <v>804361</v>
      </c>
      <c r="D399" s="8" t="s">
        <v>433</v>
      </c>
      <c r="F399" s="8" t="s">
        <v>558</v>
      </c>
      <c r="G399" s="820"/>
      <c r="H399" s="820"/>
      <c r="I399" s="820"/>
    </row>
    <row r="400" spans="3:9" x14ac:dyDescent="0.25">
      <c r="C400" s="8">
        <v>804371</v>
      </c>
      <c r="D400" s="8" t="s">
        <v>434</v>
      </c>
      <c r="F400" s="8" t="s">
        <v>558</v>
      </c>
      <c r="G400" s="820"/>
      <c r="H400" s="820"/>
      <c r="I400" s="820"/>
    </row>
    <row r="401" spans="3:9" x14ac:dyDescent="0.25">
      <c r="C401" s="8">
        <v>804381</v>
      </c>
      <c r="D401" s="8" t="s">
        <v>435</v>
      </c>
      <c r="E401" s="312"/>
      <c r="F401" s="8" t="s">
        <v>558</v>
      </c>
      <c r="G401" s="819">
        <v>1</v>
      </c>
      <c r="H401" s="819" t="s">
        <v>569</v>
      </c>
      <c r="I401" s="820"/>
    </row>
    <row r="402" spans="3:9" x14ac:dyDescent="0.25">
      <c r="C402" s="8">
        <v>804391</v>
      </c>
      <c r="D402" s="8" t="s">
        <v>436</v>
      </c>
      <c r="F402" s="8" t="s">
        <v>558</v>
      </c>
      <c r="G402" s="820"/>
      <c r="H402" s="820"/>
      <c r="I402" s="820"/>
    </row>
    <row r="403" spans="3:9" x14ac:dyDescent="0.25">
      <c r="C403" s="8">
        <v>804411</v>
      </c>
      <c r="D403" s="8" t="s">
        <v>592</v>
      </c>
      <c r="E403" s="8" t="s">
        <v>324</v>
      </c>
      <c r="F403" s="8" t="s">
        <v>558</v>
      </c>
      <c r="G403" s="820"/>
      <c r="H403" s="820"/>
      <c r="I403" s="820"/>
    </row>
    <row r="404" spans="3:9" x14ac:dyDescent="0.25">
      <c r="C404" s="8">
        <v>804421</v>
      </c>
      <c r="D404" s="8" t="s">
        <v>437</v>
      </c>
      <c r="F404" s="8" t="s">
        <v>558</v>
      </c>
      <c r="G404" s="820"/>
      <c r="H404" s="820"/>
      <c r="I404" s="820"/>
    </row>
    <row r="405" spans="3:9" x14ac:dyDescent="0.25">
      <c r="C405" s="8">
        <v>804441</v>
      </c>
      <c r="D405" s="8" t="s">
        <v>593</v>
      </c>
      <c r="E405" s="8" t="s">
        <v>324</v>
      </c>
      <c r="F405" s="8" t="s">
        <v>558</v>
      </c>
      <c r="G405" s="820"/>
      <c r="H405" s="820"/>
      <c r="I405" s="820"/>
    </row>
    <row r="406" spans="3:9" x14ac:dyDescent="0.25">
      <c r="C406" s="8">
        <v>804451</v>
      </c>
      <c r="D406" s="8" t="s">
        <v>438</v>
      </c>
      <c r="E406" s="312"/>
      <c r="F406" s="8" t="s">
        <v>558</v>
      </c>
      <c r="G406" s="820"/>
      <c r="H406" s="818" t="s">
        <v>570</v>
      </c>
      <c r="I406" s="820"/>
    </row>
    <row r="407" spans="3:9" x14ac:dyDescent="0.25">
      <c r="C407" s="8" t="s">
        <v>282</v>
      </c>
      <c r="D407" s="8" t="s">
        <v>439</v>
      </c>
      <c r="F407" s="8" t="s">
        <v>558</v>
      </c>
      <c r="G407" s="820"/>
      <c r="H407" s="820"/>
      <c r="I407" s="820"/>
    </row>
    <row r="408" spans="3:9" x14ac:dyDescent="0.25">
      <c r="G408" s="820"/>
      <c r="H408" s="820"/>
      <c r="I408" s="820"/>
    </row>
    <row r="409" spans="3:9" x14ac:dyDescent="0.25">
      <c r="G409" s="820"/>
    </row>
  </sheetData>
  <sheetProtection algorithmName="SHA-512" hashValue="fuG4Z/QJNX4itb9Jx3HZa+qDuOmWBkSUE5M0doG0VxXsGu1U5/1Wb8CnedmCV/s0U08xPxlxVAghufr6ITRzyA==" saltValue="RGvl7TMWdcTKEycCr9u38A==" spinCount="100000" sheet="1" formatRows="0"/>
  <autoFilter ref="A2:O2"/>
  <pageMargins left="0.54" right="0.3" top="0.62" bottom="0.56999999999999995" header="0.31496062992125984" footer="0.31496062992125984"/>
  <pageSetup paperSize="9" scale="28" fitToHeight="0"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tabColor rgb="FFFFFF99"/>
    <pageSetUpPr fitToPage="1"/>
  </sheetPr>
  <dimension ref="A1:X106"/>
  <sheetViews>
    <sheetView showGridLines="0" showZeros="0" zoomScaleNormal="100" workbookViewId="0">
      <selection activeCell="A6" sqref="A6:C6"/>
    </sheetView>
  </sheetViews>
  <sheetFormatPr baseColWidth="10" defaultColWidth="12.85546875" defaultRowHeight="15" customHeight="1" zeroHeight="1" x14ac:dyDescent="0.25"/>
  <cols>
    <col min="1" max="1" width="3.42578125" style="639" customWidth="1"/>
    <col min="2" max="2" width="32.85546875" style="639" customWidth="1"/>
    <col min="3" max="3" width="6.28515625" style="639" customWidth="1"/>
    <col min="4" max="10" width="15" style="639" customWidth="1"/>
    <col min="11" max="11" width="6" style="639" customWidth="1"/>
    <col min="12" max="12" width="11.42578125" style="639" customWidth="1"/>
    <col min="13" max="13" width="2" style="639" customWidth="1"/>
    <col min="14" max="14" width="23.85546875" style="639" customWidth="1"/>
    <col min="15" max="15" width="3.5703125" style="637" customWidth="1"/>
    <col min="16" max="16" width="12.85546875" style="637" customWidth="1"/>
    <col min="17" max="18" width="12.85546875" style="638" customWidth="1"/>
    <col min="19" max="256" width="12.85546875" style="639"/>
    <col min="257" max="257" width="3.42578125" style="639" customWidth="1"/>
    <col min="258" max="258" width="32.85546875" style="639" customWidth="1"/>
    <col min="259" max="259" width="6.28515625" style="639" customWidth="1"/>
    <col min="260" max="266" width="15" style="639" customWidth="1"/>
    <col min="267" max="267" width="6" style="639" customWidth="1"/>
    <col min="268" max="268" width="11.42578125" style="639" customWidth="1"/>
    <col min="269" max="269" width="2" style="639" customWidth="1"/>
    <col min="270" max="270" width="23.85546875" style="639" customWidth="1"/>
    <col min="271" max="271" width="3.5703125" style="639" customWidth="1"/>
    <col min="272" max="274" width="12.85546875" style="639" customWidth="1"/>
    <col min="275" max="512" width="12.85546875" style="639"/>
    <col min="513" max="513" width="3.42578125" style="639" customWidth="1"/>
    <col min="514" max="514" width="32.85546875" style="639" customWidth="1"/>
    <col min="515" max="515" width="6.28515625" style="639" customWidth="1"/>
    <col min="516" max="522" width="15" style="639" customWidth="1"/>
    <col min="523" max="523" width="6" style="639" customWidth="1"/>
    <col min="524" max="524" width="11.42578125" style="639" customWidth="1"/>
    <col min="525" max="525" width="2" style="639" customWidth="1"/>
    <col min="526" max="526" width="23.85546875" style="639" customWidth="1"/>
    <col min="527" max="527" width="3.5703125" style="639" customWidth="1"/>
    <col min="528" max="530" width="12.85546875" style="639" customWidth="1"/>
    <col min="531" max="768" width="12.85546875" style="639"/>
    <col min="769" max="769" width="3.42578125" style="639" customWidth="1"/>
    <col min="770" max="770" width="32.85546875" style="639" customWidth="1"/>
    <col min="771" max="771" width="6.28515625" style="639" customWidth="1"/>
    <col min="772" max="778" width="15" style="639" customWidth="1"/>
    <col min="779" max="779" width="6" style="639" customWidth="1"/>
    <col min="780" max="780" width="11.42578125" style="639" customWidth="1"/>
    <col min="781" max="781" width="2" style="639" customWidth="1"/>
    <col min="782" max="782" width="23.85546875" style="639" customWidth="1"/>
    <col min="783" max="783" width="3.5703125" style="639" customWidth="1"/>
    <col min="784" max="786" width="12.85546875" style="639" customWidth="1"/>
    <col min="787" max="1024" width="12.85546875" style="639"/>
    <col min="1025" max="1025" width="3.42578125" style="639" customWidth="1"/>
    <col min="1026" max="1026" width="32.85546875" style="639" customWidth="1"/>
    <col min="1027" max="1027" width="6.28515625" style="639" customWidth="1"/>
    <col min="1028" max="1034" width="15" style="639" customWidth="1"/>
    <col min="1035" max="1035" width="6" style="639" customWidth="1"/>
    <col min="1036" max="1036" width="11.42578125" style="639" customWidth="1"/>
    <col min="1037" max="1037" width="2" style="639" customWidth="1"/>
    <col min="1038" max="1038" width="23.85546875" style="639" customWidth="1"/>
    <col min="1039" max="1039" width="3.5703125" style="639" customWidth="1"/>
    <col min="1040" max="1042" width="12.85546875" style="639" customWidth="1"/>
    <col min="1043" max="1280" width="12.85546875" style="639"/>
    <col min="1281" max="1281" width="3.42578125" style="639" customWidth="1"/>
    <col min="1282" max="1282" width="32.85546875" style="639" customWidth="1"/>
    <col min="1283" max="1283" width="6.28515625" style="639" customWidth="1"/>
    <col min="1284" max="1290" width="15" style="639" customWidth="1"/>
    <col min="1291" max="1291" width="6" style="639" customWidth="1"/>
    <col min="1292" max="1292" width="11.42578125" style="639" customWidth="1"/>
    <col min="1293" max="1293" width="2" style="639" customWidth="1"/>
    <col min="1294" max="1294" width="23.85546875" style="639" customWidth="1"/>
    <col min="1295" max="1295" width="3.5703125" style="639" customWidth="1"/>
    <col min="1296" max="1298" width="12.85546875" style="639" customWidth="1"/>
    <col min="1299" max="1536" width="12.85546875" style="639"/>
    <col min="1537" max="1537" width="3.42578125" style="639" customWidth="1"/>
    <col min="1538" max="1538" width="32.85546875" style="639" customWidth="1"/>
    <col min="1539" max="1539" width="6.28515625" style="639" customWidth="1"/>
    <col min="1540" max="1546" width="15" style="639" customWidth="1"/>
    <col min="1547" max="1547" width="6" style="639" customWidth="1"/>
    <col min="1548" max="1548" width="11.42578125" style="639" customWidth="1"/>
    <col min="1549" max="1549" width="2" style="639" customWidth="1"/>
    <col min="1550" max="1550" width="23.85546875" style="639" customWidth="1"/>
    <col min="1551" max="1551" width="3.5703125" style="639" customWidth="1"/>
    <col min="1552" max="1554" width="12.85546875" style="639" customWidth="1"/>
    <col min="1555" max="1792" width="12.85546875" style="639"/>
    <col min="1793" max="1793" width="3.42578125" style="639" customWidth="1"/>
    <col min="1794" max="1794" width="32.85546875" style="639" customWidth="1"/>
    <col min="1795" max="1795" width="6.28515625" style="639" customWidth="1"/>
    <col min="1796" max="1802" width="15" style="639" customWidth="1"/>
    <col min="1803" max="1803" width="6" style="639" customWidth="1"/>
    <col min="1804" max="1804" width="11.42578125" style="639" customWidth="1"/>
    <col min="1805" max="1805" width="2" style="639" customWidth="1"/>
    <col min="1806" max="1806" width="23.85546875" style="639" customWidth="1"/>
    <col min="1807" max="1807" width="3.5703125" style="639" customWidth="1"/>
    <col min="1808" max="1810" width="12.85546875" style="639" customWidth="1"/>
    <col min="1811" max="2048" width="12.85546875" style="639"/>
    <col min="2049" max="2049" width="3.42578125" style="639" customWidth="1"/>
    <col min="2050" max="2050" width="32.85546875" style="639" customWidth="1"/>
    <col min="2051" max="2051" width="6.28515625" style="639" customWidth="1"/>
    <col min="2052" max="2058" width="15" style="639" customWidth="1"/>
    <col min="2059" max="2059" width="6" style="639" customWidth="1"/>
    <col min="2060" max="2060" width="11.42578125" style="639" customWidth="1"/>
    <col min="2061" max="2061" width="2" style="639" customWidth="1"/>
    <col min="2062" max="2062" width="23.85546875" style="639" customWidth="1"/>
    <col min="2063" max="2063" width="3.5703125" style="639" customWidth="1"/>
    <col min="2064" max="2066" width="12.85546875" style="639" customWidth="1"/>
    <col min="2067" max="2304" width="12.85546875" style="639"/>
    <col min="2305" max="2305" width="3.42578125" style="639" customWidth="1"/>
    <col min="2306" max="2306" width="32.85546875" style="639" customWidth="1"/>
    <col min="2307" max="2307" width="6.28515625" style="639" customWidth="1"/>
    <col min="2308" max="2314" width="15" style="639" customWidth="1"/>
    <col min="2315" max="2315" width="6" style="639" customWidth="1"/>
    <col min="2316" max="2316" width="11.42578125" style="639" customWidth="1"/>
    <col min="2317" max="2317" width="2" style="639" customWidth="1"/>
    <col min="2318" max="2318" width="23.85546875" style="639" customWidth="1"/>
    <col min="2319" max="2319" width="3.5703125" style="639" customWidth="1"/>
    <col min="2320" max="2322" width="12.85546875" style="639" customWidth="1"/>
    <col min="2323" max="2560" width="12.85546875" style="639"/>
    <col min="2561" max="2561" width="3.42578125" style="639" customWidth="1"/>
    <col min="2562" max="2562" width="32.85546875" style="639" customWidth="1"/>
    <col min="2563" max="2563" width="6.28515625" style="639" customWidth="1"/>
    <col min="2564" max="2570" width="15" style="639" customWidth="1"/>
    <col min="2571" max="2571" width="6" style="639" customWidth="1"/>
    <col min="2572" max="2572" width="11.42578125" style="639" customWidth="1"/>
    <col min="2573" max="2573" width="2" style="639" customWidth="1"/>
    <col min="2574" max="2574" width="23.85546875" style="639" customWidth="1"/>
    <col min="2575" max="2575" width="3.5703125" style="639" customWidth="1"/>
    <col min="2576" max="2578" width="12.85546875" style="639" customWidth="1"/>
    <col min="2579" max="2816" width="12.85546875" style="639"/>
    <col min="2817" max="2817" width="3.42578125" style="639" customWidth="1"/>
    <col min="2818" max="2818" width="32.85546875" style="639" customWidth="1"/>
    <col min="2819" max="2819" width="6.28515625" style="639" customWidth="1"/>
    <col min="2820" max="2826" width="15" style="639" customWidth="1"/>
    <col min="2827" max="2827" width="6" style="639" customWidth="1"/>
    <col min="2828" max="2828" width="11.42578125" style="639" customWidth="1"/>
    <col min="2829" max="2829" width="2" style="639" customWidth="1"/>
    <col min="2830" max="2830" width="23.85546875" style="639" customWidth="1"/>
    <col min="2831" max="2831" width="3.5703125" style="639" customWidth="1"/>
    <col min="2832" max="2834" width="12.85546875" style="639" customWidth="1"/>
    <col min="2835" max="3072" width="12.85546875" style="639"/>
    <col min="3073" max="3073" width="3.42578125" style="639" customWidth="1"/>
    <col min="3074" max="3074" width="32.85546875" style="639" customWidth="1"/>
    <col min="3075" max="3075" width="6.28515625" style="639" customWidth="1"/>
    <col min="3076" max="3082" width="15" style="639" customWidth="1"/>
    <col min="3083" max="3083" width="6" style="639" customWidth="1"/>
    <col min="3084" max="3084" width="11.42578125" style="639" customWidth="1"/>
    <col min="3085" max="3085" width="2" style="639" customWidth="1"/>
    <col min="3086" max="3086" width="23.85546875" style="639" customWidth="1"/>
    <col min="3087" max="3087" width="3.5703125" style="639" customWidth="1"/>
    <col min="3088" max="3090" width="12.85546875" style="639" customWidth="1"/>
    <col min="3091" max="3328" width="12.85546875" style="639"/>
    <col min="3329" max="3329" width="3.42578125" style="639" customWidth="1"/>
    <col min="3330" max="3330" width="32.85546875" style="639" customWidth="1"/>
    <col min="3331" max="3331" width="6.28515625" style="639" customWidth="1"/>
    <col min="3332" max="3338" width="15" style="639" customWidth="1"/>
    <col min="3339" max="3339" width="6" style="639" customWidth="1"/>
    <col min="3340" max="3340" width="11.42578125" style="639" customWidth="1"/>
    <col min="3341" max="3341" width="2" style="639" customWidth="1"/>
    <col min="3342" max="3342" width="23.85546875" style="639" customWidth="1"/>
    <col min="3343" max="3343" width="3.5703125" style="639" customWidth="1"/>
    <col min="3344" max="3346" width="12.85546875" style="639" customWidth="1"/>
    <col min="3347" max="3584" width="12.85546875" style="639"/>
    <col min="3585" max="3585" width="3.42578125" style="639" customWidth="1"/>
    <col min="3586" max="3586" width="32.85546875" style="639" customWidth="1"/>
    <col min="3587" max="3587" width="6.28515625" style="639" customWidth="1"/>
    <col min="3588" max="3594" width="15" style="639" customWidth="1"/>
    <col min="3595" max="3595" width="6" style="639" customWidth="1"/>
    <col min="3596" max="3596" width="11.42578125" style="639" customWidth="1"/>
    <col min="3597" max="3597" width="2" style="639" customWidth="1"/>
    <col min="3598" max="3598" width="23.85546875" style="639" customWidth="1"/>
    <col min="3599" max="3599" width="3.5703125" style="639" customWidth="1"/>
    <col min="3600" max="3602" width="12.85546875" style="639" customWidth="1"/>
    <col min="3603" max="3840" width="12.85546875" style="639"/>
    <col min="3841" max="3841" width="3.42578125" style="639" customWidth="1"/>
    <col min="3842" max="3842" width="32.85546875" style="639" customWidth="1"/>
    <col min="3843" max="3843" width="6.28515625" style="639" customWidth="1"/>
    <col min="3844" max="3850" width="15" style="639" customWidth="1"/>
    <col min="3851" max="3851" width="6" style="639" customWidth="1"/>
    <col min="3852" max="3852" width="11.42578125" style="639" customWidth="1"/>
    <col min="3853" max="3853" width="2" style="639" customWidth="1"/>
    <col min="3854" max="3854" width="23.85546875" style="639" customWidth="1"/>
    <col min="3855" max="3855" width="3.5703125" style="639" customWidth="1"/>
    <col min="3856" max="3858" width="12.85546875" style="639" customWidth="1"/>
    <col min="3859" max="4096" width="12.85546875" style="639"/>
    <col min="4097" max="4097" width="3.42578125" style="639" customWidth="1"/>
    <col min="4098" max="4098" width="32.85546875" style="639" customWidth="1"/>
    <col min="4099" max="4099" width="6.28515625" style="639" customWidth="1"/>
    <col min="4100" max="4106" width="15" style="639" customWidth="1"/>
    <col min="4107" max="4107" width="6" style="639" customWidth="1"/>
    <col min="4108" max="4108" width="11.42578125" style="639" customWidth="1"/>
    <col min="4109" max="4109" width="2" style="639" customWidth="1"/>
    <col min="4110" max="4110" width="23.85546875" style="639" customWidth="1"/>
    <col min="4111" max="4111" width="3.5703125" style="639" customWidth="1"/>
    <col min="4112" max="4114" width="12.85546875" style="639" customWidth="1"/>
    <col min="4115" max="4352" width="12.85546875" style="639"/>
    <col min="4353" max="4353" width="3.42578125" style="639" customWidth="1"/>
    <col min="4354" max="4354" width="32.85546875" style="639" customWidth="1"/>
    <col min="4355" max="4355" width="6.28515625" style="639" customWidth="1"/>
    <col min="4356" max="4362" width="15" style="639" customWidth="1"/>
    <col min="4363" max="4363" width="6" style="639" customWidth="1"/>
    <col min="4364" max="4364" width="11.42578125" style="639" customWidth="1"/>
    <col min="4365" max="4365" width="2" style="639" customWidth="1"/>
    <col min="4366" max="4366" width="23.85546875" style="639" customWidth="1"/>
    <col min="4367" max="4367" width="3.5703125" style="639" customWidth="1"/>
    <col min="4368" max="4370" width="12.85546875" style="639" customWidth="1"/>
    <col min="4371" max="4608" width="12.85546875" style="639"/>
    <col min="4609" max="4609" width="3.42578125" style="639" customWidth="1"/>
    <col min="4610" max="4610" width="32.85546875" style="639" customWidth="1"/>
    <col min="4611" max="4611" width="6.28515625" style="639" customWidth="1"/>
    <col min="4612" max="4618" width="15" style="639" customWidth="1"/>
    <col min="4619" max="4619" width="6" style="639" customWidth="1"/>
    <col min="4620" max="4620" width="11.42578125" style="639" customWidth="1"/>
    <col min="4621" max="4621" width="2" style="639" customWidth="1"/>
    <col min="4622" max="4622" width="23.85546875" style="639" customWidth="1"/>
    <col min="4623" max="4623" width="3.5703125" style="639" customWidth="1"/>
    <col min="4624" max="4626" width="12.85546875" style="639" customWidth="1"/>
    <col min="4627" max="4864" width="12.85546875" style="639"/>
    <col min="4865" max="4865" width="3.42578125" style="639" customWidth="1"/>
    <col min="4866" max="4866" width="32.85546875" style="639" customWidth="1"/>
    <col min="4867" max="4867" width="6.28515625" style="639" customWidth="1"/>
    <col min="4868" max="4874" width="15" style="639" customWidth="1"/>
    <col min="4875" max="4875" width="6" style="639" customWidth="1"/>
    <col min="4876" max="4876" width="11.42578125" style="639" customWidth="1"/>
    <col min="4877" max="4877" width="2" style="639" customWidth="1"/>
    <col min="4878" max="4878" width="23.85546875" style="639" customWidth="1"/>
    <col min="4879" max="4879" width="3.5703125" style="639" customWidth="1"/>
    <col min="4880" max="4882" width="12.85546875" style="639" customWidth="1"/>
    <col min="4883" max="5120" width="12.85546875" style="639"/>
    <col min="5121" max="5121" width="3.42578125" style="639" customWidth="1"/>
    <col min="5122" max="5122" width="32.85546875" style="639" customWidth="1"/>
    <col min="5123" max="5123" width="6.28515625" style="639" customWidth="1"/>
    <col min="5124" max="5130" width="15" style="639" customWidth="1"/>
    <col min="5131" max="5131" width="6" style="639" customWidth="1"/>
    <col min="5132" max="5132" width="11.42578125" style="639" customWidth="1"/>
    <col min="5133" max="5133" width="2" style="639" customWidth="1"/>
    <col min="5134" max="5134" width="23.85546875" style="639" customWidth="1"/>
    <col min="5135" max="5135" width="3.5703125" style="639" customWidth="1"/>
    <col min="5136" max="5138" width="12.85546875" style="639" customWidth="1"/>
    <col min="5139" max="5376" width="12.85546875" style="639"/>
    <col min="5377" max="5377" width="3.42578125" style="639" customWidth="1"/>
    <col min="5378" max="5378" width="32.85546875" style="639" customWidth="1"/>
    <col min="5379" max="5379" width="6.28515625" style="639" customWidth="1"/>
    <col min="5380" max="5386" width="15" style="639" customWidth="1"/>
    <col min="5387" max="5387" width="6" style="639" customWidth="1"/>
    <col min="5388" max="5388" width="11.42578125" style="639" customWidth="1"/>
    <col min="5389" max="5389" width="2" style="639" customWidth="1"/>
    <col min="5390" max="5390" width="23.85546875" style="639" customWidth="1"/>
    <col min="5391" max="5391" width="3.5703125" style="639" customWidth="1"/>
    <col min="5392" max="5394" width="12.85546875" style="639" customWidth="1"/>
    <col min="5395" max="5632" width="12.85546875" style="639"/>
    <col min="5633" max="5633" width="3.42578125" style="639" customWidth="1"/>
    <col min="5634" max="5634" width="32.85546875" style="639" customWidth="1"/>
    <col min="5635" max="5635" width="6.28515625" style="639" customWidth="1"/>
    <col min="5636" max="5642" width="15" style="639" customWidth="1"/>
    <col min="5643" max="5643" width="6" style="639" customWidth="1"/>
    <col min="5644" max="5644" width="11.42578125" style="639" customWidth="1"/>
    <col min="5645" max="5645" width="2" style="639" customWidth="1"/>
    <col min="5646" max="5646" width="23.85546875" style="639" customWidth="1"/>
    <col min="5647" max="5647" width="3.5703125" style="639" customWidth="1"/>
    <col min="5648" max="5650" width="12.85546875" style="639" customWidth="1"/>
    <col min="5651" max="5888" width="12.85546875" style="639"/>
    <col min="5889" max="5889" width="3.42578125" style="639" customWidth="1"/>
    <col min="5890" max="5890" width="32.85546875" style="639" customWidth="1"/>
    <col min="5891" max="5891" width="6.28515625" style="639" customWidth="1"/>
    <col min="5892" max="5898" width="15" style="639" customWidth="1"/>
    <col min="5899" max="5899" width="6" style="639" customWidth="1"/>
    <col min="5900" max="5900" width="11.42578125" style="639" customWidth="1"/>
    <col min="5901" max="5901" width="2" style="639" customWidth="1"/>
    <col min="5902" max="5902" width="23.85546875" style="639" customWidth="1"/>
    <col min="5903" max="5903" width="3.5703125" style="639" customWidth="1"/>
    <col min="5904" max="5906" width="12.85546875" style="639" customWidth="1"/>
    <col min="5907" max="6144" width="12.85546875" style="639"/>
    <col min="6145" max="6145" width="3.42578125" style="639" customWidth="1"/>
    <col min="6146" max="6146" width="32.85546875" style="639" customWidth="1"/>
    <col min="6147" max="6147" width="6.28515625" style="639" customWidth="1"/>
    <col min="6148" max="6154" width="15" style="639" customWidth="1"/>
    <col min="6155" max="6155" width="6" style="639" customWidth="1"/>
    <col min="6156" max="6156" width="11.42578125" style="639" customWidth="1"/>
    <col min="6157" max="6157" width="2" style="639" customWidth="1"/>
    <col min="6158" max="6158" width="23.85546875" style="639" customWidth="1"/>
    <col min="6159" max="6159" width="3.5703125" style="639" customWidth="1"/>
    <col min="6160" max="6162" width="12.85546875" style="639" customWidth="1"/>
    <col min="6163" max="6400" width="12.85546875" style="639"/>
    <col min="6401" max="6401" width="3.42578125" style="639" customWidth="1"/>
    <col min="6402" max="6402" width="32.85546875" style="639" customWidth="1"/>
    <col min="6403" max="6403" width="6.28515625" style="639" customWidth="1"/>
    <col min="6404" max="6410" width="15" style="639" customWidth="1"/>
    <col min="6411" max="6411" width="6" style="639" customWidth="1"/>
    <col min="6412" max="6412" width="11.42578125" style="639" customWidth="1"/>
    <col min="6413" max="6413" width="2" style="639" customWidth="1"/>
    <col min="6414" max="6414" width="23.85546875" style="639" customWidth="1"/>
    <col min="6415" max="6415" width="3.5703125" style="639" customWidth="1"/>
    <col min="6416" max="6418" width="12.85546875" style="639" customWidth="1"/>
    <col min="6419" max="6656" width="12.85546875" style="639"/>
    <col min="6657" max="6657" width="3.42578125" style="639" customWidth="1"/>
    <col min="6658" max="6658" width="32.85546875" style="639" customWidth="1"/>
    <col min="6659" max="6659" width="6.28515625" style="639" customWidth="1"/>
    <col min="6660" max="6666" width="15" style="639" customWidth="1"/>
    <col min="6667" max="6667" width="6" style="639" customWidth="1"/>
    <col min="6668" max="6668" width="11.42578125" style="639" customWidth="1"/>
    <col min="6669" max="6669" width="2" style="639" customWidth="1"/>
    <col min="6670" max="6670" width="23.85546875" style="639" customWidth="1"/>
    <col min="6671" max="6671" width="3.5703125" style="639" customWidth="1"/>
    <col min="6672" max="6674" width="12.85546875" style="639" customWidth="1"/>
    <col min="6675" max="6912" width="12.85546875" style="639"/>
    <col min="6913" max="6913" width="3.42578125" style="639" customWidth="1"/>
    <col min="6914" max="6914" width="32.85546875" style="639" customWidth="1"/>
    <col min="6915" max="6915" width="6.28515625" style="639" customWidth="1"/>
    <col min="6916" max="6922" width="15" style="639" customWidth="1"/>
    <col min="6923" max="6923" width="6" style="639" customWidth="1"/>
    <col min="6924" max="6924" width="11.42578125" style="639" customWidth="1"/>
    <col min="6925" max="6925" width="2" style="639" customWidth="1"/>
    <col min="6926" max="6926" width="23.85546875" style="639" customWidth="1"/>
    <col min="6927" max="6927" width="3.5703125" style="639" customWidth="1"/>
    <col min="6928" max="6930" width="12.85546875" style="639" customWidth="1"/>
    <col min="6931" max="7168" width="12.85546875" style="639"/>
    <col min="7169" max="7169" width="3.42578125" style="639" customWidth="1"/>
    <col min="7170" max="7170" width="32.85546875" style="639" customWidth="1"/>
    <col min="7171" max="7171" width="6.28515625" style="639" customWidth="1"/>
    <col min="7172" max="7178" width="15" style="639" customWidth="1"/>
    <col min="7179" max="7179" width="6" style="639" customWidth="1"/>
    <col min="7180" max="7180" width="11.42578125" style="639" customWidth="1"/>
    <col min="7181" max="7181" width="2" style="639" customWidth="1"/>
    <col min="7182" max="7182" width="23.85546875" style="639" customWidth="1"/>
    <col min="7183" max="7183" width="3.5703125" style="639" customWidth="1"/>
    <col min="7184" max="7186" width="12.85546875" style="639" customWidth="1"/>
    <col min="7187" max="7424" width="12.85546875" style="639"/>
    <col min="7425" max="7425" width="3.42578125" style="639" customWidth="1"/>
    <col min="7426" max="7426" width="32.85546875" style="639" customWidth="1"/>
    <col min="7427" max="7427" width="6.28515625" style="639" customWidth="1"/>
    <col min="7428" max="7434" width="15" style="639" customWidth="1"/>
    <col min="7435" max="7435" width="6" style="639" customWidth="1"/>
    <col min="7436" max="7436" width="11.42578125" style="639" customWidth="1"/>
    <col min="7437" max="7437" width="2" style="639" customWidth="1"/>
    <col min="7438" max="7438" width="23.85546875" style="639" customWidth="1"/>
    <col min="7439" max="7439" width="3.5703125" style="639" customWidth="1"/>
    <col min="7440" max="7442" width="12.85546875" style="639" customWidth="1"/>
    <col min="7443" max="7680" width="12.85546875" style="639"/>
    <col min="7681" max="7681" width="3.42578125" style="639" customWidth="1"/>
    <col min="7682" max="7682" width="32.85546875" style="639" customWidth="1"/>
    <col min="7683" max="7683" width="6.28515625" style="639" customWidth="1"/>
    <col min="7684" max="7690" width="15" style="639" customWidth="1"/>
    <col min="7691" max="7691" width="6" style="639" customWidth="1"/>
    <col min="7692" max="7692" width="11.42578125" style="639" customWidth="1"/>
    <col min="7693" max="7693" width="2" style="639" customWidth="1"/>
    <col min="7694" max="7694" width="23.85546875" style="639" customWidth="1"/>
    <col min="7695" max="7695" width="3.5703125" style="639" customWidth="1"/>
    <col min="7696" max="7698" width="12.85546875" style="639" customWidth="1"/>
    <col min="7699" max="7936" width="12.85546875" style="639"/>
    <col min="7937" max="7937" width="3.42578125" style="639" customWidth="1"/>
    <col min="7938" max="7938" width="32.85546875" style="639" customWidth="1"/>
    <col min="7939" max="7939" width="6.28515625" style="639" customWidth="1"/>
    <col min="7940" max="7946" width="15" style="639" customWidth="1"/>
    <col min="7947" max="7947" width="6" style="639" customWidth="1"/>
    <col min="7948" max="7948" width="11.42578125" style="639" customWidth="1"/>
    <col min="7949" max="7949" width="2" style="639" customWidth="1"/>
    <col min="7950" max="7950" width="23.85546875" style="639" customWidth="1"/>
    <col min="7951" max="7951" width="3.5703125" style="639" customWidth="1"/>
    <col min="7952" max="7954" width="12.85546875" style="639" customWidth="1"/>
    <col min="7955" max="8192" width="12.85546875" style="639"/>
    <col min="8193" max="8193" width="3.42578125" style="639" customWidth="1"/>
    <col min="8194" max="8194" width="32.85546875" style="639" customWidth="1"/>
    <col min="8195" max="8195" width="6.28515625" style="639" customWidth="1"/>
    <col min="8196" max="8202" width="15" style="639" customWidth="1"/>
    <col min="8203" max="8203" width="6" style="639" customWidth="1"/>
    <col min="8204" max="8204" width="11.42578125" style="639" customWidth="1"/>
    <col min="8205" max="8205" width="2" style="639" customWidth="1"/>
    <col min="8206" max="8206" width="23.85546875" style="639" customWidth="1"/>
    <col min="8207" max="8207" width="3.5703125" style="639" customWidth="1"/>
    <col min="8208" max="8210" width="12.85546875" style="639" customWidth="1"/>
    <col min="8211" max="8448" width="12.85546875" style="639"/>
    <col min="8449" max="8449" width="3.42578125" style="639" customWidth="1"/>
    <col min="8450" max="8450" width="32.85546875" style="639" customWidth="1"/>
    <col min="8451" max="8451" width="6.28515625" style="639" customWidth="1"/>
    <col min="8452" max="8458" width="15" style="639" customWidth="1"/>
    <col min="8459" max="8459" width="6" style="639" customWidth="1"/>
    <col min="8460" max="8460" width="11.42578125" style="639" customWidth="1"/>
    <col min="8461" max="8461" width="2" style="639" customWidth="1"/>
    <col min="8462" max="8462" width="23.85546875" style="639" customWidth="1"/>
    <col min="8463" max="8463" width="3.5703125" style="639" customWidth="1"/>
    <col min="8464" max="8466" width="12.85546875" style="639" customWidth="1"/>
    <col min="8467" max="8704" width="12.85546875" style="639"/>
    <col min="8705" max="8705" width="3.42578125" style="639" customWidth="1"/>
    <col min="8706" max="8706" width="32.85546875" style="639" customWidth="1"/>
    <col min="8707" max="8707" width="6.28515625" style="639" customWidth="1"/>
    <col min="8708" max="8714" width="15" style="639" customWidth="1"/>
    <col min="8715" max="8715" width="6" style="639" customWidth="1"/>
    <col min="8716" max="8716" width="11.42578125" style="639" customWidth="1"/>
    <col min="8717" max="8717" width="2" style="639" customWidth="1"/>
    <col min="8718" max="8718" width="23.85546875" style="639" customWidth="1"/>
    <col min="8719" max="8719" width="3.5703125" style="639" customWidth="1"/>
    <col min="8720" max="8722" width="12.85546875" style="639" customWidth="1"/>
    <col min="8723" max="8960" width="12.85546875" style="639"/>
    <col min="8961" max="8961" width="3.42578125" style="639" customWidth="1"/>
    <col min="8962" max="8962" width="32.85546875" style="639" customWidth="1"/>
    <col min="8963" max="8963" width="6.28515625" style="639" customWidth="1"/>
    <col min="8964" max="8970" width="15" style="639" customWidth="1"/>
    <col min="8971" max="8971" width="6" style="639" customWidth="1"/>
    <col min="8972" max="8972" width="11.42578125" style="639" customWidth="1"/>
    <col min="8973" max="8973" width="2" style="639" customWidth="1"/>
    <col min="8974" max="8974" width="23.85546875" style="639" customWidth="1"/>
    <col min="8975" max="8975" width="3.5703125" style="639" customWidth="1"/>
    <col min="8976" max="8978" width="12.85546875" style="639" customWidth="1"/>
    <col min="8979" max="9216" width="12.85546875" style="639"/>
    <col min="9217" max="9217" width="3.42578125" style="639" customWidth="1"/>
    <col min="9218" max="9218" width="32.85546875" style="639" customWidth="1"/>
    <col min="9219" max="9219" width="6.28515625" style="639" customWidth="1"/>
    <col min="9220" max="9226" width="15" style="639" customWidth="1"/>
    <col min="9227" max="9227" width="6" style="639" customWidth="1"/>
    <col min="9228" max="9228" width="11.42578125" style="639" customWidth="1"/>
    <col min="9229" max="9229" width="2" style="639" customWidth="1"/>
    <col min="9230" max="9230" width="23.85546875" style="639" customWidth="1"/>
    <col min="9231" max="9231" width="3.5703125" style="639" customWidth="1"/>
    <col min="9232" max="9234" width="12.85546875" style="639" customWidth="1"/>
    <col min="9235" max="9472" width="12.85546875" style="639"/>
    <col min="9473" max="9473" width="3.42578125" style="639" customWidth="1"/>
    <col min="9474" max="9474" width="32.85546875" style="639" customWidth="1"/>
    <col min="9475" max="9475" width="6.28515625" style="639" customWidth="1"/>
    <col min="9476" max="9482" width="15" style="639" customWidth="1"/>
    <col min="9483" max="9483" width="6" style="639" customWidth="1"/>
    <col min="9484" max="9484" width="11.42578125" style="639" customWidth="1"/>
    <col min="9485" max="9485" width="2" style="639" customWidth="1"/>
    <col min="9486" max="9486" width="23.85546875" style="639" customWidth="1"/>
    <col min="9487" max="9487" width="3.5703125" style="639" customWidth="1"/>
    <col min="9488" max="9490" width="12.85546875" style="639" customWidth="1"/>
    <col min="9491" max="9728" width="12.85546875" style="639"/>
    <col min="9729" max="9729" width="3.42578125" style="639" customWidth="1"/>
    <col min="9730" max="9730" width="32.85546875" style="639" customWidth="1"/>
    <col min="9731" max="9731" width="6.28515625" style="639" customWidth="1"/>
    <col min="9732" max="9738" width="15" style="639" customWidth="1"/>
    <col min="9739" max="9739" width="6" style="639" customWidth="1"/>
    <col min="9740" max="9740" width="11.42578125" style="639" customWidth="1"/>
    <col min="9741" max="9741" width="2" style="639" customWidth="1"/>
    <col min="9742" max="9742" width="23.85546875" style="639" customWidth="1"/>
    <col min="9743" max="9743" width="3.5703125" style="639" customWidth="1"/>
    <col min="9744" max="9746" width="12.85546875" style="639" customWidth="1"/>
    <col min="9747" max="9984" width="12.85546875" style="639"/>
    <col min="9985" max="9985" width="3.42578125" style="639" customWidth="1"/>
    <col min="9986" max="9986" width="32.85546875" style="639" customWidth="1"/>
    <col min="9987" max="9987" width="6.28515625" style="639" customWidth="1"/>
    <col min="9988" max="9994" width="15" style="639" customWidth="1"/>
    <col min="9995" max="9995" width="6" style="639" customWidth="1"/>
    <col min="9996" max="9996" width="11.42578125" style="639" customWidth="1"/>
    <col min="9997" max="9997" width="2" style="639" customWidth="1"/>
    <col min="9998" max="9998" width="23.85546875" style="639" customWidth="1"/>
    <col min="9999" max="9999" width="3.5703125" style="639" customWidth="1"/>
    <col min="10000" max="10002" width="12.85546875" style="639" customWidth="1"/>
    <col min="10003" max="10240" width="12.85546875" style="639"/>
    <col min="10241" max="10241" width="3.42578125" style="639" customWidth="1"/>
    <col min="10242" max="10242" width="32.85546875" style="639" customWidth="1"/>
    <col min="10243" max="10243" width="6.28515625" style="639" customWidth="1"/>
    <col min="10244" max="10250" width="15" style="639" customWidth="1"/>
    <col min="10251" max="10251" width="6" style="639" customWidth="1"/>
    <col min="10252" max="10252" width="11.42578125" style="639" customWidth="1"/>
    <col min="10253" max="10253" width="2" style="639" customWidth="1"/>
    <col min="10254" max="10254" width="23.85546875" style="639" customWidth="1"/>
    <col min="10255" max="10255" width="3.5703125" style="639" customWidth="1"/>
    <col min="10256" max="10258" width="12.85546875" style="639" customWidth="1"/>
    <col min="10259" max="10496" width="12.85546875" style="639"/>
    <col min="10497" max="10497" width="3.42578125" style="639" customWidth="1"/>
    <col min="10498" max="10498" width="32.85546875" style="639" customWidth="1"/>
    <col min="10499" max="10499" width="6.28515625" style="639" customWidth="1"/>
    <col min="10500" max="10506" width="15" style="639" customWidth="1"/>
    <col min="10507" max="10507" width="6" style="639" customWidth="1"/>
    <col min="10508" max="10508" width="11.42578125" style="639" customWidth="1"/>
    <col min="10509" max="10509" width="2" style="639" customWidth="1"/>
    <col min="10510" max="10510" width="23.85546875" style="639" customWidth="1"/>
    <col min="10511" max="10511" width="3.5703125" style="639" customWidth="1"/>
    <col min="10512" max="10514" width="12.85546875" style="639" customWidth="1"/>
    <col min="10515" max="10752" width="12.85546875" style="639"/>
    <col min="10753" max="10753" width="3.42578125" style="639" customWidth="1"/>
    <col min="10754" max="10754" width="32.85546875" style="639" customWidth="1"/>
    <col min="10755" max="10755" width="6.28515625" style="639" customWidth="1"/>
    <col min="10756" max="10762" width="15" style="639" customWidth="1"/>
    <col min="10763" max="10763" width="6" style="639" customWidth="1"/>
    <col min="10764" max="10764" width="11.42578125" style="639" customWidth="1"/>
    <col min="10765" max="10765" width="2" style="639" customWidth="1"/>
    <col min="10766" max="10766" width="23.85546875" style="639" customWidth="1"/>
    <col min="10767" max="10767" width="3.5703125" style="639" customWidth="1"/>
    <col min="10768" max="10770" width="12.85546875" style="639" customWidth="1"/>
    <col min="10771" max="11008" width="12.85546875" style="639"/>
    <col min="11009" max="11009" width="3.42578125" style="639" customWidth="1"/>
    <col min="11010" max="11010" width="32.85546875" style="639" customWidth="1"/>
    <col min="11011" max="11011" width="6.28515625" style="639" customWidth="1"/>
    <col min="11012" max="11018" width="15" style="639" customWidth="1"/>
    <col min="11019" max="11019" width="6" style="639" customWidth="1"/>
    <col min="11020" max="11020" width="11.42578125" style="639" customWidth="1"/>
    <col min="11021" max="11021" width="2" style="639" customWidth="1"/>
    <col min="11022" max="11022" width="23.85546875" style="639" customWidth="1"/>
    <col min="11023" max="11023" width="3.5703125" style="639" customWidth="1"/>
    <col min="11024" max="11026" width="12.85546875" style="639" customWidth="1"/>
    <col min="11027" max="11264" width="12.85546875" style="639"/>
    <col min="11265" max="11265" width="3.42578125" style="639" customWidth="1"/>
    <col min="11266" max="11266" width="32.85546875" style="639" customWidth="1"/>
    <col min="11267" max="11267" width="6.28515625" style="639" customWidth="1"/>
    <col min="11268" max="11274" width="15" style="639" customWidth="1"/>
    <col min="11275" max="11275" width="6" style="639" customWidth="1"/>
    <col min="11276" max="11276" width="11.42578125" style="639" customWidth="1"/>
    <col min="11277" max="11277" width="2" style="639" customWidth="1"/>
    <col min="11278" max="11278" width="23.85546875" style="639" customWidth="1"/>
    <col min="11279" max="11279" width="3.5703125" style="639" customWidth="1"/>
    <col min="11280" max="11282" width="12.85546875" style="639" customWidth="1"/>
    <col min="11283" max="11520" width="12.85546875" style="639"/>
    <col min="11521" max="11521" width="3.42578125" style="639" customWidth="1"/>
    <col min="11522" max="11522" width="32.85546875" style="639" customWidth="1"/>
    <col min="11523" max="11523" width="6.28515625" style="639" customWidth="1"/>
    <col min="11524" max="11530" width="15" style="639" customWidth="1"/>
    <col min="11531" max="11531" width="6" style="639" customWidth="1"/>
    <col min="11532" max="11532" width="11.42578125" style="639" customWidth="1"/>
    <col min="11533" max="11533" width="2" style="639" customWidth="1"/>
    <col min="11534" max="11534" width="23.85546875" style="639" customWidth="1"/>
    <col min="11535" max="11535" width="3.5703125" style="639" customWidth="1"/>
    <col min="11536" max="11538" width="12.85546875" style="639" customWidth="1"/>
    <col min="11539" max="11776" width="12.85546875" style="639"/>
    <col min="11777" max="11777" width="3.42578125" style="639" customWidth="1"/>
    <col min="11778" max="11778" width="32.85546875" style="639" customWidth="1"/>
    <col min="11779" max="11779" width="6.28515625" style="639" customWidth="1"/>
    <col min="11780" max="11786" width="15" style="639" customWidth="1"/>
    <col min="11787" max="11787" width="6" style="639" customWidth="1"/>
    <col min="11788" max="11788" width="11.42578125" style="639" customWidth="1"/>
    <col min="11789" max="11789" width="2" style="639" customWidth="1"/>
    <col min="11790" max="11790" width="23.85546875" style="639" customWidth="1"/>
    <col min="11791" max="11791" width="3.5703125" style="639" customWidth="1"/>
    <col min="11792" max="11794" width="12.85546875" style="639" customWidth="1"/>
    <col min="11795" max="12032" width="12.85546875" style="639"/>
    <col min="12033" max="12033" width="3.42578125" style="639" customWidth="1"/>
    <col min="12034" max="12034" width="32.85546875" style="639" customWidth="1"/>
    <col min="12035" max="12035" width="6.28515625" style="639" customWidth="1"/>
    <col min="12036" max="12042" width="15" style="639" customWidth="1"/>
    <col min="12043" max="12043" width="6" style="639" customWidth="1"/>
    <col min="12044" max="12044" width="11.42578125" style="639" customWidth="1"/>
    <col min="12045" max="12045" width="2" style="639" customWidth="1"/>
    <col min="12046" max="12046" width="23.85546875" style="639" customWidth="1"/>
    <col min="12047" max="12047" width="3.5703125" style="639" customWidth="1"/>
    <col min="12048" max="12050" width="12.85546875" style="639" customWidth="1"/>
    <col min="12051" max="12288" width="12.85546875" style="639"/>
    <col min="12289" max="12289" width="3.42578125" style="639" customWidth="1"/>
    <col min="12290" max="12290" width="32.85546875" style="639" customWidth="1"/>
    <col min="12291" max="12291" width="6.28515625" style="639" customWidth="1"/>
    <col min="12292" max="12298" width="15" style="639" customWidth="1"/>
    <col min="12299" max="12299" width="6" style="639" customWidth="1"/>
    <col min="12300" max="12300" width="11.42578125" style="639" customWidth="1"/>
    <col min="12301" max="12301" width="2" style="639" customWidth="1"/>
    <col min="12302" max="12302" width="23.85546875" style="639" customWidth="1"/>
    <col min="12303" max="12303" width="3.5703125" style="639" customWidth="1"/>
    <col min="12304" max="12306" width="12.85546875" style="639" customWidth="1"/>
    <col min="12307" max="12544" width="12.85546875" style="639"/>
    <col min="12545" max="12545" width="3.42578125" style="639" customWidth="1"/>
    <col min="12546" max="12546" width="32.85546875" style="639" customWidth="1"/>
    <col min="12547" max="12547" width="6.28515625" style="639" customWidth="1"/>
    <col min="12548" max="12554" width="15" style="639" customWidth="1"/>
    <col min="12555" max="12555" width="6" style="639" customWidth="1"/>
    <col min="12556" max="12556" width="11.42578125" style="639" customWidth="1"/>
    <col min="12557" max="12557" width="2" style="639" customWidth="1"/>
    <col min="12558" max="12558" width="23.85546875" style="639" customWidth="1"/>
    <col min="12559" max="12559" width="3.5703125" style="639" customWidth="1"/>
    <col min="12560" max="12562" width="12.85546875" style="639" customWidth="1"/>
    <col min="12563" max="12800" width="12.85546875" style="639"/>
    <col min="12801" max="12801" width="3.42578125" style="639" customWidth="1"/>
    <col min="12802" max="12802" width="32.85546875" style="639" customWidth="1"/>
    <col min="12803" max="12803" width="6.28515625" style="639" customWidth="1"/>
    <col min="12804" max="12810" width="15" style="639" customWidth="1"/>
    <col min="12811" max="12811" width="6" style="639" customWidth="1"/>
    <col min="12812" max="12812" width="11.42578125" style="639" customWidth="1"/>
    <col min="12813" max="12813" width="2" style="639" customWidth="1"/>
    <col min="12814" max="12814" width="23.85546875" style="639" customWidth="1"/>
    <col min="12815" max="12815" width="3.5703125" style="639" customWidth="1"/>
    <col min="12816" max="12818" width="12.85546875" style="639" customWidth="1"/>
    <col min="12819" max="13056" width="12.85546875" style="639"/>
    <col min="13057" max="13057" width="3.42578125" style="639" customWidth="1"/>
    <col min="13058" max="13058" width="32.85546875" style="639" customWidth="1"/>
    <col min="13059" max="13059" width="6.28515625" style="639" customWidth="1"/>
    <col min="13060" max="13066" width="15" style="639" customWidth="1"/>
    <col min="13067" max="13067" width="6" style="639" customWidth="1"/>
    <col min="13068" max="13068" width="11.42578125" style="639" customWidth="1"/>
    <col min="13069" max="13069" width="2" style="639" customWidth="1"/>
    <col min="13070" max="13070" width="23.85546875" style="639" customWidth="1"/>
    <col min="13071" max="13071" width="3.5703125" style="639" customWidth="1"/>
    <col min="13072" max="13074" width="12.85546875" style="639" customWidth="1"/>
    <col min="13075" max="13312" width="12.85546875" style="639"/>
    <col min="13313" max="13313" width="3.42578125" style="639" customWidth="1"/>
    <col min="13314" max="13314" width="32.85546875" style="639" customWidth="1"/>
    <col min="13315" max="13315" width="6.28515625" style="639" customWidth="1"/>
    <col min="13316" max="13322" width="15" style="639" customWidth="1"/>
    <col min="13323" max="13323" width="6" style="639" customWidth="1"/>
    <col min="13324" max="13324" width="11.42578125" style="639" customWidth="1"/>
    <col min="13325" max="13325" width="2" style="639" customWidth="1"/>
    <col min="13326" max="13326" width="23.85546875" style="639" customWidth="1"/>
    <col min="13327" max="13327" width="3.5703125" style="639" customWidth="1"/>
    <col min="13328" max="13330" width="12.85546875" style="639" customWidth="1"/>
    <col min="13331" max="13568" width="12.85546875" style="639"/>
    <col min="13569" max="13569" width="3.42578125" style="639" customWidth="1"/>
    <col min="13570" max="13570" width="32.85546875" style="639" customWidth="1"/>
    <col min="13571" max="13571" width="6.28515625" style="639" customWidth="1"/>
    <col min="13572" max="13578" width="15" style="639" customWidth="1"/>
    <col min="13579" max="13579" width="6" style="639" customWidth="1"/>
    <col min="13580" max="13580" width="11.42578125" style="639" customWidth="1"/>
    <col min="13581" max="13581" width="2" style="639" customWidth="1"/>
    <col min="13582" max="13582" width="23.85546875" style="639" customWidth="1"/>
    <col min="13583" max="13583" width="3.5703125" style="639" customWidth="1"/>
    <col min="13584" max="13586" width="12.85546875" style="639" customWidth="1"/>
    <col min="13587" max="13824" width="12.85546875" style="639"/>
    <col min="13825" max="13825" width="3.42578125" style="639" customWidth="1"/>
    <col min="13826" max="13826" width="32.85546875" style="639" customWidth="1"/>
    <col min="13827" max="13827" width="6.28515625" style="639" customWidth="1"/>
    <col min="13828" max="13834" width="15" style="639" customWidth="1"/>
    <col min="13835" max="13835" width="6" style="639" customWidth="1"/>
    <col min="13836" max="13836" width="11.42578125" style="639" customWidth="1"/>
    <col min="13837" max="13837" width="2" style="639" customWidth="1"/>
    <col min="13838" max="13838" width="23.85546875" style="639" customWidth="1"/>
    <col min="13839" max="13839" width="3.5703125" style="639" customWidth="1"/>
    <col min="13840" max="13842" width="12.85546875" style="639" customWidth="1"/>
    <col min="13843" max="14080" width="12.85546875" style="639"/>
    <col min="14081" max="14081" width="3.42578125" style="639" customWidth="1"/>
    <col min="14082" max="14082" width="32.85546875" style="639" customWidth="1"/>
    <col min="14083" max="14083" width="6.28515625" style="639" customWidth="1"/>
    <col min="14084" max="14090" width="15" style="639" customWidth="1"/>
    <col min="14091" max="14091" width="6" style="639" customWidth="1"/>
    <col min="14092" max="14092" width="11.42578125" style="639" customWidth="1"/>
    <col min="14093" max="14093" width="2" style="639" customWidth="1"/>
    <col min="14094" max="14094" width="23.85546875" style="639" customWidth="1"/>
    <col min="14095" max="14095" width="3.5703125" style="639" customWidth="1"/>
    <col min="14096" max="14098" width="12.85546875" style="639" customWidth="1"/>
    <col min="14099" max="14336" width="12.85546875" style="639"/>
    <col min="14337" max="14337" width="3.42578125" style="639" customWidth="1"/>
    <col min="14338" max="14338" width="32.85546875" style="639" customWidth="1"/>
    <col min="14339" max="14339" width="6.28515625" style="639" customWidth="1"/>
    <col min="14340" max="14346" width="15" style="639" customWidth="1"/>
    <col min="14347" max="14347" width="6" style="639" customWidth="1"/>
    <col min="14348" max="14348" width="11.42578125" style="639" customWidth="1"/>
    <col min="14349" max="14349" width="2" style="639" customWidth="1"/>
    <col min="14350" max="14350" width="23.85546875" style="639" customWidth="1"/>
    <col min="14351" max="14351" width="3.5703125" style="639" customWidth="1"/>
    <col min="14352" max="14354" width="12.85546875" style="639" customWidth="1"/>
    <col min="14355" max="14592" width="12.85546875" style="639"/>
    <col min="14593" max="14593" width="3.42578125" style="639" customWidth="1"/>
    <col min="14594" max="14594" width="32.85546875" style="639" customWidth="1"/>
    <col min="14595" max="14595" width="6.28515625" style="639" customWidth="1"/>
    <col min="14596" max="14602" width="15" style="639" customWidth="1"/>
    <col min="14603" max="14603" width="6" style="639" customWidth="1"/>
    <col min="14604" max="14604" width="11.42578125" style="639" customWidth="1"/>
    <col min="14605" max="14605" width="2" style="639" customWidth="1"/>
    <col min="14606" max="14606" width="23.85546875" style="639" customWidth="1"/>
    <col min="14607" max="14607" width="3.5703125" style="639" customWidth="1"/>
    <col min="14608" max="14610" width="12.85546875" style="639" customWidth="1"/>
    <col min="14611" max="14848" width="12.85546875" style="639"/>
    <col min="14849" max="14849" width="3.42578125" style="639" customWidth="1"/>
    <col min="14850" max="14850" width="32.85546875" style="639" customWidth="1"/>
    <col min="14851" max="14851" width="6.28515625" style="639" customWidth="1"/>
    <col min="14852" max="14858" width="15" style="639" customWidth="1"/>
    <col min="14859" max="14859" width="6" style="639" customWidth="1"/>
    <col min="14860" max="14860" width="11.42578125" style="639" customWidth="1"/>
    <col min="14861" max="14861" width="2" style="639" customWidth="1"/>
    <col min="14862" max="14862" width="23.85546875" style="639" customWidth="1"/>
    <col min="14863" max="14863" width="3.5703125" style="639" customWidth="1"/>
    <col min="14864" max="14866" width="12.85546875" style="639" customWidth="1"/>
    <col min="14867" max="15104" width="12.85546875" style="639"/>
    <col min="15105" max="15105" width="3.42578125" style="639" customWidth="1"/>
    <col min="15106" max="15106" width="32.85546875" style="639" customWidth="1"/>
    <col min="15107" max="15107" width="6.28515625" style="639" customWidth="1"/>
    <col min="15108" max="15114" width="15" style="639" customWidth="1"/>
    <col min="15115" max="15115" width="6" style="639" customWidth="1"/>
    <col min="15116" max="15116" width="11.42578125" style="639" customWidth="1"/>
    <col min="15117" max="15117" width="2" style="639" customWidth="1"/>
    <col min="15118" max="15118" width="23.85546875" style="639" customWidth="1"/>
    <col min="15119" max="15119" width="3.5703125" style="639" customWidth="1"/>
    <col min="15120" max="15122" width="12.85546875" style="639" customWidth="1"/>
    <col min="15123" max="15360" width="12.85546875" style="639"/>
    <col min="15361" max="15361" width="3.42578125" style="639" customWidth="1"/>
    <col min="15362" max="15362" width="32.85546875" style="639" customWidth="1"/>
    <col min="15363" max="15363" width="6.28515625" style="639" customWidth="1"/>
    <col min="15364" max="15370" width="15" style="639" customWidth="1"/>
    <col min="15371" max="15371" width="6" style="639" customWidth="1"/>
    <col min="15372" max="15372" width="11.42578125" style="639" customWidth="1"/>
    <col min="15373" max="15373" width="2" style="639" customWidth="1"/>
    <col min="15374" max="15374" width="23.85546875" style="639" customWidth="1"/>
    <col min="15375" max="15375" width="3.5703125" style="639" customWidth="1"/>
    <col min="15376" max="15378" width="12.85546875" style="639" customWidth="1"/>
    <col min="15379" max="15616" width="12.85546875" style="639"/>
    <col min="15617" max="15617" width="3.42578125" style="639" customWidth="1"/>
    <col min="15618" max="15618" width="32.85546875" style="639" customWidth="1"/>
    <col min="15619" max="15619" width="6.28515625" style="639" customWidth="1"/>
    <col min="15620" max="15626" width="15" style="639" customWidth="1"/>
    <col min="15627" max="15627" width="6" style="639" customWidth="1"/>
    <col min="15628" max="15628" width="11.42578125" style="639" customWidth="1"/>
    <col min="15629" max="15629" width="2" style="639" customWidth="1"/>
    <col min="15630" max="15630" width="23.85546875" style="639" customWidth="1"/>
    <col min="15631" max="15631" width="3.5703125" style="639" customWidth="1"/>
    <col min="15632" max="15634" width="12.85546875" style="639" customWidth="1"/>
    <col min="15635" max="15872" width="12.85546875" style="639"/>
    <col min="15873" max="15873" width="3.42578125" style="639" customWidth="1"/>
    <col min="15874" max="15874" width="32.85546875" style="639" customWidth="1"/>
    <col min="15875" max="15875" width="6.28515625" style="639" customWidth="1"/>
    <col min="15876" max="15882" width="15" style="639" customWidth="1"/>
    <col min="15883" max="15883" width="6" style="639" customWidth="1"/>
    <col min="15884" max="15884" width="11.42578125" style="639" customWidth="1"/>
    <col min="15885" max="15885" width="2" style="639" customWidth="1"/>
    <col min="15886" max="15886" width="23.85546875" style="639" customWidth="1"/>
    <col min="15887" max="15887" width="3.5703125" style="639" customWidth="1"/>
    <col min="15888" max="15890" width="12.85546875" style="639" customWidth="1"/>
    <col min="15891" max="16128" width="12.85546875" style="639"/>
    <col min="16129" max="16129" width="3.42578125" style="639" customWidth="1"/>
    <col min="16130" max="16130" width="32.85546875" style="639" customWidth="1"/>
    <col min="16131" max="16131" width="6.28515625" style="639" customWidth="1"/>
    <col min="16132" max="16138" width="15" style="639" customWidth="1"/>
    <col min="16139" max="16139" width="6" style="639" customWidth="1"/>
    <col min="16140" max="16140" width="11.42578125" style="639" customWidth="1"/>
    <col min="16141" max="16141" width="2" style="639" customWidth="1"/>
    <col min="16142" max="16142" width="23.85546875" style="639" customWidth="1"/>
    <col min="16143" max="16143" width="3.5703125" style="639" customWidth="1"/>
    <col min="16144" max="16146" width="12.85546875" style="639" customWidth="1"/>
    <col min="16147" max="16384" width="12.85546875" style="639"/>
  </cols>
  <sheetData>
    <row r="1" spans="1:24" s="632" customFormat="1" ht="31.5" x14ac:dyDescent="0.35">
      <c r="A1" s="699" t="str">
        <f>Konti_VS!C7</f>
        <v>VS  . . .</v>
      </c>
      <c r="B1" s="626"/>
      <c r="C1" s="627"/>
      <c r="D1" s="628"/>
      <c r="E1" s="628"/>
      <c r="F1" s="629"/>
      <c r="G1" s="629"/>
      <c r="H1" s="629"/>
      <c r="I1" s="630"/>
      <c r="J1" s="631" t="str">
        <f>"Schuljahr 20"&amp;RIGHT(Konti_VS!H1,5)</f>
        <v>Schuljahr 2024/25</v>
      </c>
      <c r="N1" s="633"/>
      <c r="O1" s="634"/>
      <c r="P1" s="634"/>
      <c r="Q1" s="635"/>
      <c r="R1" s="635"/>
      <c r="X1" s="636"/>
    </row>
    <row r="2" spans="1:24" s="605" customFormat="1" ht="28.5" customHeight="1" x14ac:dyDescent="0.25">
      <c r="A2" s="960" t="s">
        <v>835</v>
      </c>
      <c r="B2" s="961"/>
      <c r="C2" s="961"/>
      <c r="D2" s="961"/>
      <c r="E2" s="961"/>
      <c r="F2" s="961"/>
      <c r="G2" s="961"/>
      <c r="H2" s="961"/>
      <c r="I2" s="961"/>
      <c r="J2" s="961"/>
      <c r="K2" s="602"/>
      <c r="L2" s="603"/>
      <c r="M2" s="604"/>
    </row>
    <row r="3" spans="1:24" s="605" customFormat="1" ht="28.5" customHeight="1" x14ac:dyDescent="0.25">
      <c r="A3" s="968" t="str">
        <f>"die zum 01.09.20"&amp;RIGHT(J1,2)-1&amp;" voraussichtlich bei uns unterrichten:"</f>
        <v>die zum 01.09.2024 voraussichtlich bei uns unterrichten:</v>
      </c>
      <c r="B3" s="961"/>
      <c r="C3" s="961"/>
      <c r="D3" s="961"/>
      <c r="E3" s="961"/>
      <c r="F3" s="961"/>
      <c r="G3" s="961"/>
      <c r="H3" s="961"/>
      <c r="I3" s="961"/>
      <c r="J3" s="961"/>
      <c r="K3" s="602"/>
      <c r="L3" s="603"/>
      <c r="M3" s="604"/>
    </row>
    <row r="4" spans="1:24" s="647" customFormat="1" ht="141.75" customHeight="1" x14ac:dyDescent="0.4">
      <c r="A4" s="640"/>
      <c r="B4" s="641" t="s">
        <v>815</v>
      </c>
      <c r="C4" s="642"/>
      <c r="D4" s="643" t="s">
        <v>994</v>
      </c>
      <c r="E4" s="644" t="s">
        <v>816</v>
      </c>
      <c r="F4" s="643" t="s">
        <v>817</v>
      </c>
      <c r="G4" s="643" t="s">
        <v>818</v>
      </c>
      <c r="H4" s="644" t="s">
        <v>819</v>
      </c>
      <c r="I4" s="645" t="s">
        <v>820</v>
      </c>
      <c r="J4" s="646" t="s">
        <v>821</v>
      </c>
      <c r="N4" s="648"/>
    </row>
    <row r="5" spans="1:24" s="654" customFormat="1" ht="3.75" customHeight="1" thickBot="1" x14ac:dyDescent="0.3">
      <c r="A5" s="649"/>
      <c r="B5" s="650"/>
      <c r="C5" s="651"/>
      <c r="D5" s="652"/>
      <c r="E5" s="652"/>
      <c r="F5" s="652"/>
      <c r="G5" s="652"/>
      <c r="H5" s="652"/>
      <c r="I5" s="653"/>
      <c r="J5" s="651"/>
      <c r="L5" s="655"/>
    </row>
    <row r="6" spans="1:24" s="647" customFormat="1" ht="21.75" customHeight="1" thickTop="1" x14ac:dyDescent="0.25">
      <c r="A6" s="962"/>
      <c r="B6" s="963"/>
      <c r="C6" s="964"/>
      <c r="D6" s="606"/>
      <c r="E6" s="606"/>
      <c r="F6" s="607"/>
      <c r="G6" s="607"/>
      <c r="H6" s="607"/>
      <c r="I6" s="608"/>
      <c r="J6" s="609"/>
      <c r="L6" s="656"/>
    </row>
    <row r="7" spans="1:24" s="647" customFormat="1" ht="21.75" customHeight="1" x14ac:dyDescent="0.25">
      <c r="A7" s="965"/>
      <c r="B7" s="966"/>
      <c r="C7" s="967"/>
      <c r="D7" s="606"/>
      <c r="E7" s="606"/>
      <c r="F7" s="607"/>
      <c r="G7" s="607"/>
      <c r="H7" s="607"/>
      <c r="I7" s="608"/>
      <c r="J7" s="610"/>
      <c r="L7" s="656"/>
    </row>
    <row r="8" spans="1:24" s="647" customFormat="1" ht="21.75" customHeight="1" x14ac:dyDescent="0.25">
      <c r="A8" s="965"/>
      <c r="B8" s="966"/>
      <c r="C8" s="967"/>
      <c r="D8" s="611"/>
      <c r="E8" s="611"/>
      <c r="F8" s="612"/>
      <c r="G8" s="612"/>
      <c r="H8" s="612"/>
      <c r="I8" s="613"/>
      <c r="J8" s="610"/>
      <c r="L8" s="656"/>
    </row>
    <row r="9" spans="1:24" s="647" customFormat="1" ht="21.75" customHeight="1" x14ac:dyDescent="0.25">
      <c r="A9" s="965"/>
      <c r="B9" s="966"/>
      <c r="C9" s="967"/>
      <c r="D9" s="606"/>
      <c r="E9" s="606"/>
      <c r="F9" s="607"/>
      <c r="G9" s="607"/>
      <c r="H9" s="607"/>
      <c r="I9" s="608"/>
      <c r="J9" s="614"/>
      <c r="L9" s="656"/>
    </row>
    <row r="10" spans="1:24" s="647" customFormat="1" ht="21.75" customHeight="1" x14ac:dyDescent="0.25">
      <c r="A10" s="965"/>
      <c r="B10" s="966"/>
      <c r="C10" s="967"/>
      <c r="D10" s="606"/>
      <c r="E10" s="606"/>
      <c r="F10" s="607"/>
      <c r="G10" s="607"/>
      <c r="H10" s="607"/>
      <c r="I10" s="608"/>
      <c r="J10" s="610"/>
      <c r="L10" s="656"/>
    </row>
    <row r="11" spans="1:24" s="647" customFormat="1" ht="21.75" customHeight="1" x14ac:dyDescent="0.25">
      <c r="A11" s="1001"/>
      <c r="B11" s="1002"/>
      <c r="C11" s="1003"/>
      <c r="D11" s="615"/>
      <c r="E11" s="615"/>
      <c r="F11" s="616"/>
      <c r="G11" s="616"/>
      <c r="H11" s="616"/>
      <c r="I11" s="617"/>
      <c r="J11" s="618"/>
      <c r="K11" s="657"/>
      <c r="L11" s="658"/>
      <c r="M11" s="628"/>
      <c r="N11" s="628"/>
    </row>
    <row r="12" spans="1:24" s="647" customFormat="1" ht="21.75" customHeight="1" x14ac:dyDescent="0.25">
      <c r="A12" s="1004"/>
      <c r="B12" s="1004"/>
      <c r="C12" s="1004"/>
      <c r="D12" s="659"/>
      <c r="E12" s="659"/>
      <c r="F12" s="660"/>
      <c r="G12" s="660"/>
      <c r="H12" s="660"/>
      <c r="I12" s="661"/>
      <c r="J12" s="648"/>
      <c r="K12" s="1005"/>
      <c r="L12" s="1005"/>
      <c r="M12" s="1005"/>
      <c r="N12" s="1005"/>
      <c r="O12" s="656"/>
    </row>
    <row r="13" spans="1:24" ht="31.5" x14ac:dyDescent="0.45">
      <c r="A13" s="662" t="s">
        <v>822</v>
      </c>
      <c r="B13" s="663"/>
      <c r="C13" s="664"/>
      <c r="D13" s="664"/>
      <c r="E13" s="664"/>
      <c r="F13" s="664"/>
      <c r="G13" s="664"/>
      <c r="H13" s="664"/>
      <c r="I13" s="664"/>
      <c r="J13" s="664"/>
      <c r="K13" s="665"/>
      <c r="L13" s="665"/>
      <c r="M13" s="666"/>
      <c r="N13" s="665"/>
      <c r="O13" s="667"/>
      <c r="P13" s="667"/>
      <c r="Q13" s="668"/>
      <c r="R13" s="668"/>
    </row>
    <row r="14" spans="1:24" ht="12" customHeight="1" x14ac:dyDescent="0.45">
      <c r="A14" s="669"/>
      <c r="B14" s="670"/>
      <c r="C14" s="671"/>
      <c r="D14" s="671"/>
      <c r="E14" s="671"/>
      <c r="F14" s="671"/>
      <c r="G14" s="671"/>
      <c r="H14" s="671"/>
      <c r="I14" s="671"/>
      <c r="J14" s="671"/>
      <c r="K14" s="665"/>
      <c r="L14" s="665"/>
      <c r="M14" s="666"/>
      <c r="N14" s="665"/>
      <c r="O14" s="667"/>
      <c r="P14" s="667"/>
      <c r="Q14" s="668"/>
      <c r="R14" s="668"/>
    </row>
    <row r="15" spans="1:24" s="673" customFormat="1" ht="21.75" thickBot="1" x14ac:dyDescent="0.4">
      <c r="A15" s="619"/>
      <c r="B15" s="672" t="s">
        <v>823</v>
      </c>
    </row>
    <row r="16" spans="1:24" s="675" customFormat="1" ht="19.5" thickTop="1" x14ac:dyDescent="0.3">
      <c r="A16" s="674"/>
    </row>
    <row r="17" spans="1:23" s="673" customFormat="1" ht="21.75" thickBot="1" x14ac:dyDescent="0.4">
      <c r="A17" s="619"/>
      <c r="B17" s="672" t="s">
        <v>824</v>
      </c>
    </row>
    <row r="18" spans="1:23" s="674" customFormat="1" ht="19.5" thickTop="1" x14ac:dyDescent="0.3">
      <c r="B18" s="674" t="s">
        <v>990</v>
      </c>
    </row>
    <row r="19" spans="1:23" s="674" customFormat="1" ht="18.75" x14ac:dyDescent="0.3">
      <c r="B19" s="674" t="s">
        <v>825</v>
      </c>
      <c r="N19" s="676"/>
    </row>
    <row r="20" spans="1:23" s="674" customFormat="1" ht="26.25" x14ac:dyDescent="0.4">
      <c r="A20" s="677"/>
      <c r="B20" s="672" t="s">
        <v>826</v>
      </c>
      <c r="C20" s="678"/>
      <c r="D20" s="678"/>
    </row>
    <row r="21" spans="1:23" s="674" customFormat="1" ht="26.25" x14ac:dyDescent="0.4">
      <c r="A21" s="677"/>
      <c r="B21" s="992"/>
      <c r="C21" s="993"/>
      <c r="D21" s="993"/>
      <c r="E21" s="993"/>
      <c r="F21" s="993"/>
      <c r="G21" s="993"/>
      <c r="H21" s="993"/>
      <c r="I21" s="993"/>
      <c r="J21" s="993"/>
      <c r="K21" s="994"/>
    </row>
    <row r="22" spans="1:23" s="674" customFormat="1" ht="26.25" x14ac:dyDescent="0.4">
      <c r="A22" s="677"/>
      <c r="B22" s="995"/>
      <c r="C22" s="996"/>
      <c r="D22" s="996"/>
      <c r="E22" s="996"/>
      <c r="F22" s="996"/>
      <c r="G22" s="996"/>
      <c r="H22" s="996"/>
      <c r="I22" s="996"/>
      <c r="J22" s="996"/>
      <c r="K22" s="997"/>
    </row>
    <row r="23" spans="1:23" s="674" customFormat="1" ht="26.25" x14ac:dyDescent="0.4">
      <c r="A23" s="677"/>
      <c r="B23" s="998"/>
      <c r="C23" s="999"/>
      <c r="D23" s="999"/>
      <c r="E23" s="999"/>
      <c r="F23" s="999"/>
      <c r="G23" s="999"/>
      <c r="H23" s="999"/>
      <c r="I23" s="999"/>
      <c r="J23" s="999"/>
      <c r="K23" s="1000"/>
    </row>
    <row r="24" spans="1:23" s="679" customFormat="1" ht="17.25" customHeight="1" x14ac:dyDescent="0.25">
      <c r="C24" s="680"/>
      <c r="I24" s="681"/>
      <c r="J24" s="682"/>
      <c r="K24" s="682"/>
      <c r="L24" s="682"/>
      <c r="M24" s="683"/>
      <c r="N24" s="683"/>
      <c r="O24" s="684"/>
    </row>
    <row r="25" spans="1:23" ht="21.75" customHeight="1" thickBot="1" x14ac:dyDescent="0.4">
      <c r="A25" s="620"/>
      <c r="B25" s="685"/>
      <c r="C25" s="686"/>
      <c r="D25" s="1006" t="s">
        <v>827</v>
      </c>
      <c r="E25" s="1007"/>
      <c r="F25" s="1007"/>
      <c r="G25" s="1007"/>
      <c r="H25" s="1007"/>
      <c r="I25" s="1007"/>
      <c r="J25" s="1007"/>
      <c r="K25" s="687"/>
      <c r="L25" s="687"/>
      <c r="M25" s="687"/>
      <c r="N25" s="688"/>
      <c r="O25" s="688"/>
      <c r="P25" s="638"/>
      <c r="R25" s="639"/>
    </row>
    <row r="26" spans="1:23" ht="67.5" customHeight="1" thickTop="1" x14ac:dyDescent="0.25">
      <c r="A26" s="984" t="s">
        <v>828</v>
      </c>
      <c r="B26" s="985"/>
      <c r="C26" s="986"/>
      <c r="D26" s="980" t="s">
        <v>829</v>
      </c>
      <c r="E26" s="980" t="s">
        <v>830</v>
      </c>
      <c r="F26" s="989" t="s">
        <v>831</v>
      </c>
      <c r="G26" s="990" t="s">
        <v>812</v>
      </c>
      <c r="H26" s="978" t="s">
        <v>832</v>
      </c>
      <c r="I26" s="978" t="s">
        <v>833</v>
      </c>
      <c r="J26" s="980" t="s">
        <v>834</v>
      </c>
      <c r="N26" s="688"/>
      <c r="O26" s="688"/>
      <c r="P26" s="638"/>
      <c r="R26" s="639"/>
    </row>
    <row r="27" spans="1:23" s="692" customFormat="1" ht="71.25" customHeight="1" thickBot="1" x14ac:dyDescent="0.3">
      <c r="A27" s="987"/>
      <c r="B27" s="985"/>
      <c r="C27" s="986"/>
      <c r="D27" s="988"/>
      <c r="E27" s="988"/>
      <c r="F27" s="981"/>
      <c r="G27" s="981"/>
      <c r="H27" s="981"/>
      <c r="I27" s="979"/>
      <c r="J27" s="981"/>
      <c r="K27" s="689"/>
      <c r="L27" s="689"/>
      <c r="M27" s="689"/>
      <c r="N27" s="690"/>
      <c r="O27" s="690"/>
      <c r="P27" s="691"/>
      <c r="Q27" s="691"/>
    </row>
    <row r="28" spans="1:23" ht="21" customHeight="1" thickTop="1" x14ac:dyDescent="0.2">
      <c r="A28" s="982"/>
      <c r="B28" s="982"/>
      <c r="C28" s="982"/>
      <c r="D28" s="621"/>
      <c r="E28" s="621"/>
      <c r="F28" s="621"/>
      <c r="G28" s="621"/>
      <c r="H28" s="621"/>
      <c r="I28" s="621"/>
      <c r="J28" s="698"/>
      <c r="K28" s="689"/>
      <c r="L28" s="689"/>
      <c r="M28" s="689"/>
      <c r="N28" s="688"/>
      <c r="O28" s="688"/>
      <c r="P28" s="638"/>
      <c r="R28" s="693"/>
      <c r="S28" s="693"/>
      <c r="T28" s="693"/>
      <c r="U28" s="693"/>
      <c r="V28" s="693"/>
      <c r="W28" s="693"/>
    </row>
    <row r="29" spans="1:23" ht="21" customHeight="1" x14ac:dyDescent="0.25">
      <c r="A29" s="983"/>
      <c r="B29" s="983"/>
      <c r="C29" s="983"/>
      <c r="D29" s="622"/>
      <c r="E29" s="622"/>
      <c r="F29" s="622"/>
      <c r="G29" s="622"/>
      <c r="H29" s="622"/>
      <c r="I29" s="622"/>
      <c r="J29" s="623"/>
      <c r="K29" s="689"/>
      <c r="L29" s="689"/>
      <c r="M29" s="689"/>
      <c r="N29" s="688"/>
      <c r="O29" s="688"/>
      <c r="P29" s="638"/>
      <c r="R29" s="693"/>
      <c r="S29" s="693"/>
      <c r="T29" s="693"/>
      <c r="U29" s="693"/>
      <c r="V29" s="693"/>
      <c r="W29" s="693"/>
    </row>
    <row r="30" spans="1:23" ht="21" customHeight="1" x14ac:dyDescent="0.25">
      <c r="A30" s="983"/>
      <c r="B30" s="983"/>
      <c r="C30" s="983"/>
      <c r="D30" s="622"/>
      <c r="E30" s="622"/>
      <c r="F30" s="622"/>
      <c r="G30" s="622"/>
      <c r="H30" s="622"/>
      <c r="I30" s="622"/>
      <c r="J30" s="623"/>
      <c r="K30" s="689"/>
      <c r="L30" s="689"/>
      <c r="M30" s="689"/>
      <c r="N30" s="688"/>
      <c r="O30" s="688"/>
      <c r="P30" s="638"/>
      <c r="R30" s="693"/>
      <c r="S30" s="693"/>
      <c r="T30" s="693"/>
      <c r="U30" s="693"/>
      <c r="V30" s="693"/>
      <c r="W30" s="693"/>
    </row>
    <row r="31" spans="1:23" ht="21" customHeight="1" x14ac:dyDescent="0.25">
      <c r="A31" s="983"/>
      <c r="B31" s="983"/>
      <c r="C31" s="983"/>
      <c r="D31" s="622"/>
      <c r="E31" s="622"/>
      <c r="F31" s="622"/>
      <c r="G31" s="622"/>
      <c r="H31" s="622"/>
      <c r="I31" s="622"/>
      <c r="J31" s="623"/>
      <c r="K31" s="689"/>
      <c r="L31" s="689"/>
      <c r="M31" s="689"/>
      <c r="N31" s="688"/>
      <c r="O31" s="688"/>
      <c r="P31" s="638"/>
      <c r="R31" s="693"/>
      <c r="S31" s="693"/>
      <c r="T31" s="693"/>
      <c r="U31" s="693"/>
      <c r="V31" s="693"/>
      <c r="W31" s="693"/>
    </row>
    <row r="32" spans="1:23" ht="21" customHeight="1" x14ac:dyDescent="0.25">
      <c r="A32" s="983"/>
      <c r="B32" s="983"/>
      <c r="C32" s="983"/>
      <c r="D32" s="622"/>
      <c r="E32" s="622"/>
      <c r="F32" s="622"/>
      <c r="G32" s="622"/>
      <c r="H32" s="622"/>
      <c r="I32" s="622"/>
      <c r="J32" s="623"/>
      <c r="K32" s="689"/>
      <c r="L32" s="689"/>
      <c r="M32" s="689"/>
      <c r="N32" s="688"/>
      <c r="O32" s="688"/>
      <c r="P32" s="638"/>
      <c r="R32" s="693"/>
      <c r="S32" s="693"/>
      <c r="T32" s="693"/>
      <c r="U32" s="693"/>
      <c r="V32" s="693"/>
      <c r="W32" s="693"/>
    </row>
    <row r="33" spans="1:23" ht="21" customHeight="1" x14ac:dyDescent="0.25">
      <c r="A33" s="983"/>
      <c r="B33" s="983"/>
      <c r="C33" s="983"/>
      <c r="D33" s="622"/>
      <c r="E33" s="622"/>
      <c r="F33" s="622"/>
      <c r="G33" s="622"/>
      <c r="H33" s="622"/>
      <c r="I33" s="622"/>
      <c r="J33" s="623"/>
      <c r="K33" s="689"/>
      <c r="L33" s="689"/>
      <c r="M33" s="689"/>
      <c r="N33" s="688"/>
      <c r="O33" s="688"/>
      <c r="P33" s="638"/>
      <c r="R33" s="693"/>
      <c r="S33" s="693"/>
      <c r="T33" s="693"/>
      <c r="U33" s="693"/>
      <c r="V33" s="693"/>
      <c r="W33" s="693"/>
    </row>
    <row r="34" spans="1:23" ht="21" customHeight="1" x14ac:dyDescent="0.25">
      <c r="A34" s="983"/>
      <c r="B34" s="983"/>
      <c r="C34" s="983"/>
      <c r="D34" s="622"/>
      <c r="E34" s="622"/>
      <c r="F34" s="622"/>
      <c r="G34" s="622"/>
      <c r="H34" s="622"/>
      <c r="I34" s="622"/>
      <c r="J34" s="623"/>
      <c r="K34" s="689"/>
      <c r="L34" s="689"/>
      <c r="M34" s="689"/>
      <c r="N34" s="688"/>
      <c r="O34" s="688"/>
      <c r="P34" s="638"/>
      <c r="R34" s="693"/>
      <c r="S34" s="693"/>
      <c r="T34" s="693"/>
      <c r="U34" s="693"/>
      <c r="V34" s="693"/>
      <c r="W34" s="693"/>
    </row>
    <row r="35" spans="1:23" ht="21" customHeight="1" x14ac:dyDescent="0.25">
      <c r="A35" s="983"/>
      <c r="B35" s="983"/>
      <c r="C35" s="983"/>
      <c r="D35" s="622"/>
      <c r="E35" s="622"/>
      <c r="F35" s="622"/>
      <c r="G35" s="622"/>
      <c r="H35" s="622"/>
      <c r="I35" s="622"/>
      <c r="J35" s="623"/>
      <c r="K35" s="689"/>
      <c r="L35" s="689"/>
      <c r="M35" s="689"/>
      <c r="N35" s="688"/>
      <c r="O35" s="688"/>
      <c r="P35" s="638"/>
      <c r="R35" s="693"/>
      <c r="S35" s="693"/>
      <c r="T35" s="693"/>
      <c r="U35" s="693"/>
      <c r="V35" s="693"/>
      <c r="W35" s="693"/>
    </row>
    <row r="36" spans="1:23" ht="21" customHeight="1" x14ac:dyDescent="0.25">
      <c r="A36" s="983"/>
      <c r="B36" s="983"/>
      <c r="C36" s="983"/>
      <c r="D36" s="622"/>
      <c r="E36" s="622"/>
      <c r="F36" s="622"/>
      <c r="G36" s="622"/>
      <c r="H36" s="622"/>
      <c r="I36" s="622"/>
      <c r="J36" s="623"/>
      <c r="K36" s="689"/>
      <c r="L36" s="689"/>
      <c r="M36" s="689"/>
      <c r="N36" s="688"/>
      <c r="O36" s="688"/>
      <c r="P36" s="638"/>
      <c r="R36" s="693"/>
      <c r="S36" s="693"/>
      <c r="T36" s="693"/>
      <c r="U36" s="693"/>
      <c r="V36" s="693"/>
      <c r="W36" s="693"/>
    </row>
    <row r="37" spans="1:23" ht="21" customHeight="1" x14ac:dyDescent="0.25">
      <c r="A37" s="991"/>
      <c r="B37" s="991"/>
      <c r="C37" s="991"/>
      <c r="D37" s="624"/>
      <c r="E37" s="624"/>
      <c r="F37" s="624"/>
      <c r="G37" s="624"/>
      <c r="H37" s="624"/>
      <c r="I37" s="624"/>
      <c r="J37" s="625"/>
      <c r="K37" s="689"/>
      <c r="L37" s="689"/>
      <c r="M37" s="689"/>
      <c r="N37" s="688"/>
      <c r="O37" s="688"/>
      <c r="P37" s="638"/>
      <c r="R37" s="693"/>
      <c r="S37" s="693"/>
      <c r="T37" s="693"/>
      <c r="U37" s="693"/>
      <c r="V37" s="693"/>
      <c r="W37" s="693"/>
    </row>
    <row r="38" spans="1:23" ht="66" customHeight="1" x14ac:dyDescent="0.25">
      <c r="A38" s="689"/>
      <c r="B38" s="689"/>
      <c r="C38" s="689"/>
      <c r="D38" s="689"/>
      <c r="E38" s="689"/>
      <c r="F38" s="689"/>
      <c r="G38" s="689"/>
      <c r="H38" s="689"/>
      <c r="I38" s="689"/>
      <c r="J38" s="689"/>
      <c r="K38" s="689"/>
      <c r="L38" s="694"/>
      <c r="M38" s="695"/>
      <c r="N38" s="696"/>
      <c r="O38" s="696"/>
      <c r="P38" s="639"/>
      <c r="Q38" s="639"/>
      <c r="R38" s="639"/>
    </row>
    <row r="39" spans="1:23" x14ac:dyDescent="0.25">
      <c r="A39" s="697"/>
      <c r="B39" s="969"/>
      <c r="C39" s="970"/>
      <c r="D39" s="970"/>
      <c r="E39" s="970"/>
      <c r="F39" s="970"/>
      <c r="G39" s="970"/>
      <c r="H39" s="970"/>
      <c r="I39" s="970"/>
      <c r="J39" s="971"/>
      <c r="K39" s="637"/>
      <c r="L39" s="637"/>
      <c r="M39" s="637"/>
      <c r="N39" s="637"/>
      <c r="O39" s="639"/>
      <c r="P39" s="639"/>
      <c r="Q39" s="639"/>
      <c r="R39" s="639"/>
    </row>
    <row r="40" spans="1:23" ht="15" customHeight="1" x14ac:dyDescent="0.25">
      <c r="B40" s="972"/>
      <c r="C40" s="973"/>
      <c r="D40" s="973"/>
      <c r="E40" s="973"/>
      <c r="F40" s="973"/>
      <c r="G40" s="973"/>
      <c r="H40" s="973"/>
      <c r="I40" s="973"/>
      <c r="J40" s="974"/>
      <c r="K40" s="637"/>
      <c r="L40" s="637"/>
      <c r="M40" s="637"/>
      <c r="N40" s="637"/>
      <c r="O40" s="639"/>
      <c r="P40" s="639"/>
      <c r="Q40" s="639"/>
      <c r="R40" s="639"/>
    </row>
    <row r="41" spans="1:23" ht="15" customHeight="1" x14ac:dyDescent="0.25">
      <c r="B41" s="972"/>
      <c r="C41" s="973"/>
      <c r="D41" s="973"/>
      <c r="E41" s="973"/>
      <c r="F41" s="973"/>
      <c r="G41" s="973"/>
      <c r="H41" s="973"/>
      <c r="I41" s="973"/>
      <c r="J41" s="974"/>
      <c r="K41" s="637"/>
      <c r="L41" s="637"/>
      <c r="M41" s="637"/>
      <c r="N41" s="637"/>
      <c r="O41" s="639"/>
      <c r="P41" s="639"/>
      <c r="Q41" s="639"/>
      <c r="R41" s="639"/>
    </row>
    <row r="42" spans="1:23" ht="15" customHeight="1" x14ac:dyDescent="0.25">
      <c r="B42" s="972"/>
      <c r="C42" s="973"/>
      <c r="D42" s="973"/>
      <c r="E42" s="973"/>
      <c r="F42" s="973"/>
      <c r="G42" s="973"/>
      <c r="H42" s="973"/>
      <c r="I42" s="973"/>
      <c r="J42" s="974"/>
      <c r="K42" s="637"/>
      <c r="L42" s="637"/>
      <c r="M42" s="637"/>
      <c r="N42" s="637"/>
      <c r="O42" s="639"/>
      <c r="P42" s="639"/>
      <c r="Q42" s="639"/>
      <c r="R42" s="639"/>
    </row>
    <row r="43" spans="1:23" ht="15" customHeight="1" x14ac:dyDescent="0.25">
      <c r="B43" s="972"/>
      <c r="C43" s="973"/>
      <c r="D43" s="973"/>
      <c r="E43" s="973"/>
      <c r="F43" s="973"/>
      <c r="G43" s="973"/>
      <c r="H43" s="973"/>
      <c r="I43" s="973"/>
      <c r="J43" s="974"/>
      <c r="K43" s="637"/>
      <c r="L43" s="637"/>
      <c r="M43" s="637"/>
      <c r="N43" s="637"/>
      <c r="O43" s="639"/>
      <c r="P43" s="639"/>
      <c r="Q43" s="639"/>
      <c r="R43" s="639"/>
    </row>
    <row r="44" spans="1:23" ht="15" customHeight="1" x14ac:dyDescent="0.25">
      <c r="B44" s="972"/>
      <c r="C44" s="973"/>
      <c r="D44" s="973"/>
      <c r="E44" s="973"/>
      <c r="F44" s="973"/>
      <c r="G44" s="973"/>
      <c r="H44" s="973"/>
      <c r="I44" s="973"/>
      <c r="J44" s="974"/>
      <c r="K44" s="637"/>
      <c r="L44" s="637"/>
      <c r="M44" s="637"/>
      <c r="N44" s="637"/>
      <c r="O44" s="639"/>
      <c r="P44" s="639"/>
      <c r="Q44" s="639"/>
      <c r="R44" s="639"/>
    </row>
    <row r="45" spans="1:23" ht="15" customHeight="1" x14ac:dyDescent="0.25">
      <c r="B45" s="972"/>
      <c r="C45" s="973"/>
      <c r="D45" s="973"/>
      <c r="E45" s="973"/>
      <c r="F45" s="973"/>
      <c r="G45" s="973"/>
      <c r="H45" s="973"/>
      <c r="I45" s="973"/>
      <c r="J45" s="974"/>
      <c r="K45" s="637"/>
      <c r="L45" s="637"/>
      <c r="M45" s="637"/>
      <c r="N45" s="637"/>
      <c r="O45" s="639"/>
      <c r="P45" s="639"/>
      <c r="Q45" s="639"/>
      <c r="R45" s="639"/>
    </row>
    <row r="46" spans="1:23" ht="15" customHeight="1" x14ac:dyDescent="0.25">
      <c r="B46" s="972"/>
      <c r="C46" s="973"/>
      <c r="D46" s="973"/>
      <c r="E46" s="973"/>
      <c r="F46" s="973"/>
      <c r="G46" s="973"/>
      <c r="H46" s="973"/>
      <c r="I46" s="973"/>
      <c r="J46" s="974"/>
      <c r="K46" s="637"/>
      <c r="L46" s="637"/>
      <c r="M46" s="637"/>
      <c r="N46" s="637"/>
      <c r="O46" s="639"/>
      <c r="P46" s="639"/>
      <c r="Q46" s="639"/>
      <c r="R46" s="639"/>
    </row>
    <row r="47" spans="1:23" ht="15" customHeight="1" x14ac:dyDescent="0.25">
      <c r="B47" s="972"/>
      <c r="C47" s="973"/>
      <c r="D47" s="973"/>
      <c r="E47" s="973"/>
      <c r="F47" s="973"/>
      <c r="G47" s="973"/>
      <c r="H47" s="973"/>
      <c r="I47" s="973"/>
      <c r="J47" s="974"/>
      <c r="K47" s="637"/>
      <c r="L47" s="637"/>
      <c r="M47" s="637"/>
      <c r="N47" s="637"/>
      <c r="O47" s="639"/>
      <c r="P47" s="639"/>
      <c r="Q47" s="639"/>
      <c r="R47" s="639"/>
    </row>
    <row r="48" spans="1:23" ht="15" customHeight="1" x14ac:dyDescent="0.25">
      <c r="B48" s="972"/>
      <c r="C48" s="973"/>
      <c r="D48" s="973"/>
      <c r="E48" s="973"/>
      <c r="F48" s="973"/>
      <c r="G48" s="973"/>
      <c r="H48" s="973"/>
      <c r="I48" s="973"/>
      <c r="J48" s="974"/>
      <c r="K48" s="637"/>
      <c r="L48" s="637"/>
      <c r="M48" s="637"/>
      <c r="N48" s="637"/>
      <c r="O48" s="639"/>
      <c r="P48" s="639"/>
      <c r="Q48" s="639"/>
      <c r="R48" s="639"/>
    </row>
    <row r="49" spans="2:18" ht="15" customHeight="1" x14ac:dyDescent="0.25">
      <c r="B49" s="972"/>
      <c r="C49" s="973"/>
      <c r="D49" s="973"/>
      <c r="E49" s="973"/>
      <c r="F49" s="973"/>
      <c r="G49" s="973"/>
      <c r="H49" s="973"/>
      <c r="I49" s="973"/>
      <c r="J49" s="974"/>
      <c r="K49" s="637"/>
      <c r="L49" s="637"/>
      <c r="M49" s="637"/>
      <c r="N49" s="637"/>
      <c r="O49" s="639"/>
      <c r="P49" s="639"/>
      <c r="Q49" s="639"/>
      <c r="R49" s="639"/>
    </row>
    <row r="50" spans="2:18" ht="15" customHeight="1" x14ac:dyDescent="0.25">
      <c r="B50" s="972"/>
      <c r="C50" s="973"/>
      <c r="D50" s="973"/>
      <c r="E50" s="973"/>
      <c r="F50" s="973"/>
      <c r="G50" s="973"/>
      <c r="H50" s="973"/>
      <c r="I50" s="973"/>
      <c r="J50" s="974"/>
      <c r="K50" s="637"/>
      <c r="L50" s="637"/>
      <c r="M50" s="637"/>
      <c r="N50" s="637"/>
      <c r="O50" s="639"/>
      <c r="P50" s="639"/>
      <c r="Q50" s="639"/>
      <c r="R50" s="639"/>
    </row>
    <row r="51" spans="2:18" ht="15" customHeight="1" x14ac:dyDescent="0.25">
      <c r="B51" s="972"/>
      <c r="C51" s="973"/>
      <c r="D51" s="973"/>
      <c r="E51" s="973"/>
      <c r="F51" s="973"/>
      <c r="G51" s="973"/>
      <c r="H51" s="973"/>
      <c r="I51" s="973"/>
      <c r="J51" s="974"/>
      <c r="K51" s="637"/>
      <c r="L51" s="637"/>
      <c r="M51" s="637"/>
      <c r="N51" s="637"/>
      <c r="O51" s="639"/>
      <c r="P51" s="639"/>
      <c r="Q51" s="639"/>
      <c r="R51" s="639"/>
    </row>
    <row r="52" spans="2:18" ht="15" customHeight="1" x14ac:dyDescent="0.25">
      <c r="B52" s="975"/>
      <c r="C52" s="976"/>
      <c r="D52" s="976"/>
      <c r="E52" s="976"/>
      <c r="F52" s="976"/>
      <c r="G52" s="976"/>
      <c r="H52" s="976"/>
      <c r="I52" s="976"/>
      <c r="J52" s="977"/>
      <c r="K52" s="637"/>
      <c r="L52" s="637"/>
      <c r="M52" s="637"/>
      <c r="N52" s="637"/>
      <c r="O52" s="639"/>
      <c r="P52" s="639"/>
      <c r="Q52" s="639"/>
      <c r="R52" s="639"/>
    </row>
    <row r="53" spans="2:18" ht="15" customHeight="1" x14ac:dyDescent="0.25">
      <c r="B53" s="637"/>
      <c r="C53" s="637"/>
      <c r="D53" s="637"/>
      <c r="E53" s="637"/>
      <c r="F53" s="637"/>
      <c r="G53" s="637"/>
      <c r="H53" s="637"/>
      <c r="I53" s="637"/>
      <c r="J53" s="637"/>
      <c r="K53" s="637"/>
      <c r="L53" s="637"/>
      <c r="M53" s="637"/>
      <c r="N53" s="637"/>
      <c r="O53" s="639"/>
      <c r="P53" s="639"/>
      <c r="Q53" s="639"/>
      <c r="R53" s="639"/>
    </row>
    <row r="54" spans="2:18" ht="15" hidden="1" customHeight="1" x14ac:dyDescent="0.25">
      <c r="B54" s="637"/>
      <c r="C54" s="637"/>
      <c r="D54" s="637"/>
      <c r="E54" s="637"/>
      <c r="F54" s="637"/>
      <c r="G54" s="637"/>
      <c r="H54" s="637"/>
      <c r="I54" s="637"/>
      <c r="J54" s="637"/>
      <c r="K54" s="637"/>
      <c r="L54" s="637"/>
      <c r="M54" s="637"/>
      <c r="N54" s="637"/>
      <c r="O54" s="639"/>
      <c r="P54" s="639"/>
      <c r="Q54" s="639"/>
      <c r="R54" s="639"/>
    </row>
    <row r="55" spans="2:18" ht="15" hidden="1" customHeight="1" x14ac:dyDescent="0.25">
      <c r="B55" s="637"/>
      <c r="C55" s="637"/>
      <c r="D55" s="637"/>
      <c r="E55" s="637"/>
      <c r="F55" s="637"/>
      <c r="G55" s="637"/>
      <c r="H55" s="637"/>
      <c r="I55" s="637"/>
      <c r="J55" s="637"/>
      <c r="K55" s="637"/>
      <c r="L55" s="637"/>
      <c r="M55" s="637"/>
      <c r="N55" s="637"/>
      <c r="O55" s="639"/>
      <c r="P55" s="639"/>
      <c r="Q55" s="639"/>
      <c r="R55" s="639"/>
    </row>
    <row r="56" spans="2:18" ht="15" hidden="1" customHeight="1" x14ac:dyDescent="0.25">
      <c r="B56" s="637"/>
      <c r="C56" s="637"/>
      <c r="D56" s="637"/>
      <c r="E56" s="637"/>
      <c r="F56" s="637"/>
      <c r="G56" s="637"/>
      <c r="H56" s="637"/>
      <c r="I56" s="637"/>
      <c r="J56" s="637"/>
      <c r="K56" s="637"/>
      <c r="L56" s="637"/>
      <c r="M56" s="637"/>
      <c r="N56" s="637"/>
      <c r="O56" s="639"/>
      <c r="P56" s="639"/>
      <c r="Q56" s="639"/>
      <c r="R56" s="639"/>
    </row>
    <row r="57" spans="2:18" ht="15" hidden="1" customHeight="1" x14ac:dyDescent="0.25">
      <c r="B57" s="637"/>
      <c r="C57" s="637"/>
      <c r="D57" s="637"/>
      <c r="E57" s="637"/>
      <c r="F57" s="637"/>
      <c r="G57" s="637"/>
      <c r="H57" s="637"/>
      <c r="I57" s="637"/>
      <c r="J57" s="637"/>
      <c r="K57" s="637"/>
      <c r="L57" s="637"/>
      <c r="M57" s="637"/>
      <c r="N57" s="637"/>
      <c r="O57" s="639"/>
      <c r="P57" s="639"/>
      <c r="Q57" s="639"/>
      <c r="R57" s="639"/>
    </row>
    <row r="58" spans="2:18" ht="15" hidden="1" customHeight="1" x14ac:dyDescent="0.25">
      <c r="B58" s="637"/>
      <c r="C58" s="637"/>
      <c r="D58" s="637"/>
      <c r="E58" s="637"/>
      <c r="F58" s="637"/>
      <c r="G58" s="637"/>
      <c r="H58" s="637"/>
      <c r="I58" s="637"/>
      <c r="J58" s="637"/>
      <c r="K58" s="637"/>
      <c r="L58" s="637"/>
      <c r="M58" s="637"/>
      <c r="N58" s="637"/>
      <c r="O58" s="639"/>
      <c r="P58" s="639"/>
      <c r="Q58" s="639"/>
      <c r="R58" s="639"/>
    </row>
    <row r="59" spans="2:18" ht="15" hidden="1" customHeight="1" x14ac:dyDescent="0.25">
      <c r="B59" s="637"/>
      <c r="C59" s="637"/>
      <c r="D59" s="637"/>
      <c r="E59" s="637"/>
      <c r="F59" s="637"/>
      <c r="G59" s="637"/>
      <c r="H59" s="637"/>
      <c r="I59" s="637"/>
      <c r="J59" s="637"/>
      <c r="K59" s="637"/>
      <c r="L59" s="637"/>
      <c r="M59" s="637"/>
      <c r="N59" s="637"/>
      <c r="O59" s="639"/>
      <c r="P59" s="639"/>
      <c r="Q59" s="639"/>
      <c r="R59" s="639"/>
    </row>
    <row r="60" spans="2:18" ht="15" hidden="1" customHeight="1" x14ac:dyDescent="0.25">
      <c r="B60" s="637"/>
      <c r="C60" s="637"/>
      <c r="D60" s="637"/>
      <c r="E60" s="637"/>
      <c r="F60" s="637"/>
      <c r="G60" s="637"/>
      <c r="H60" s="637"/>
      <c r="I60" s="637"/>
      <c r="J60" s="637"/>
      <c r="K60" s="637"/>
      <c r="L60" s="637"/>
      <c r="M60" s="637"/>
      <c r="N60" s="637"/>
      <c r="O60" s="639"/>
      <c r="P60" s="639"/>
      <c r="Q60" s="639"/>
      <c r="R60" s="639"/>
    </row>
    <row r="61" spans="2:18" ht="15" hidden="1" customHeight="1" x14ac:dyDescent="0.25">
      <c r="B61" s="637"/>
      <c r="C61" s="637"/>
      <c r="D61" s="637"/>
      <c r="E61" s="637"/>
      <c r="F61" s="637"/>
      <c r="G61" s="637"/>
      <c r="H61" s="637"/>
      <c r="I61" s="637"/>
      <c r="J61" s="637"/>
      <c r="K61" s="637"/>
      <c r="L61" s="637"/>
      <c r="M61" s="637"/>
      <c r="N61" s="637"/>
      <c r="O61" s="639"/>
      <c r="P61" s="639"/>
      <c r="Q61" s="639"/>
      <c r="R61" s="639"/>
    </row>
    <row r="62" spans="2:18" ht="15" hidden="1" customHeight="1" x14ac:dyDescent="0.25">
      <c r="B62" s="637"/>
      <c r="C62" s="637"/>
      <c r="D62" s="637"/>
      <c r="E62" s="637"/>
      <c r="F62" s="637"/>
      <c r="G62" s="637"/>
      <c r="H62" s="637"/>
      <c r="I62" s="637"/>
      <c r="J62" s="637"/>
      <c r="K62" s="637"/>
      <c r="L62" s="637"/>
      <c r="M62" s="637"/>
      <c r="N62" s="637"/>
      <c r="O62" s="639"/>
      <c r="P62" s="639"/>
      <c r="Q62" s="639"/>
      <c r="R62" s="639"/>
    </row>
    <row r="63" spans="2:18" ht="15" hidden="1" customHeight="1" x14ac:dyDescent="0.25">
      <c r="B63" s="637"/>
      <c r="C63" s="637"/>
      <c r="D63" s="637"/>
      <c r="E63" s="637"/>
      <c r="F63" s="637"/>
      <c r="G63" s="637"/>
      <c r="H63" s="637"/>
      <c r="I63" s="637"/>
      <c r="J63" s="637"/>
      <c r="K63" s="637"/>
      <c r="L63" s="637"/>
      <c r="M63" s="637"/>
      <c r="N63" s="637"/>
      <c r="O63" s="639"/>
      <c r="P63" s="639"/>
      <c r="Q63" s="639"/>
      <c r="R63" s="639"/>
    </row>
    <row r="64" spans="2:18" ht="15" hidden="1" customHeight="1" x14ac:dyDescent="0.25">
      <c r="B64" s="637"/>
      <c r="C64" s="637"/>
      <c r="D64" s="637"/>
      <c r="E64" s="637"/>
      <c r="F64" s="637"/>
      <c r="G64" s="637"/>
      <c r="H64" s="637"/>
      <c r="I64" s="637"/>
      <c r="J64" s="637"/>
      <c r="K64" s="637"/>
      <c r="L64" s="637"/>
      <c r="M64" s="637"/>
      <c r="N64" s="637"/>
      <c r="O64" s="639"/>
      <c r="P64" s="639"/>
      <c r="Q64" s="639"/>
      <c r="R64" s="639"/>
    </row>
    <row r="65" spans="2:18" ht="15" hidden="1" customHeight="1" x14ac:dyDescent="0.25">
      <c r="B65" s="637"/>
      <c r="C65" s="637"/>
      <c r="D65" s="637"/>
      <c r="E65" s="637"/>
      <c r="F65" s="637"/>
      <c r="G65" s="637"/>
      <c r="H65" s="637"/>
      <c r="I65" s="637"/>
      <c r="J65" s="637"/>
      <c r="K65" s="637"/>
      <c r="L65" s="637"/>
      <c r="M65" s="637"/>
      <c r="N65" s="637"/>
      <c r="O65" s="639"/>
      <c r="P65" s="639"/>
      <c r="Q65" s="639"/>
      <c r="R65" s="639"/>
    </row>
    <row r="66" spans="2:18" ht="15" hidden="1" customHeight="1" x14ac:dyDescent="0.25">
      <c r="B66" s="637"/>
      <c r="C66" s="637"/>
      <c r="D66" s="637"/>
      <c r="E66" s="637"/>
      <c r="F66" s="637"/>
      <c r="G66" s="637"/>
      <c r="H66" s="637"/>
      <c r="I66" s="637"/>
      <c r="J66" s="637"/>
      <c r="K66" s="637"/>
      <c r="L66" s="637"/>
      <c r="M66" s="637"/>
      <c r="N66" s="637"/>
      <c r="O66" s="639"/>
      <c r="P66" s="639"/>
      <c r="Q66" s="639"/>
      <c r="R66" s="639"/>
    </row>
    <row r="67" spans="2:18" ht="15" hidden="1" customHeight="1" x14ac:dyDescent="0.25">
      <c r="B67" s="637"/>
      <c r="C67" s="637"/>
      <c r="D67" s="637"/>
      <c r="E67" s="637"/>
      <c r="F67" s="637"/>
      <c r="G67" s="637"/>
      <c r="H67" s="637"/>
      <c r="I67" s="637"/>
      <c r="J67" s="637"/>
      <c r="K67" s="637"/>
      <c r="L67" s="637"/>
      <c r="M67" s="637"/>
      <c r="N67" s="637"/>
      <c r="O67" s="639"/>
      <c r="P67" s="639"/>
      <c r="Q67" s="639"/>
      <c r="R67" s="639"/>
    </row>
    <row r="68" spans="2:18" ht="15" hidden="1" customHeight="1" x14ac:dyDescent="0.25">
      <c r="B68" s="637"/>
      <c r="C68" s="637"/>
      <c r="D68" s="637"/>
      <c r="E68" s="637"/>
      <c r="F68" s="637"/>
      <c r="G68" s="637"/>
      <c r="H68" s="637"/>
      <c r="I68" s="637"/>
      <c r="J68" s="637"/>
      <c r="K68" s="637"/>
      <c r="L68" s="637"/>
      <c r="M68" s="637"/>
      <c r="N68" s="637"/>
      <c r="O68" s="639"/>
      <c r="P68" s="639"/>
      <c r="Q68" s="639"/>
      <c r="R68" s="639"/>
    </row>
    <row r="69" spans="2:18" ht="15" hidden="1" customHeight="1" x14ac:dyDescent="0.25">
      <c r="B69" s="637"/>
      <c r="C69" s="637"/>
      <c r="D69" s="637"/>
      <c r="E69" s="637"/>
      <c r="F69" s="637"/>
      <c r="G69" s="637"/>
      <c r="H69" s="637"/>
      <c r="I69" s="637"/>
      <c r="J69" s="637"/>
      <c r="K69" s="637"/>
      <c r="L69" s="637"/>
      <c r="M69" s="637"/>
      <c r="N69" s="637"/>
      <c r="O69" s="639"/>
      <c r="P69" s="639"/>
      <c r="Q69" s="639"/>
      <c r="R69" s="639"/>
    </row>
    <row r="70" spans="2:18" ht="15" hidden="1" customHeight="1" x14ac:dyDescent="0.25">
      <c r="B70" s="637"/>
      <c r="C70" s="637"/>
      <c r="D70" s="637"/>
      <c r="E70" s="637"/>
      <c r="F70" s="637"/>
      <c r="G70" s="637"/>
      <c r="H70" s="637"/>
      <c r="I70" s="637"/>
      <c r="J70" s="637"/>
      <c r="K70" s="637"/>
      <c r="L70" s="637"/>
      <c r="M70" s="637"/>
      <c r="N70" s="637"/>
      <c r="O70" s="639"/>
      <c r="P70" s="639"/>
      <c r="Q70" s="639"/>
      <c r="R70" s="639"/>
    </row>
    <row r="71" spans="2:18" ht="15" hidden="1" customHeight="1" x14ac:dyDescent="0.25">
      <c r="B71" s="637"/>
      <c r="C71" s="637"/>
      <c r="D71" s="637"/>
      <c r="E71" s="637"/>
      <c r="F71" s="637"/>
      <c r="G71" s="637"/>
      <c r="H71" s="637"/>
      <c r="I71" s="637"/>
      <c r="J71" s="637"/>
      <c r="K71" s="637"/>
      <c r="L71" s="637"/>
      <c r="M71" s="637"/>
      <c r="N71" s="637"/>
      <c r="O71" s="639"/>
      <c r="P71" s="639"/>
      <c r="Q71" s="639"/>
      <c r="R71" s="639"/>
    </row>
    <row r="72" spans="2:18" ht="15" hidden="1" customHeight="1" x14ac:dyDescent="0.25">
      <c r="B72" s="637"/>
      <c r="C72" s="637"/>
      <c r="D72" s="637"/>
      <c r="E72" s="637"/>
      <c r="F72" s="637"/>
      <c r="G72" s="637"/>
      <c r="H72" s="637"/>
      <c r="I72" s="637"/>
      <c r="J72" s="637"/>
      <c r="K72" s="637"/>
      <c r="L72" s="637"/>
      <c r="M72" s="637"/>
      <c r="N72" s="637"/>
      <c r="O72" s="639"/>
      <c r="P72" s="639"/>
      <c r="Q72" s="639"/>
      <c r="R72" s="639"/>
    </row>
    <row r="73" spans="2:18" ht="15" hidden="1" customHeight="1" x14ac:dyDescent="0.25">
      <c r="B73" s="637"/>
      <c r="C73" s="637"/>
      <c r="D73" s="637"/>
      <c r="E73" s="637"/>
      <c r="F73" s="637"/>
      <c r="G73" s="637"/>
      <c r="H73" s="637"/>
      <c r="I73" s="637"/>
      <c r="J73" s="637"/>
      <c r="K73" s="637"/>
      <c r="L73" s="637"/>
      <c r="M73" s="637"/>
      <c r="N73" s="637"/>
      <c r="O73" s="639"/>
      <c r="P73" s="639"/>
      <c r="Q73" s="639"/>
      <c r="R73" s="639"/>
    </row>
    <row r="74" spans="2:18" ht="15" hidden="1" customHeight="1" x14ac:dyDescent="0.25">
      <c r="B74" s="637"/>
      <c r="C74" s="637"/>
      <c r="D74" s="637"/>
      <c r="E74" s="637"/>
      <c r="F74" s="637"/>
      <c r="G74" s="637"/>
      <c r="H74" s="637"/>
      <c r="I74" s="637"/>
      <c r="J74" s="637"/>
      <c r="K74" s="637"/>
      <c r="L74" s="637"/>
      <c r="M74" s="637"/>
      <c r="N74" s="637"/>
      <c r="O74" s="639"/>
      <c r="P74" s="639"/>
      <c r="Q74" s="639"/>
      <c r="R74" s="639"/>
    </row>
    <row r="75" spans="2:18" ht="15" hidden="1" customHeight="1" x14ac:dyDescent="0.25">
      <c r="B75" s="637"/>
      <c r="C75" s="637"/>
      <c r="D75" s="637"/>
      <c r="E75" s="637"/>
      <c r="F75" s="637"/>
      <c r="G75" s="637"/>
      <c r="H75" s="637"/>
      <c r="I75" s="637"/>
      <c r="J75" s="637"/>
      <c r="K75" s="637"/>
      <c r="L75" s="637"/>
      <c r="M75" s="637"/>
      <c r="N75" s="637"/>
      <c r="O75" s="639"/>
      <c r="P75" s="639"/>
      <c r="Q75" s="639"/>
      <c r="R75" s="639"/>
    </row>
    <row r="76" spans="2:18" ht="15" hidden="1" customHeight="1" x14ac:dyDescent="0.25">
      <c r="B76" s="637"/>
      <c r="C76" s="637"/>
      <c r="D76" s="637"/>
      <c r="E76" s="637"/>
      <c r="F76" s="637"/>
      <c r="G76" s="637"/>
      <c r="H76" s="637"/>
      <c r="I76" s="637"/>
      <c r="J76" s="637"/>
      <c r="K76" s="637"/>
      <c r="L76" s="637"/>
      <c r="M76" s="637"/>
      <c r="N76" s="637"/>
      <c r="O76" s="639"/>
      <c r="P76" s="639"/>
      <c r="Q76" s="639"/>
      <c r="R76" s="639"/>
    </row>
    <row r="77" spans="2:18" ht="15" hidden="1" customHeight="1" x14ac:dyDescent="0.25">
      <c r="B77" s="637"/>
      <c r="C77" s="637"/>
      <c r="D77" s="637"/>
      <c r="E77" s="637"/>
      <c r="F77" s="637"/>
      <c r="G77" s="637"/>
      <c r="H77" s="637"/>
      <c r="I77" s="637"/>
      <c r="J77" s="637"/>
      <c r="K77" s="637"/>
      <c r="L77" s="637"/>
      <c r="M77" s="637"/>
      <c r="N77" s="637"/>
      <c r="O77" s="639"/>
      <c r="P77" s="639"/>
      <c r="Q77" s="639"/>
      <c r="R77" s="639"/>
    </row>
    <row r="78" spans="2:18" ht="15" hidden="1" customHeight="1" x14ac:dyDescent="0.25">
      <c r="B78" s="637"/>
      <c r="C78" s="637"/>
      <c r="D78" s="637"/>
      <c r="E78" s="637"/>
      <c r="F78" s="637"/>
      <c r="G78" s="637"/>
      <c r="H78" s="637"/>
      <c r="I78" s="637"/>
      <c r="J78" s="637"/>
      <c r="K78" s="637"/>
      <c r="L78" s="637"/>
      <c r="M78" s="637"/>
      <c r="N78" s="637"/>
      <c r="O78" s="639"/>
      <c r="P78" s="639"/>
      <c r="Q78" s="639"/>
      <c r="R78" s="639"/>
    </row>
    <row r="79" spans="2:18" ht="15" hidden="1" customHeight="1" x14ac:dyDescent="0.25">
      <c r="B79" s="637"/>
      <c r="C79" s="637"/>
      <c r="D79" s="637"/>
      <c r="E79" s="637"/>
      <c r="F79" s="637"/>
      <c r="G79" s="637"/>
      <c r="H79" s="637"/>
      <c r="I79" s="637"/>
      <c r="J79" s="637"/>
      <c r="K79" s="637"/>
      <c r="L79" s="637"/>
      <c r="M79" s="637"/>
      <c r="N79" s="637"/>
      <c r="O79" s="639"/>
      <c r="P79" s="639"/>
      <c r="Q79" s="639"/>
      <c r="R79" s="639"/>
    </row>
    <row r="80" spans="2:18" ht="15" hidden="1" customHeight="1" x14ac:dyDescent="0.25">
      <c r="B80" s="637"/>
      <c r="C80" s="637"/>
      <c r="D80" s="637"/>
      <c r="E80" s="637"/>
      <c r="F80" s="637"/>
      <c r="G80" s="637"/>
      <c r="H80" s="637"/>
      <c r="I80" s="637"/>
      <c r="J80" s="637"/>
      <c r="K80" s="637"/>
      <c r="L80" s="637"/>
      <c r="M80" s="637"/>
      <c r="N80" s="637"/>
      <c r="O80" s="639"/>
      <c r="P80" s="639"/>
      <c r="Q80" s="639"/>
      <c r="R80" s="639"/>
    </row>
    <row r="81" spans="2:18" ht="15" hidden="1" customHeight="1" x14ac:dyDescent="0.25">
      <c r="B81" s="637"/>
      <c r="C81" s="637"/>
      <c r="D81" s="637"/>
      <c r="E81" s="637"/>
      <c r="F81" s="637"/>
      <c r="G81" s="637"/>
      <c r="H81" s="637"/>
      <c r="I81" s="637"/>
      <c r="J81" s="637"/>
      <c r="K81" s="637"/>
      <c r="L81" s="637"/>
      <c r="M81" s="637"/>
      <c r="N81" s="637"/>
      <c r="O81" s="639"/>
      <c r="P81" s="639"/>
      <c r="Q81" s="639"/>
      <c r="R81" s="639"/>
    </row>
    <row r="82" spans="2:18" ht="15" hidden="1" customHeight="1" x14ac:dyDescent="0.25">
      <c r="B82" s="637"/>
      <c r="C82" s="637"/>
      <c r="D82" s="637"/>
      <c r="E82" s="637"/>
      <c r="F82" s="637"/>
      <c r="G82" s="637"/>
      <c r="H82" s="637"/>
      <c r="I82" s="637"/>
      <c r="J82" s="637"/>
      <c r="K82" s="637"/>
      <c r="L82" s="637"/>
      <c r="M82" s="637"/>
      <c r="N82" s="637"/>
      <c r="O82" s="639"/>
      <c r="P82" s="639"/>
      <c r="Q82" s="639"/>
      <c r="R82" s="639"/>
    </row>
    <row r="83" spans="2:18" ht="15" hidden="1" customHeight="1" x14ac:dyDescent="0.25">
      <c r="B83" s="637"/>
      <c r="C83" s="637"/>
      <c r="D83" s="637"/>
      <c r="E83" s="637"/>
      <c r="F83" s="637"/>
      <c r="G83" s="637"/>
      <c r="H83" s="637"/>
      <c r="I83" s="637"/>
      <c r="J83" s="637"/>
      <c r="K83" s="637"/>
      <c r="L83" s="637"/>
      <c r="M83" s="637"/>
      <c r="N83" s="637"/>
      <c r="O83" s="639"/>
      <c r="P83" s="639"/>
      <c r="Q83" s="639"/>
      <c r="R83" s="639"/>
    </row>
    <row r="84" spans="2:18" ht="15" hidden="1" customHeight="1" x14ac:dyDescent="0.25">
      <c r="B84" s="637"/>
      <c r="C84" s="637"/>
      <c r="D84" s="637"/>
      <c r="E84" s="637"/>
      <c r="F84" s="637"/>
      <c r="G84" s="637"/>
      <c r="H84" s="637"/>
      <c r="I84" s="637"/>
      <c r="J84" s="637"/>
      <c r="K84" s="637"/>
      <c r="L84" s="637"/>
      <c r="M84" s="637"/>
      <c r="N84" s="637"/>
      <c r="O84" s="639"/>
      <c r="P84" s="639"/>
      <c r="Q84" s="639"/>
      <c r="R84" s="639"/>
    </row>
    <row r="85" spans="2:18" ht="15" hidden="1" customHeight="1" x14ac:dyDescent="0.25">
      <c r="B85" s="637"/>
      <c r="C85" s="637"/>
      <c r="D85" s="637"/>
      <c r="E85" s="637"/>
      <c r="F85" s="637"/>
      <c r="G85" s="637"/>
      <c r="H85" s="637"/>
      <c r="I85" s="637"/>
      <c r="J85" s="637"/>
      <c r="K85" s="637"/>
      <c r="L85" s="637"/>
      <c r="M85" s="637"/>
      <c r="N85" s="637"/>
      <c r="O85" s="639"/>
      <c r="P85" s="639"/>
      <c r="Q85" s="639"/>
      <c r="R85" s="639"/>
    </row>
    <row r="86" spans="2:18" ht="15" hidden="1" customHeight="1" x14ac:dyDescent="0.25">
      <c r="B86" s="637"/>
      <c r="C86" s="637"/>
      <c r="D86" s="637"/>
      <c r="E86" s="637"/>
      <c r="F86" s="637"/>
      <c r="G86" s="637"/>
      <c r="H86" s="637"/>
      <c r="I86" s="637"/>
      <c r="J86" s="637"/>
      <c r="K86" s="637"/>
      <c r="L86" s="637"/>
      <c r="M86" s="637"/>
      <c r="N86" s="637"/>
      <c r="O86" s="639"/>
      <c r="P86" s="639"/>
      <c r="Q86" s="639"/>
      <c r="R86" s="639"/>
    </row>
    <row r="87" spans="2:18" ht="15" hidden="1" customHeight="1" x14ac:dyDescent="0.25">
      <c r="B87" s="637"/>
      <c r="C87" s="637"/>
      <c r="D87" s="637"/>
      <c r="E87" s="637"/>
      <c r="F87" s="637"/>
      <c r="G87" s="637"/>
      <c r="H87" s="637"/>
      <c r="I87" s="637"/>
      <c r="J87" s="637"/>
      <c r="K87" s="637"/>
      <c r="L87" s="637"/>
      <c r="M87" s="637"/>
      <c r="N87" s="637"/>
      <c r="O87" s="639"/>
      <c r="P87" s="639"/>
      <c r="Q87" s="639"/>
      <c r="R87" s="639"/>
    </row>
    <row r="88" spans="2:18" hidden="1" x14ac:dyDescent="0.25">
      <c r="B88" s="637"/>
      <c r="C88" s="637"/>
      <c r="D88" s="637"/>
      <c r="E88" s="637"/>
      <c r="F88" s="637"/>
      <c r="G88" s="637"/>
      <c r="H88" s="637"/>
      <c r="I88" s="637"/>
      <c r="J88" s="637"/>
      <c r="K88" s="637"/>
      <c r="L88" s="637"/>
      <c r="M88" s="637"/>
      <c r="N88" s="637"/>
      <c r="O88" s="639"/>
      <c r="P88" s="639"/>
      <c r="Q88" s="639"/>
      <c r="R88" s="639"/>
    </row>
    <row r="89" spans="2:18" hidden="1" x14ac:dyDescent="0.25">
      <c r="B89" s="637"/>
      <c r="C89" s="637"/>
      <c r="D89" s="637"/>
      <c r="E89" s="637"/>
      <c r="F89" s="637"/>
      <c r="G89" s="637"/>
      <c r="H89" s="637"/>
      <c r="I89" s="637"/>
      <c r="J89" s="637"/>
      <c r="K89" s="637"/>
      <c r="L89" s="637"/>
      <c r="M89" s="637"/>
      <c r="N89" s="637"/>
    </row>
    <row r="90" spans="2:18" hidden="1" x14ac:dyDescent="0.25">
      <c r="B90" s="637"/>
      <c r="C90" s="637"/>
      <c r="D90" s="637"/>
      <c r="E90" s="637"/>
      <c r="F90" s="637"/>
      <c r="G90" s="637"/>
      <c r="H90" s="637"/>
      <c r="I90" s="637"/>
      <c r="J90" s="637"/>
      <c r="K90" s="637"/>
      <c r="L90" s="637"/>
      <c r="M90" s="637"/>
      <c r="N90" s="637"/>
    </row>
    <row r="91" spans="2:18" hidden="1" x14ac:dyDescent="0.25">
      <c r="B91" s="637"/>
      <c r="C91" s="637"/>
      <c r="D91" s="637"/>
      <c r="E91" s="637"/>
      <c r="F91" s="637"/>
      <c r="G91" s="637"/>
      <c r="H91" s="637"/>
      <c r="I91" s="637"/>
      <c r="J91" s="637"/>
      <c r="K91" s="637"/>
      <c r="L91" s="637"/>
      <c r="M91" s="637"/>
      <c r="N91" s="637"/>
    </row>
    <row r="92" spans="2:18" hidden="1" x14ac:dyDescent="0.25">
      <c r="B92" s="637"/>
      <c r="C92" s="637"/>
      <c r="D92" s="637"/>
      <c r="E92" s="637"/>
      <c r="F92" s="637"/>
      <c r="G92" s="637"/>
      <c r="H92" s="637"/>
      <c r="I92" s="637"/>
      <c r="J92" s="637"/>
      <c r="K92" s="637"/>
      <c r="L92" s="637"/>
      <c r="M92" s="637"/>
      <c r="N92" s="637"/>
    </row>
    <row r="93" spans="2:18" hidden="1" x14ac:dyDescent="0.25">
      <c r="B93" s="637"/>
      <c r="C93" s="637"/>
      <c r="D93" s="637"/>
      <c r="E93" s="637"/>
      <c r="F93" s="637"/>
      <c r="G93" s="637"/>
      <c r="H93" s="637"/>
      <c r="I93" s="637"/>
      <c r="J93" s="637"/>
      <c r="K93" s="637"/>
      <c r="L93" s="637"/>
      <c r="M93" s="637"/>
      <c r="N93" s="637"/>
    </row>
    <row r="94" spans="2:18" hidden="1" x14ac:dyDescent="0.25">
      <c r="B94" s="637"/>
      <c r="C94" s="637"/>
      <c r="D94" s="637"/>
      <c r="E94" s="637"/>
      <c r="F94" s="637"/>
      <c r="G94" s="637"/>
      <c r="H94" s="637"/>
      <c r="I94" s="637"/>
      <c r="J94" s="637"/>
      <c r="K94" s="637"/>
      <c r="L94" s="637"/>
      <c r="M94" s="637"/>
      <c r="N94" s="637"/>
    </row>
    <row r="95" spans="2:18" hidden="1" x14ac:dyDescent="0.25">
      <c r="B95" s="637"/>
      <c r="C95" s="637"/>
      <c r="D95" s="637"/>
      <c r="E95" s="637"/>
      <c r="F95" s="637"/>
      <c r="G95" s="637"/>
      <c r="H95" s="637"/>
      <c r="I95" s="637"/>
      <c r="J95" s="637"/>
      <c r="K95" s="637"/>
      <c r="L95" s="637"/>
      <c r="M95" s="637"/>
      <c r="N95" s="637"/>
    </row>
    <row r="96" spans="2:18" hidden="1" x14ac:dyDescent="0.25">
      <c r="B96" s="637"/>
      <c r="C96" s="637"/>
      <c r="D96" s="637"/>
      <c r="E96" s="637"/>
      <c r="F96" s="637"/>
      <c r="G96" s="637"/>
      <c r="H96" s="637"/>
      <c r="I96" s="637"/>
      <c r="J96" s="637"/>
      <c r="K96" s="637"/>
      <c r="L96" s="637"/>
      <c r="M96" s="637"/>
      <c r="N96" s="637"/>
    </row>
    <row r="97" spans="2:14" hidden="1" x14ac:dyDescent="0.25">
      <c r="B97" s="637"/>
      <c r="C97" s="637"/>
      <c r="D97" s="637"/>
      <c r="E97" s="637"/>
      <c r="F97" s="637"/>
      <c r="G97" s="637"/>
      <c r="H97" s="637"/>
      <c r="I97" s="637"/>
      <c r="J97" s="637"/>
      <c r="K97" s="637"/>
      <c r="L97" s="637"/>
      <c r="M97" s="637"/>
      <c r="N97" s="637"/>
    </row>
    <row r="98" spans="2:14" hidden="1" x14ac:dyDescent="0.25">
      <c r="B98" s="637"/>
      <c r="C98" s="637"/>
      <c r="D98" s="637"/>
      <c r="E98" s="637"/>
      <c r="F98" s="637"/>
      <c r="G98" s="637"/>
      <c r="H98" s="637"/>
      <c r="I98" s="637"/>
      <c r="J98" s="637"/>
      <c r="K98" s="637"/>
      <c r="L98" s="637"/>
      <c r="M98" s="637"/>
      <c r="N98" s="637"/>
    </row>
    <row r="99" spans="2:14" hidden="1" x14ac:dyDescent="0.25">
      <c r="B99" s="637"/>
      <c r="C99" s="637"/>
      <c r="D99" s="637"/>
      <c r="E99" s="637"/>
      <c r="F99" s="637"/>
      <c r="G99" s="637"/>
      <c r="H99" s="637"/>
      <c r="I99" s="637"/>
      <c r="J99" s="637"/>
      <c r="K99" s="637"/>
      <c r="L99" s="637"/>
      <c r="M99" s="637"/>
      <c r="N99" s="637"/>
    </row>
    <row r="100" spans="2:14" hidden="1" x14ac:dyDescent="0.25">
      <c r="B100" s="637"/>
      <c r="C100" s="637"/>
      <c r="D100" s="637"/>
      <c r="E100" s="637"/>
      <c r="F100" s="637"/>
      <c r="G100" s="637"/>
      <c r="H100" s="637"/>
      <c r="I100" s="637"/>
      <c r="J100" s="637"/>
      <c r="K100" s="637"/>
      <c r="L100" s="637"/>
      <c r="M100" s="637"/>
      <c r="N100" s="637"/>
    </row>
    <row r="101" spans="2:14" hidden="1" x14ac:dyDescent="0.25">
      <c r="B101" s="637"/>
      <c r="C101" s="637"/>
      <c r="D101" s="637"/>
      <c r="E101" s="637"/>
      <c r="F101" s="637"/>
      <c r="G101" s="637"/>
      <c r="H101" s="637"/>
      <c r="I101" s="637"/>
      <c r="J101" s="637"/>
      <c r="K101" s="637"/>
      <c r="L101" s="637"/>
      <c r="M101" s="637"/>
      <c r="N101" s="637"/>
    </row>
    <row r="102" spans="2:14" ht="15" hidden="1" customHeight="1" x14ac:dyDescent="0.25">
      <c r="B102" s="637"/>
      <c r="C102" s="637"/>
      <c r="D102" s="637"/>
      <c r="E102" s="637"/>
      <c r="F102" s="637"/>
      <c r="G102" s="637"/>
      <c r="H102" s="637"/>
      <c r="I102" s="637"/>
      <c r="J102" s="637"/>
      <c r="K102" s="637"/>
      <c r="L102" s="637"/>
      <c r="M102" s="637"/>
      <c r="N102" s="637"/>
    </row>
    <row r="103" spans="2:14" ht="15" hidden="1" customHeight="1" x14ac:dyDescent="0.25"/>
    <row r="104" spans="2:14" ht="15" hidden="1" customHeight="1" x14ac:dyDescent="0.25"/>
    <row r="105" spans="2:14" ht="15" hidden="1" customHeight="1" x14ac:dyDescent="0.25"/>
    <row r="106" spans="2:14" ht="15" hidden="1" customHeight="1" x14ac:dyDescent="0.25"/>
  </sheetData>
  <sheetProtection algorithmName="SHA-512" hashValue="88pjy9JW6ALQc3IjDLb8yRiUtzsTJMKzU6BtvvqBOWBNL9BDzlW3EnFt8Oa9B0Zx9DopRYCc3EcN2kj6Py68Eg==" saltValue="ow9Yb1szwhAMYNNlCm9tog==" spinCount="100000" sheet="1" formatRows="0"/>
  <mergeCells count="31">
    <mergeCell ref="A10:C10"/>
    <mergeCell ref="B21:K23"/>
    <mergeCell ref="A31:C31"/>
    <mergeCell ref="A32:C32"/>
    <mergeCell ref="A33:C33"/>
    <mergeCell ref="A11:C11"/>
    <mergeCell ref="A12:C12"/>
    <mergeCell ref="K12:N12"/>
    <mergeCell ref="D25:J25"/>
    <mergeCell ref="B39:J52"/>
    <mergeCell ref="I26:I27"/>
    <mergeCell ref="J26:J27"/>
    <mergeCell ref="A28:C28"/>
    <mergeCell ref="A29:C29"/>
    <mergeCell ref="A30:C30"/>
    <mergeCell ref="A34:C34"/>
    <mergeCell ref="A26:C27"/>
    <mergeCell ref="D26:D27"/>
    <mergeCell ref="E26:E27"/>
    <mergeCell ref="F26:F27"/>
    <mergeCell ref="G26:G27"/>
    <mergeCell ref="H26:H27"/>
    <mergeCell ref="A35:C35"/>
    <mergeCell ref="A36:C36"/>
    <mergeCell ref="A37:C37"/>
    <mergeCell ref="A2:J2"/>
    <mergeCell ref="A6:C6"/>
    <mergeCell ref="A7:C7"/>
    <mergeCell ref="A8:C8"/>
    <mergeCell ref="A9:C9"/>
    <mergeCell ref="A3:J3"/>
  </mergeCells>
  <dataValidations count="2">
    <dataValidation type="decimal" allowBlank="1" showInputMessage="1" showErrorMessage="1" error="bitte Stundenzahl eingeben!" sqref="D65566:J65572 IZ65566:JF65572 SV65566:TB65572 ACR65566:ACX65572 AMN65566:AMT65572 AWJ65566:AWP65572 BGF65566:BGL65572 BQB65566:BQH65572 BZX65566:CAD65572 CJT65566:CJZ65572 CTP65566:CTV65572 DDL65566:DDR65572 DNH65566:DNN65572 DXD65566:DXJ65572 EGZ65566:EHF65572 EQV65566:ERB65572 FAR65566:FAX65572 FKN65566:FKT65572 FUJ65566:FUP65572 GEF65566:GEL65572 GOB65566:GOH65572 GXX65566:GYD65572 HHT65566:HHZ65572 HRP65566:HRV65572 IBL65566:IBR65572 ILH65566:ILN65572 IVD65566:IVJ65572 JEZ65566:JFF65572 JOV65566:JPB65572 JYR65566:JYX65572 KIN65566:KIT65572 KSJ65566:KSP65572 LCF65566:LCL65572 LMB65566:LMH65572 LVX65566:LWD65572 MFT65566:MFZ65572 MPP65566:MPV65572 MZL65566:MZR65572 NJH65566:NJN65572 NTD65566:NTJ65572 OCZ65566:ODF65572 OMV65566:ONB65572 OWR65566:OWX65572 PGN65566:PGT65572 PQJ65566:PQP65572 QAF65566:QAL65572 QKB65566:QKH65572 QTX65566:QUD65572 RDT65566:RDZ65572 RNP65566:RNV65572 RXL65566:RXR65572 SHH65566:SHN65572 SRD65566:SRJ65572 TAZ65566:TBF65572 TKV65566:TLB65572 TUR65566:TUX65572 UEN65566:UET65572 UOJ65566:UOP65572 UYF65566:UYL65572 VIB65566:VIH65572 VRX65566:VSD65572 WBT65566:WBZ65572 WLP65566:WLV65572 WVL65566:WVR65572 D131102:J131108 IZ131102:JF131108 SV131102:TB131108 ACR131102:ACX131108 AMN131102:AMT131108 AWJ131102:AWP131108 BGF131102:BGL131108 BQB131102:BQH131108 BZX131102:CAD131108 CJT131102:CJZ131108 CTP131102:CTV131108 DDL131102:DDR131108 DNH131102:DNN131108 DXD131102:DXJ131108 EGZ131102:EHF131108 EQV131102:ERB131108 FAR131102:FAX131108 FKN131102:FKT131108 FUJ131102:FUP131108 GEF131102:GEL131108 GOB131102:GOH131108 GXX131102:GYD131108 HHT131102:HHZ131108 HRP131102:HRV131108 IBL131102:IBR131108 ILH131102:ILN131108 IVD131102:IVJ131108 JEZ131102:JFF131108 JOV131102:JPB131108 JYR131102:JYX131108 KIN131102:KIT131108 KSJ131102:KSP131108 LCF131102:LCL131108 LMB131102:LMH131108 LVX131102:LWD131108 MFT131102:MFZ131108 MPP131102:MPV131108 MZL131102:MZR131108 NJH131102:NJN131108 NTD131102:NTJ131108 OCZ131102:ODF131108 OMV131102:ONB131108 OWR131102:OWX131108 PGN131102:PGT131108 PQJ131102:PQP131108 QAF131102:QAL131108 QKB131102:QKH131108 QTX131102:QUD131108 RDT131102:RDZ131108 RNP131102:RNV131108 RXL131102:RXR131108 SHH131102:SHN131108 SRD131102:SRJ131108 TAZ131102:TBF131108 TKV131102:TLB131108 TUR131102:TUX131108 UEN131102:UET131108 UOJ131102:UOP131108 UYF131102:UYL131108 VIB131102:VIH131108 VRX131102:VSD131108 WBT131102:WBZ131108 WLP131102:WLV131108 WVL131102:WVR131108 D196638:J196644 IZ196638:JF196644 SV196638:TB196644 ACR196638:ACX196644 AMN196638:AMT196644 AWJ196638:AWP196644 BGF196638:BGL196644 BQB196638:BQH196644 BZX196638:CAD196644 CJT196638:CJZ196644 CTP196638:CTV196644 DDL196638:DDR196644 DNH196638:DNN196644 DXD196638:DXJ196644 EGZ196638:EHF196644 EQV196638:ERB196644 FAR196638:FAX196644 FKN196638:FKT196644 FUJ196638:FUP196644 GEF196638:GEL196644 GOB196638:GOH196644 GXX196638:GYD196644 HHT196638:HHZ196644 HRP196638:HRV196644 IBL196638:IBR196644 ILH196638:ILN196644 IVD196638:IVJ196644 JEZ196638:JFF196644 JOV196638:JPB196644 JYR196638:JYX196644 KIN196638:KIT196644 KSJ196638:KSP196644 LCF196638:LCL196644 LMB196638:LMH196644 LVX196638:LWD196644 MFT196638:MFZ196644 MPP196638:MPV196644 MZL196638:MZR196644 NJH196638:NJN196644 NTD196638:NTJ196644 OCZ196638:ODF196644 OMV196638:ONB196644 OWR196638:OWX196644 PGN196638:PGT196644 PQJ196638:PQP196644 QAF196638:QAL196644 QKB196638:QKH196644 QTX196638:QUD196644 RDT196638:RDZ196644 RNP196638:RNV196644 RXL196638:RXR196644 SHH196638:SHN196644 SRD196638:SRJ196644 TAZ196638:TBF196644 TKV196638:TLB196644 TUR196638:TUX196644 UEN196638:UET196644 UOJ196638:UOP196644 UYF196638:UYL196644 VIB196638:VIH196644 VRX196638:VSD196644 WBT196638:WBZ196644 WLP196638:WLV196644 WVL196638:WVR196644 D262174:J262180 IZ262174:JF262180 SV262174:TB262180 ACR262174:ACX262180 AMN262174:AMT262180 AWJ262174:AWP262180 BGF262174:BGL262180 BQB262174:BQH262180 BZX262174:CAD262180 CJT262174:CJZ262180 CTP262174:CTV262180 DDL262174:DDR262180 DNH262174:DNN262180 DXD262174:DXJ262180 EGZ262174:EHF262180 EQV262174:ERB262180 FAR262174:FAX262180 FKN262174:FKT262180 FUJ262174:FUP262180 GEF262174:GEL262180 GOB262174:GOH262180 GXX262174:GYD262180 HHT262174:HHZ262180 HRP262174:HRV262180 IBL262174:IBR262180 ILH262174:ILN262180 IVD262174:IVJ262180 JEZ262174:JFF262180 JOV262174:JPB262180 JYR262174:JYX262180 KIN262174:KIT262180 KSJ262174:KSP262180 LCF262174:LCL262180 LMB262174:LMH262180 LVX262174:LWD262180 MFT262174:MFZ262180 MPP262174:MPV262180 MZL262174:MZR262180 NJH262174:NJN262180 NTD262174:NTJ262180 OCZ262174:ODF262180 OMV262174:ONB262180 OWR262174:OWX262180 PGN262174:PGT262180 PQJ262174:PQP262180 QAF262174:QAL262180 QKB262174:QKH262180 QTX262174:QUD262180 RDT262174:RDZ262180 RNP262174:RNV262180 RXL262174:RXR262180 SHH262174:SHN262180 SRD262174:SRJ262180 TAZ262174:TBF262180 TKV262174:TLB262180 TUR262174:TUX262180 UEN262174:UET262180 UOJ262174:UOP262180 UYF262174:UYL262180 VIB262174:VIH262180 VRX262174:VSD262180 WBT262174:WBZ262180 WLP262174:WLV262180 WVL262174:WVR262180 D327710:J327716 IZ327710:JF327716 SV327710:TB327716 ACR327710:ACX327716 AMN327710:AMT327716 AWJ327710:AWP327716 BGF327710:BGL327716 BQB327710:BQH327716 BZX327710:CAD327716 CJT327710:CJZ327716 CTP327710:CTV327716 DDL327710:DDR327716 DNH327710:DNN327716 DXD327710:DXJ327716 EGZ327710:EHF327716 EQV327710:ERB327716 FAR327710:FAX327716 FKN327710:FKT327716 FUJ327710:FUP327716 GEF327710:GEL327716 GOB327710:GOH327716 GXX327710:GYD327716 HHT327710:HHZ327716 HRP327710:HRV327716 IBL327710:IBR327716 ILH327710:ILN327716 IVD327710:IVJ327716 JEZ327710:JFF327716 JOV327710:JPB327716 JYR327710:JYX327716 KIN327710:KIT327716 KSJ327710:KSP327716 LCF327710:LCL327716 LMB327710:LMH327716 LVX327710:LWD327716 MFT327710:MFZ327716 MPP327710:MPV327716 MZL327710:MZR327716 NJH327710:NJN327716 NTD327710:NTJ327716 OCZ327710:ODF327716 OMV327710:ONB327716 OWR327710:OWX327716 PGN327710:PGT327716 PQJ327710:PQP327716 QAF327710:QAL327716 QKB327710:QKH327716 QTX327710:QUD327716 RDT327710:RDZ327716 RNP327710:RNV327716 RXL327710:RXR327716 SHH327710:SHN327716 SRD327710:SRJ327716 TAZ327710:TBF327716 TKV327710:TLB327716 TUR327710:TUX327716 UEN327710:UET327716 UOJ327710:UOP327716 UYF327710:UYL327716 VIB327710:VIH327716 VRX327710:VSD327716 WBT327710:WBZ327716 WLP327710:WLV327716 WVL327710:WVR327716 D393246:J393252 IZ393246:JF393252 SV393246:TB393252 ACR393246:ACX393252 AMN393246:AMT393252 AWJ393246:AWP393252 BGF393246:BGL393252 BQB393246:BQH393252 BZX393246:CAD393252 CJT393246:CJZ393252 CTP393246:CTV393252 DDL393246:DDR393252 DNH393246:DNN393252 DXD393246:DXJ393252 EGZ393246:EHF393252 EQV393246:ERB393252 FAR393246:FAX393252 FKN393246:FKT393252 FUJ393246:FUP393252 GEF393246:GEL393252 GOB393246:GOH393252 GXX393246:GYD393252 HHT393246:HHZ393252 HRP393246:HRV393252 IBL393246:IBR393252 ILH393246:ILN393252 IVD393246:IVJ393252 JEZ393246:JFF393252 JOV393246:JPB393252 JYR393246:JYX393252 KIN393246:KIT393252 KSJ393246:KSP393252 LCF393246:LCL393252 LMB393246:LMH393252 LVX393246:LWD393252 MFT393246:MFZ393252 MPP393246:MPV393252 MZL393246:MZR393252 NJH393246:NJN393252 NTD393246:NTJ393252 OCZ393246:ODF393252 OMV393246:ONB393252 OWR393246:OWX393252 PGN393246:PGT393252 PQJ393246:PQP393252 QAF393246:QAL393252 QKB393246:QKH393252 QTX393246:QUD393252 RDT393246:RDZ393252 RNP393246:RNV393252 RXL393246:RXR393252 SHH393246:SHN393252 SRD393246:SRJ393252 TAZ393246:TBF393252 TKV393246:TLB393252 TUR393246:TUX393252 UEN393246:UET393252 UOJ393246:UOP393252 UYF393246:UYL393252 VIB393246:VIH393252 VRX393246:VSD393252 WBT393246:WBZ393252 WLP393246:WLV393252 WVL393246:WVR393252 D458782:J458788 IZ458782:JF458788 SV458782:TB458788 ACR458782:ACX458788 AMN458782:AMT458788 AWJ458782:AWP458788 BGF458782:BGL458788 BQB458782:BQH458788 BZX458782:CAD458788 CJT458782:CJZ458788 CTP458782:CTV458788 DDL458782:DDR458788 DNH458782:DNN458788 DXD458782:DXJ458788 EGZ458782:EHF458788 EQV458782:ERB458788 FAR458782:FAX458788 FKN458782:FKT458788 FUJ458782:FUP458788 GEF458782:GEL458788 GOB458782:GOH458788 GXX458782:GYD458788 HHT458782:HHZ458788 HRP458782:HRV458788 IBL458782:IBR458788 ILH458782:ILN458788 IVD458782:IVJ458788 JEZ458782:JFF458788 JOV458782:JPB458788 JYR458782:JYX458788 KIN458782:KIT458788 KSJ458782:KSP458788 LCF458782:LCL458788 LMB458782:LMH458788 LVX458782:LWD458788 MFT458782:MFZ458788 MPP458782:MPV458788 MZL458782:MZR458788 NJH458782:NJN458788 NTD458782:NTJ458788 OCZ458782:ODF458788 OMV458782:ONB458788 OWR458782:OWX458788 PGN458782:PGT458788 PQJ458782:PQP458788 QAF458782:QAL458788 QKB458782:QKH458788 QTX458782:QUD458788 RDT458782:RDZ458788 RNP458782:RNV458788 RXL458782:RXR458788 SHH458782:SHN458788 SRD458782:SRJ458788 TAZ458782:TBF458788 TKV458782:TLB458788 TUR458782:TUX458788 UEN458782:UET458788 UOJ458782:UOP458788 UYF458782:UYL458788 VIB458782:VIH458788 VRX458782:VSD458788 WBT458782:WBZ458788 WLP458782:WLV458788 WVL458782:WVR458788 D524318:J524324 IZ524318:JF524324 SV524318:TB524324 ACR524318:ACX524324 AMN524318:AMT524324 AWJ524318:AWP524324 BGF524318:BGL524324 BQB524318:BQH524324 BZX524318:CAD524324 CJT524318:CJZ524324 CTP524318:CTV524324 DDL524318:DDR524324 DNH524318:DNN524324 DXD524318:DXJ524324 EGZ524318:EHF524324 EQV524318:ERB524324 FAR524318:FAX524324 FKN524318:FKT524324 FUJ524318:FUP524324 GEF524318:GEL524324 GOB524318:GOH524324 GXX524318:GYD524324 HHT524318:HHZ524324 HRP524318:HRV524324 IBL524318:IBR524324 ILH524318:ILN524324 IVD524318:IVJ524324 JEZ524318:JFF524324 JOV524318:JPB524324 JYR524318:JYX524324 KIN524318:KIT524324 KSJ524318:KSP524324 LCF524318:LCL524324 LMB524318:LMH524324 LVX524318:LWD524324 MFT524318:MFZ524324 MPP524318:MPV524324 MZL524318:MZR524324 NJH524318:NJN524324 NTD524318:NTJ524324 OCZ524318:ODF524324 OMV524318:ONB524324 OWR524318:OWX524324 PGN524318:PGT524324 PQJ524318:PQP524324 QAF524318:QAL524324 QKB524318:QKH524324 QTX524318:QUD524324 RDT524318:RDZ524324 RNP524318:RNV524324 RXL524318:RXR524324 SHH524318:SHN524324 SRD524318:SRJ524324 TAZ524318:TBF524324 TKV524318:TLB524324 TUR524318:TUX524324 UEN524318:UET524324 UOJ524318:UOP524324 UYF524318:UYL524324 VIB524318:VIH524324 VRX524318:VSD524324 WBT524318:WBZ524324 WLP524318:WLV524324 WVL524318:WVR524324 D589854:J589860 IZ589854:JF589860 SV589854:TB589860 ACR589854:ACX589860 AMN589854:AMT589860 AWJ589854:AWP589860 BGF589854:BGL589860 BQB589854:BQH589860 BZX589854:CAD589860 CJT589854:CJZ589860 CTP589854:CTV589860 DDL589854:DDR589860 DNH589854:DNN589860 DXD589854:DXJ589860 EGZ589854:EHF589860 EQV589854:ERB589860 FAR589854:FAX589860 FKN589854:FKT589860 FUJ589854:FUP589860 GEF589854:GEL589860 GOB589854:GOH589860 GXX589854:GYD589860 HHT589854:HHZ589860 HRP589854:HRV589860 IBL589854:IBR589860 ILH589854:ILN589860 IVD589854:IVJ589860 JEZ589854:JFF589860 JOV589854:JPB589860 JYR589854:JYX589860 KIN589854:KIT589860 KSJ589854:KSP589860 LCF589854:LCL589860 LMB589854:LMH589860 LVX589854:LWD589860 MFT589854:MFZ589860 MPP589854:MPV589860 MZL589854:MZR589860 NJH589854:NJN589860 NTD589854:NTJ589860 OCZ589854:ODF589860 OMV589854:ONB589860 OWR589854:OWX589860 PGN589854:PGT589860 PQJ589854:PQP589860 QAF589854:QAL589860 QKB589854:QKH589860 QTX589854:QUD589860 RDT589854:RDZ589860 RNP589854:RNV589860 RXL589854:RXR589860 SHH589854:SHN589860 SRD589854:SRJ589860 TAZ589854:TBF589860 TKV589854:TLB589860 TUR589854:TUX589860 UEN589854:UET589860 UOJ589854:UOP589860 UYF589854:UYL589860 VIB589854:VIH589860 VRX589854:VSD589860 WBT589854:WBZ589860 WLP589854:WLV589860 WVL589854:WVR589860 D655390:J655396 IZ655390:JF655396 SV655390:TB655396 ACR655390:ACX655396 AMN655390:AMT655396 AWJ655390:AWP655396 BGF655390:BGL655396 BQB655390:BQH655396 BZX655390:CAD655396 CJT655390:CJZ655396 CTP655390:CTV655396 DDL655390:DDR655396 DNH655390:DNN655396 DXD655390:DXJ655396 EGZ655390:EHF655396 EQV655390:ERB655396 FAR655390:FAX655396 FKN655390:FKT655396 FUJ655390:FUP655396 GEF655390:GEL655396 GOB655390:GOH655396 GXX655390:GYD655396 HHT655390:HHZ655396 HRP655390:HRV655396 IBL655390:IBR655396 ILH655390:ILN655396 IVD655390:IVJ655396 JEZ655390:JFF655396 JOV655390:JPB655396 JYR655390:JYX655396 KIN655390:KIT655396 KSJ655390:KSP655396 LCF655390:LCL655396 LMB655390:LMH655396 LVX655390:LWD655396 MFT655390:MFZ655396 MPP655390:MPV655396 MZL655390:MZR655396 NJH655390:NJN655396 NTD655390:NTJ655396 OCZ655390:ODF655396 OMV655390:ONB655396 OWR655390:OWX655396 PGN655390:PGT655396 PQJ655390:PQP655396 QAF655390:QAL655396 QKB655390:QKH655396 QTX655390:QUD655396 RDT655390:RDZ655396 RNP655390:RNV655396 RXL655390:RXR655396 SHH655390:SHN655396 SRD655390:SRJ655396 TAZ655390:TBF655396 TKV655390:TLB655396 TUR655390:TUX655396 UEN655390:UET655396 UOJ655390:UOP655396 UYF655390:UYL655396 VIB655390:VIH655396 VRX655390:VSD655396 WBT655390:WBZ655396 WLP655390:WLV655396 WVL655390:WVR655396 D720926:J720932 IZ720926:JF720932 SV720926:TB720932 ACR720926:ACX720932 AMN720926:AMT720932 AWJ720926:AWP720932 BGF720926:BGL720932 BQB720926:BQH720932 BZX720926:CAD720932 CJT720926:CJZ720932 CTP720926:CTV720932 DDL720926:DDR720932 DNH720926:DNN720932 DXD720926:DXJ720932 EGZ720926:EHF720932 EQV720926:ERB720932 FAR720926:FAX720932 FKN720926:FKT720932 FUJ720926:FUP720932 GEF720926:GEL720932 GOB720926:GOH720932 GXX720926:GYD720932 HHT720926:HHZ720932 HRP720926:HRV720932 IBL720926:IBR720932 ILH720926:ILN720932 IVD720926:IVJ720932 JEZ720926:JFF720932 JOV720926:JPB720932 JYR720926:JYX720932 KIN720926:KIT720932 KSJ720926:KSP720932 LCF720926:LCL720932 LMB720926:LMH720932 LVX720926:LWD720932 MFT720926:MFZ720932 MPP720926:MPV720932 MZL720926:MZR720932 NJH720926:NJN720932 NTD720926:NTJ720932 OCZ720926:ODF720932 OMV720926:ONB720932 OWR720926:OWX720932 PGN720926:PGT720932 PQJ720926:PQP720932 QAF720926:QAL720932 QKB720926:QKH720932 QTX720926:QUD720932 RDT720926:RDZ720932 RNP720926:RNV720932 RXL720926:RXR720932 SHH720926:SHN720932 SRD720926:SRJ720932 TAZ720926:TBF720932 TKV720926:TLB720932 TUR720926:TUX720932 UEN720926:UET720932 UOJ720926:UOP720932 UYF720926:UYL720932 VIB720926:VIH720932 VRX720926:VSD720932 WBT720926:WBZ720932 WLP720926:WLV720932 WVL720926:WVR720932 D786462:J786468 IZ786462:JF786468 SV786462:TB786468 ACR786462:ACX786468 AMN786462:AMT786468 AWJ786462:AWP786468 BGF786462:BGL786468 BQB786462:BQH786468 BZX786462:CAD786468 CJT786462:CJZ786468 CTP786462:CTV786468 DDL786462:DDR786468 DNH786462:DNN786468 DXD786462:DXJ786468 EGZ786462:EHF786468 EQV786462:ERB786468 FAR786462:FAX786468 FKN786462:FKT786468 FUJ786462:FUP786468 GEF786462:GEL786468 GOB786462:GOH786468 GXX786462:GYD786468 HHT786462:HHZ786468 HRP786462:HRV786468 IBL786462:IBR786468 ILH786462:ILN786468 IVD786462:IVJ786468 JEZ786462:JFF786468 JOV786462:JPB786468 JYR786462:JYX786468 KIN786462:KIT786468 KSJ786462:KSP786468 LCF786462:LCL786468 LMB786462:LMH786468 LVX786462:LWD786468 MFT786462:MFZ786468 MPP786462:MPV786468 MZL786462:MZR786468 NJH786462:NJN786468 NTD786462:NTJ786468 OCZ786462:ODF786468 OMV786462:ONB786468 OWR786462:OWX786468 PGN786462:PGT786468 PQJ786462:PQP786468 QAF786462:QAL786468 QKB786462:QKH786468 QTX786462:QUD786468 RDT786462:RDZ786468 RNP786462:RNV786468 RXL786462:RXR786468 SHH786462:SHN786468 SRD786462:SRJ786468 TAZ786462:TBF786468 TKV786462:TLB786468 TUR786462:TUX786468 UEN786462:UET786468 UOJ786462:UOP786468 UYF786462:UYL786468 VIB786462:VIH786468 VRX786462:VSD786468 WBT786462:WBZ786468 WLP786462:WLV786468 WVL786462:WVR786468 D851998:J852004 IZ851998:JF852004 SV851998:TB852004 ACR851998:ACX852004 AMN851998:AMT852004 AWJ851998:AWP852004 BGF851998:BGL852004 BQB851998:BQH852004 BZX851998:CAD852004 CJT851998:CJZ852004 CTP851998:CTV852004 DDL851998:DDR852004 DNH851998:DNN852004 DXD851998:DXJ852004 EGZ851998:EHF852004 EQV851998:ERB852004 FAR851998:FAX852004 FKN851998:FKT852004 FUJ851998:FUP852004 GEF851998:GEL852004 GOB851998:GOH852004 GXX851998:GYD852004 HHT851998:HHZ852004 HRP851998:HRV852004 IBL851998:IBR852004 ILH851998:ILN852004 IVD851998:IVJ852004 JEZ851998:JFF852004 JOV851998:JPB852004 JYR851998:JYX852004 KIN851998:KIT852004 KSJ851998:KSP852004 LCF851998:LCL852004 LMB851998:LMH852004 LVX851998:LWD852004 MFT851998:MFZ852004 MPP851998:MPV852004 MZL851998:MZR852004 NJH851998:NJN852004 NTD851998:NTJ852004 OCZ851998:ODF852004 OMV851998:ONB852004 OWR851998:OWX852004 PGN851998:PGT852004 PQJ851998:PQP852004 QAF851998:QAL852004 QKB851998:QKH852004 QTX851998:QUD852004 RDT851998:RDZ852004 RNP851998:RNV852004 RXL851998:RXR852004 SHH851998:SHN852004 SRD851998:SRJ852004 TAZ851998:TBF852004 TKV851998:TLB852004 TUR851998:TUX852004 UEN851998:UET852004 UOJ851998:UOP852004 UYF851998:UYL852004 VIB851998:VIH852004 VRX851998:VSD852004 WBT851998:WBZ852004 WLP851998:WLV852004 WVL851998:WVR852004 D917534:J917540 IZ917534:JF917540 SV917534:TB917540 ACR917534:ACX917540 AMN917534:AMT917540 AWJ917534:AWP917540 BGF917534:BGL917540 BQB917534:BQH917540 BZX917534:CAD917540 CJT917534:CJZ917540 CTP917534:CTV917540 DDL917534:DDR917540 DNH917534:DNN917540 DXD917534:DXJ917540 EGZ917534:EHF917540 EQV917534:ERB917540 FAR917534:FAX917540 FKN917534:FKT917540 FUJ917534:FUP917540 GEF917534:GEL917540 GOB917534:GOH917540 GXX917534:GYD917540 HHT917534:HHZ917540 HRP917534:HRV917540 IBL917534:IBR917540 ILH917534:ILN917540 IVD917534:IVJ917540 JEZ917534:JFF917540 JOV917534:JPB917540 JYR917534:JYX917540 KIN917534:KIT917540 KSJ917534:KSP917540 LCF917534:LCL917540 LMB917534:LMH917540 LVX917534:LWD917540 MFT917534:MFZ917540 MPP917534:MPV917540 MZL917534:MZR917540 NJH917534:NJN917540 NTD917534:NTJ917540 OCZ917534:ODF917540 OMV917534:ONB917540 OWR917534:OWX917540 PGN917534:PGT917540 PQJ917534:PQP917540 QAF917534:QAL917540 QKB917534:QKH917540 QTX917534:QUD917540 RDT917534:RDZ917540 RNP917534:RNV917540 RXL917534:RXR917540 SHH917534:SHN917540 SRD917534:SRJ917540 TAZ917534:TBF917540 TKV917534:TLB917540 TUR917534:TUX917540 UEN917534:UET917540 UOJ917534:UOP917540 UYF917534:UYL917540 VIB917534:VIH917540 VRX917534:VSD917540 WBT917534:WBZ917540 WLP917534:WLV917540 WVL917534:WVR917540 D983070:J983076 IZ983070:JF983076 SV983070:TB983076 ACR983070:ACX983076 AMN983070:AMT983076 AWJ983070:AWP983076 BGF983070:BGL983076 BQB983070:BQH983076 BZX983070:CAD983076 CJT983070:CJZ983076 CTP983070:CTV983076 DDL983070:DDR983076 DNH983070:DNN983076 DXD983070:DXJ983076 EGZ983070:EHF983076 EQV983070:ERB983076 FAR983070:FAX983076 FKN983070:FKT983076 FUJ983070:FUP983076 GEF983070:GEL983076 GOB983070:GOH983076 GXX983070:GYD983076 HHT983070:HHZ983076 HRP983070:HRV983076 IBL983070:IBR983076 ILH983070:ILN983076 IVD983070:IVJ983076 JEZ983070:JFF983076 JOV983070:JPB983076 JYR983070:JYX983076 KIN983070:KIT983076 KSJ983070:KSP983076 LCF983070:LCL983076 LMB983070:LMH983076 LVX983070:LWD983076 MFT983070:MFZ983076 MPP983070:MPV983076 MZL983070:MZR983076 NJH983070:NJN983076 NTD983070:NTJ983076 OCZ983070:ODF983076 OMV983070:ONB983076 OWR983070:OWX983076 PGN983070:PGT983076 PQJ983070:PQP983076 QAF983070:QAL983076 QKB983070:QKH983076 QTX983070:QUD983076 RDT983070:RDZ983076 RNP983070:RNV983076 RXL983070:RXR983076 SHH983070:SHN983076 SRD983070:SRJ983076 TAZ983070:TBF983076 TKV983070:TLB983076 TUR983070:TUX983076 UEN983070:UET983076 UOJ983070:UOP983076 UYF983070:UYL983076 VIB983070:VIH983076 VRX983070:VSD983076 WBT983070:WBZ983076 WLP983070:WLV983076 WVL983070:WVR983076 WVL28:WVR37 WLP28:WLV37 WBT28:WBZ37 VRX28:VSD37 VIB28:VIH37 UYF28:UYL37 UOJ28:UOP37 UEN28:UET37 TUR28:TUX37 TKV28:TLB37 TAZ28:TBF37 SRD28:SRJ37 SHH28:SHN37 RXL28:RXR37 RNP28:RNV37 RDT28:RDZ37 QTX28:QUD37 QKB28:QKH37 QAF28:QAL37 PQJ28:PQP37 PGN28:PGT37 OWR28:OWX37 OMV28:ONB37 OCZ28:ODF37 NTD28:NTJ37 NJH28:NJN37 MZL28:MZR37 MPP28:MPV37 MFT28:MFZ37 LVX28:LWD37 LMB28:LMH37 LCF28:LCL37 KSJ28:KSP37 KIN28:KIT37 JYR28:JYX37 JOV28:JPB37 JEZ28:JFF37 IVD28:IVJ37 ILH28:ILN37 IBL28:IBR37 HRP28:HRV37 HHT28:HHZ37 GXX28:GYD37 GOB28:GOH37 GEF28:GEL37 FUJ28:FUP37 FKN28:FKT37 FAR28:FAX37 EQV28:ERB37 EGZ28:EHF37 DXD28:DXJ37 DNH28:DNN37 DDL28:DDR37 CTP28:CTV37 CJT28:CJZ37 BZX28:CAD37 BQB28:BQH37 BGF28:BGL37 AWJ28:AWP37 AMN28:AMT37 ACR28:ACX37 SV28:TB37 IZ28:JF37 D28:J37">
      <formula1>0</formula1>
      <formula2>33</formula2>
    </dataValidation>
    <dataValidation type="decimal" allowBlank="1" showInputMessage="1" showErrorMessage="1" error="bitte Zahl eingeben!" sqref="D6:E12 IZ6:JA12 SV6:SW12 ACR6:ACS12 AMN6:AMO12 AWJ6:AWK12 BGF6:BGG12 BQB6:BQC12 BZX6:BZY12 CJT6:CJU12 CTP6:CTQ12 DDL6:DDM12 DNH6:DNI12 DXD6:DXE12 EGZ6:EHA12 EQV6:EQW12 FAR6:FAS12 FKN6:FKO12 FUJ6:FUK12 GEF6:GEG12 GOB6:GOC12 GXX6:GXY12 HHT6:HHU12 HRP6:HRQ12 IBL6:IBM12 ILH6:ILI12 IVD6:IVE12 JEZ6:JFA12 JOV6:JOW12 JYR6:JYS12 KIN6:KIO12 KSJ6:KSK12 LCF6:LCG12 LMB6:LMC12 LVX6:LVY12 MFT6:MFU12 MPP6:MPQ12 MZL6:MZM12 NJH6:NJI12 NTD6:NTE12 OCZ6:ODA12 OMV6:OMW12 OWR6:OWS12 PGN6:PGO12 PQJ6:PQK12 QAF6:QAG12 QKB6:QKC12 QTX6:QTY12 RDT6:RDU12 RNP6:RNQ12 RXL6:RXM12 SHH6:SHI12 SRD6:SRE12 TAZ6:TBA12 TKV6:TKW12 TUR6:TUS12 UEN6:UEO12 UOJ6:UOK12 UYF6:UYG12 VIB6:VIC12 VRX6:VRY12 WBT6:WBU12 WLP6:WLQ12 WVL6:WVM12 D65543:E65551 IZ65543:JA65551 SV65543:SW65551 ACR65543:ACS65551 AMN65543:AMO65551 AWJ65543:AWK65551 BGF65543:BGG65551 BQB65543:BQC65551 BZX65543:BZY65551 CJT65543:CJU65551 CTP65543:CTQ65551 DDL65543:DDM65551 DNH65543:DNI65551 DXD65543:DXE65551 EGZ65543:EHA65551 EQV65543:EQW65551 FAR65543:FAS65551 FKN65543:FKO65551 FUJ65543:FUK65551 GEF65543:GEG65551 GOB65543:GOC65551 GXX65543:GXY65551 HHT65543:HHU65551 HRP65543:HRQ65551 IBL65543:IBM65551 ILH65543:ILI65551 IVD65543:IVE65551 JEZ65543:JFA65551 JOV65543:JOW65551 JYR65543:JYS65551 KIN65543:KIO65551 KSJ65543:KSK65551 LCF65543:LCG65551 LMB65543:LMC65551 LVX65543:LVY65551 MFT65543:MFU65551 MPP65543:MPQ65551 MZL65543:MZM65551 NJH65543:NJI65551 NTD65543:NTE65551 OCZ65543:ODA65551 OMV65543:OMW65551 OWR65543:OWS65551 PGN65543:PGO65551 PQJ65543:PQK65551 QAF65543:QAG65551 QKB65543:QKC65551 QTX65543:QTY65551 RDT65543:RDU65551 RNP65543:RNQ65551 RXL65543:RXM65551 SHH65543:SHI65551 SRD65543:SRE65551 TAZ65543:TBA65551 TKV65543:TKW65551 TUR65543:TUS65551 UEN65543:UEO65551 UOJ65543:UOK65551 UYF65543:UYG65551 VIB65543:VIC65551 VRX65543:VRY65551 WBT65543:WBU65551 WLP65543:WLQ65551 WVL65543:WVM65551 D131079:E131087 IZ131079:JA131087 SV131079:SW131087 ACR131079:ACS131087 AMN131079:AMO131087 AWJ131079:AWK131087 BGF131079:BGG131087 BQB131079:BQC131087 BZX131079:BZY131087 CJT131079:CJU131087 CTP131079:CTQ131087 DDL131079:DDM131087 DNH131079:DNI131087 DXD131079:DXE131087 EGZ131079:EHA131087 EQV131079:EQW131087 FAR131079:FAS131087 FKN131079:FKO131087 FUJ131079:FUK131087 GEF131079:GEG131087 GOB131079:GOC131087 GXX131079:GXY131087 HHT131079:HHU131087 HRP131079:HRQ131087 IBL131079:IBM131087 ILH131079:ILI131087 IVD131079:IVE131087 JEZ131079:JFA131087 JOV131079:JOW131087 JYR131079:JYS131087 KIN131079:KIO131087 KSJ131079:KSK131087 LCF131079:LCG131087 LMB131079:LMC131087 LVX131079:LVY131087 MFT131079:MFU131087 MPP131079:MPQ131087 MZL131079:MZM131087 NJH131079:NJI131087 NTD131079:NTE131087 OCZ131079:ODA131087 OMV131079:OMW131087 OWR131079:OWS131087 PGN131079:PGO131087 PQJ131079:PQK131087 QAF131079:QAG131087 QKB131079:QKC131087 QTX131079:QTY131087 RDT131079:RDU131087 RNP131079:RNQ131087 RXL131079:RXM131087 SHH131079:SHI131087 SRD131079:SRE131087 TAZ131079:TBA131087 TKV131079:TKW131087 TUR131079:TUS131087 UEN131079:UEO131087 UOJ131079:UOK131087 UYF131079:UYG131087 VIB131079:VIC131087 VRX131079:VRY131087 WBT131079:WBU131087 WLP131079:WLQ131087 WVL131079:WVM131087 D196615:E196623 IZ196615:JA196623 SV196615:SW196623 ACR196615:ACS196623 AMN196615:AMO196623 AWJ196615:AWK196623 BGF196615:BGG196623 BQB196615:BQC196623 BZX196615:BZY196623 CJT196615:CJU196623 CTP196615:CTQ196623 DDL196615:DDM196623 DNH196615:DNI196623 DXD196615:DXE196623 EGZ196615:EHA196623 EQV196615:EQW196623 FAR196615:FAS196623 FKN196615:FKO196623 FUJ196615:FUK196623 GEF196615:GEG196623 GOB196615:GOC196623 GXX196615:GXY196623 HHT196615:HHU196623 HRP196615:HRQ196623 IBL196615:IBM196623 ILH196615:ILI196623 IVD196615:IVE196623 JEZ196615:JFA196623 JOV196615:JOW196623 JYR196615:JYS196623 KIN196615:KIO196623 KSJ196615:KSK196623 LCF196615:LCG196623 LMB196615:LMC196623 LVX196615:LVY196623 MFT196615:MFU196623 MPP196615:MPQ196623 MZL196615:MZM196623 NJH196615:NJI196623 NTD196615:NTE196623 OCZ196615:ODA196623 OMV196615:OMW196623 OWR196615:OWS196623 PGN196615:PGO196623 PQJ196615:PQK196623 QAF196615:QAG196623 QKB196615:QKC196623 QTX196615:QTY196623 RDT196615:RDU196623 RNP196615:RNQ196623 RXL196615:RXM196623 SHH196615:SHI196623 SRD196615:SRE196623 TAZ196615:TBA196623 TKV196615:TKW196623 TUR196615:TUS196623 UEN196615:UEO196623 UOJ196615:UOK196623 UYF196615:UYG196623 VIB196615:VIC196623 VRX196615:VRY196623 WBT196615:WBU196623 WLP196615:WLQ196623 WVL196615:WVM196623 D262151:E262159 IZ262151:JA262159 SV262151:SW262159 ACR262151:ACS262159 AMN262151:AMO262159 AWJ262151:AWK262159 BGF262151:BGG262159 BQB262151:BQC262159 BZX262151:BZY262159 CJT262151:CJU262159 CTP262151:CTQ262159 DDL262151:DDM262159 DNH262151:DNI262159 DXD262151:DXE262159 EGZ262151:EHA262159 EQV262151:EQW262159 FAR262151:FAS262159 FKN262151:FKO262159 FUJ262151:FUK262159 GEF262151:GEG262159 GOB262151:GOC262159 GXX262151:GXY262159 HHT262151:HHU262159 HRP262151:HRQ262159 IBL262151:IBM262159 ILH262151:ILI262159 IVD262151:IVE262159 JEZ262151:JFA262159 JOV262151:JOW262159 JYR262151:JYS262159 KIN262151:KIO262159 KSJ262151:KSK262159 LCF262151:LCG262159 LMB262151:LMC262159 LVX262151:LVY262159 MFT262151:MFU262159 MPP262151:MPQ262159 MZL262151:MZM262159 NJH262151:NJI262159 NTD262151:NTE262159 OCZ262151:ODA262159 OMV262151:OMW262159 OWR262151:OWS262159 PGN262151:PGO262159 PQJ262151:PQK262159 QAF262151:QAG262159 QKB262151:QKC262159 QTX262151:QTY262159 RDT262151:RDU262159 RNP262151:RNQ262159 RXL262151:RXM262159 SHH262151:SHI262159 SRD262151:SRE262159 TAZ262151:TBA262159 TKV262151:TKW262159 TUR262151:TUS262159 UEN262151:UEO262159 UOJ262151:UOK262159 UYF262151:UYG262159 VIB262151:VIC262159 VRX262151:VRY262159 WBT262151:WBU262159 WLP262151:WLQ262159 WVL262151:WVM262159 D327687:E327695 IZ327687:JA327695 SV327687:SW327695 ACR327687:ACS327695 AMN327687:AMO327695 AWJ327687:AWK327695 BGF327687:BGG327695 BQB327687:BQC327695 BZX327687:BZY327695 CJT327687:CJU327695 CTP327687:CTQ327695 DDL327687:DDM327695 DNH327687:DNI327695 DXD327687:DXE327695 EGZ327687:EHA327695 EQV327687:EQW327695 FAR327687:FAS327695 FKN327687:FKO327695 FUJ327687:FUK327695 GEF327687:GEG327695 GOB327687:GOC327695 GXX327687:GXY327695 HHT327687:HHU327695 HRP327687:HRQ327695 IBL327687:IBM327695 ILH327687:ILI327695 IVD327687:IVE327695 JEZ327687:JFA327695 JOV327687:JOW327695 JYR327687:JYS327695 KIN327687:KIO327695 KSJ327687:KSK327695 LCF327687:LCG327695 LMB327687:LMC327695 LVX327687:LVY327695 MFT327687:MFU327695 MPP327687:MPQ327695 MZL327687:MZM327695 NJH327687:NJI327695 NTD327687:NTE327695 OCZ327687:ODA327695 OMV327687:OMW327695 OWR327687:OWS327695 PGN327687:PGO327695 PQJ327687:PQK327695 QAF327687:QAG327695 QKB327687:QKC327695 QTX327687:QTY327695 RDT327687:RDU327695 RNP327687:RNQ327695 RXL327687:RXM327695 SHH327687:SHI327695 SRD327687:SRE327695 TAZ327687:TBA327695 TKV327687:TKW327695 TUR327687:TUS327695 UEN327687:UEO327695 UOJ327687:UOK327695 UYF327687:UYG327695 VIB327687:VIC327695 VRX327687:VRY327695 WBT327687:WBU327695 WLP327687:WLQ327695 WVL327687:WVM327695 D393223:E393231 IZ393223:JA393231 SV393223:SW393231 ACR393223:ACS393231 AMN393223:AMO393231 AWJ393223:AWK393231 BGF393223:BGG393231 BQB393223:BQC393231 BZX393223:BZY393231 CJT393223:CJU393231 CTP393223:CTQ393231 DDL393223:DDM393231 DNH393223:DNI393231 DXD393223:DXE393231 EGZ393223:EHA393231 EQV393223:EQW393231 FAR393223:FAS393231 FKN393223:FKO393231 FUJ393223:FUK393231 GEF393223:GEG393231 GOB393223:GOC393231 GXX393223:GXY393231 HHT393223:HHU393231 HRP393223:HRQ393231 IBL393223:IBM393231 ILH393223:ILI393231 IVD393223:IVE393231 JEZ393223:JFA393231 JOV393223:JOW393231 JYR393223:JYS393231 KIN393223:KIO393231 KSJ393223:KSK393231 LCF393223:LCG393231 LMB393223:LMC393231 LVX393223:LVY393231 MFT393223:MFU393231 MPP393223:MPQ393231 MZL393223:MZM393231 NJH393223:NJI393231 NTD393223:NTE393231 OCZ393223:ODA393231 OMV393223:OMW393231 OWR393223:OWS393231 PGN393223:PGO393231 PQJ393223:PQK393231 QAF393223:QAG393231 QKB393223:QKC393231 QTX393223:QTY393231 RDT393223:RDU393231 RNP393223:RNQ393231 RXL393223:RXM393231 SHH393223:SHI393231 SRD393223:SRE393231 TAZ393223:TBA393231 TKV393223:TKW393231 TUR393223:TUS393231 UEN393223:UEO393231 UOJ393223:UOK393231 UYF393223:UYG393231 VIB393223:VIC393231 VRX393223:VRY393231 WBT393223:WBU393231 WLP393223:WLQ393231 WVL393223:WVM393231 D458759:E458767 IZ458759:JA458767 SV458759:SW458767 ACR458759:ACS458767 AMN458759:AMO458767 AWJ458759:AWK458767 BGF458759:BGG458767 BQB458759:BQC458767 BZX458759:BZY458767 CJT458759:CJU458767 CTP458759:CTQ458767 DDL458759:DDM458767 DNH458759:DNI458767 DXD458759:DXE458767 EGZ458759:EHA458767 EQV458759:EQW458767 FAR458759:FAS458767 FKN458759:FKO458767 FUJ458759:FUK458767 GEF458759:GEG458767 GOB458759:GOC458767 GXX458759:GXY458767 HHT458759:HHU458767 HRP458759:HRQ458767 IBL458759:IBM458767 ILH458759:ILI458767 IVD458759:IVE458767 JEZ458759:JFA458767 JOV458759:JOW458767 JYR458759:JYS458767 KIN458759:KIO458767 KSJ458759:KSK458767 LCF458759:LCG458767 LMB458759:LMC458767 LVX458759:LVY458767 MFT458759:MFU458767 MPP458759:MPQ458767 MZL458759:MZM458767 NJH458759:NJI458767 NTD458759:NTE458767 OCZ458759:ODA458767 OMV458759:OMW458767 OWR458759:OWS458767 PGN458759:PGO458767 PQJ458759:PQK458767 QAF458759:QAG458767 QKB458759:QKC458767 QTX458759:QTY458767 RDT458759:RDU458767 RNP458759:RNQ458767 RXL458759:RXM458767 SHH458759:SHI458767 SRD458759:SRE458767 TAZ458759:TBA458767 TKV458759:TKW458767 TUR458759:TUS458767 UEN458759:UEO458767 UOJ458759:UOK458767 UYF458759:UYG458767 VIB458759:VIC458767 VRX458759:VRY458767 WBT458759:WBU458767 WLP458759:WLQ458767 WVL458759:WVM458767 D524295:E524303 IZ524295:JA524303 SV524295:SW524303 ACR524295:ACS524303 AMN524295:AMO524303 AWJ524295:AWK524303 BGF524295:BGG524303 BQB524295:BQC524303 BZX524295:BZY524303 CJT524295:CJU524303 CTP524295:CTQ524303 DDL524295:DDM524303 DNH524295:DNI524303 DXD524295:DXE524303 EGZ524295:EHA524303 EQV524295:EQW524303 FAR524295:FAS524303 FKN524295:FKO524303 FUJ524295:FUK524303 GEF524295:GEG524303 GOB524295:GOC524303 GXX524295:GXY524303 HHT524295:HHU524303 HRP524295:HRQ524303 IBL524295:IBM524303 ILH524295:ILI524303 IVD524295:IVE524303 JEZ524295:JFA524303 JOV524295:JOW524303 JYR524295:JYS524303 KIN524295:KIO524303 KSJ524295:KSK524303 LCF524295:LCG524303 LMB524295:LMC524303 LVX524295:LVY524303 MFT524295:MFU524303 MPP524295:MPQ524303 MZL524295:MZM524303 NJH524295:NJI524303 NTD524295:NTE524303 OCZ524295:ODA524303 OMV524295:OMW524303 OWR524295:OWS524303 PGN524295:PGO524303 PQJ524295:PQK524303 QAF524295:QAG524303 QKB524295:QKC524303 QTX524295:QTY524303 RDT524295:RDU524303 RNP524295:RNQ524303 RXL524295:RXM524303 SHH524295:SHI524303 SRD524295:SRE524303 TAZ524295:TBA524303 TKV524295:TKW524303 TUR524295:TUS524303 UEN524295:UEO524303 UOJ524295:UOK524303 UYF524295:UYG524303 VIB524295:VIC524303 VRX524295:VRY524303 WBT524295:WBU524303 WLP524295:WLQ524303 WVL524295:WVM524303 D589831:E589839 IZ589831:JA589839 SV589831:SW589839 ACR589831:ACS589839 AMN589831:AMO589839 AWJ589831:AWK589839 BGF589831:BGG589839 BQB589831:BQC589839 BZX589831:BZY589839 CJT589831:CJU589839 CTP589831:CTQ589839 DDL589831:DDM589839 DNH589831:DNI589839 DXD589831:DXE589839 EGZ589831:EHA589839 EQV589831:EQW589839 FAR589831:FAS589839 FKN589831:FKO589839 FUJ589831:FUK589839 GEF589831:GEG589839 GOB589831:GOC589839 GXX589831:GXY589839 HHT589831:HHU589839 HRP589831:HRQ589839 IBL589831:IBM589839 ILH589831:ILI589839 IVD589831:IVE589839 JEZ589831:JFA589839 JOV589831:JOW589839 JYR589831:JYS589839 KIN589831:KIO589839 KSJ589831:KSK589839 LCF589831:LCG589839 LMB589831:LMC589839 LVX589831:LVY589839 MFT589831:MFU589839 MPP589831:MPQ589839 MZL589831:MZM589839 NJH589831:NJI589839 NTD589831:NTE589839 OCZ589831:ODA589839 OMV589831:OMW589839 OWR589831:OWS589839 PGN589831:PGO589839 PQJ589831:PQK589839 QAF589831:QAG589839 QKB589831:QKC589839 QTX589831:QTY589839 RDT589831:RDU589839 RNP589831:RNQ589839 RXL589831:RXM589839 SHH589831:SHI589839 SRD589831:SRE589839 TAZ589831:TBA589839 TKV589831:TKW589839 TUR589831:TUS589839 UEN589831:UEO589839 UOJ589831:UOK589839 UYF589831:UYG589839 VIB589831:VIC589839 VRX589831:VRY589839 WBT589831:WBU589839 WLP589831:WLQ589839 WVL589831:WVM589839 D655367:E655375 IZ655367:JA655375 SV655367:SW655375 ACR655367:ACS655375 AMN655367:AMO655375 AWJ655367:AWK655375 BGF655367:BGG655375 BQB655367:BQC655375 BZX655367:BZY655375 CJT655367:CJU655375 CTP655367:CTQ655375 DDL655367:DDM655375 DNH655367:DNI655375 DXD655367:DXE655375 EGZ655367:EHA655375 EQV655367:EQW655375 FAR655367:FAS655375 FKN655367:FKO655375 FUJ655367:FUK655375 GEF655367:GEG655375 GOB655367:GOC655375 GXX655367:GXY655375 HHT655367:HHU655375 HRP655367:HRQ655375 IBL655367:IBM655375 ILH655367:ILI655375 IVD655367:IVE655375 JEZ655367:JFA655375 JOV655367:JOW655375 JYR655367:JYS655375 KIN655367:KIO655375 KSJ655367:KSK655375 LCF655367:LCG655375 LMB655367:LMC655375 LVX655367:LVY655375 MFT655367:MFU655375 MPP655367:MPQ655375 MZL655367:MZM655375 NJH655367:NJI655375 NTD655367:NTE655375 OCZ655367:ODA655375 OMV655367:OMW655375 OWR655367:OWS655375 PGN655367:PGO655375 PQJ655367:PQK655375 QAF655367:QAG655375 QKB655367:QKC655375 QTX655367:QTY655375 RDT655367:RDU655375 RNP655367:RNQ655375 RXL655367:RXM655375 SHH655367:SHI655375 SRD655367:SRE655375 TAZ655367:TBA655375 TKV655367:TKW655375 TUR655367:TUS655375 UEN655367:UEO655375 UOJ655367:UOK655375 UYF655367:UYG655375 VIB655367:VIC655375 VRX655367:VRY655375 WBT655367:WBU655375 WLP655367:WLQ655375 WVL655367:WVM655375 D720903:E720911 IZ720903:JA720911 SV720903:SW720911 ACR720903:ACS720911 AMN720903:AMO720911 AWJ720903:AWK720911 BGF720903:BGG720911 BQB720903:BQC720911 BZX720903:BZY720911 CJT720903:CJU720911 CTP720903:CTQ720911 DDL720903:DDM720911 DNH720903:DNI720911 DXD720903:DXE720911 EGZ720903:EHA720911 EQV720903:EQW720911 FAR720903:FAS720911 FKN720903:FKO720911 FUJ720903:FUK720911 GEF720903:GEG720911 GOB720903:GOC720911 GXX720903:GXY720911 HHT720903:HHU720911 HRP720903:HRQ720911 IBL720903:IBM720911 ILH720903:ILI720911 IVD720903:IVE720911 JEZ720903:JFA720911 JOV720903:JOW720911 JYR720903:JYS720911 KIN720903:KIO720911 KSJ720903:KSK720911 LCF720903:LCG720911 LMB720903:LMC720911 LVX720903:LVY720911 MFT720903:MFU720911 MPP720903:MPQ720911 MZL720903:MZM720911 NJH720903:NJI720911 NTD720903:NTE720911 OCZ720903:ODA720911 OMV720903:OMW720911 OWR720903:OWS720911 PGN720903:PGO720911 PQJ720903:PQK720911 QAF720903:QAG720911 QKB720903:QKC720911 QTX720903:QTY720911 RDT720903:RDU720911 RNP720903:RNQ720911 RXL720903:RXM720911 SHH720903:SHI720911 SRD720903:SRE720911 TAZ720903:TBA720911 TKV720903:TKW720911 TUR720903:TUS720911 UEN720903:UEO720911 UOJ720903:UOK720911 UYF720903:UYG720911 VIB720903:VIC720911 VRX720903:VRY720911 WBT720903:WBU720911 WLP720903:WLQ720911 WVL720903:WVM720911 D786439:E786447 IZ786439:JA786447 SV786439:SW786447 ACR786439:ACS786447 AMN786439:AMO786447 AWJ786439:AWK786447 BGF786439:BGG786447 BQB786439:BQC786447 BZX786439:BZY786447 CJT786439:CJU786447 CTP786439:CTQ786447 DDL786439:DDM786447 DNH786439:DNI786447 DXD786439:DXE786447 EGZ786439:EHA786447 EQV786439:EQW786447 FAR786439:FAS786447 FKN786439:FKO786447 FUJ786439:FUK786447 GEF786439:GEG786447 GOB786439:GOC786447 GXX786439:GXY786447 HHT786439:HHU786447 HRP786439:HRQ786447 IBL786439:IBM786447 ILH786439:ILI786447 IVD786439:IVE786447 JEZ786439:JFA786447 JOV786439:JOW786447 JYR786439:JYS786447 KIN786439:KIO786447 KSJ786439:KSK786447 LCF786439:LCG786447 LMB786439:LMC786447 LVX786439:LVY786447 MFT786439:MFU786447 MPP786439:MPQ786447 MZL786439:MZM786447 NJH786439:NJI786447 NTD786439:NTE786447 OCZ786439:ODA786447 OMV786439:OMW786447 OWR786439:OWS786447 PGN786439:PGO786447 PQJ786439:PQK786447 QAF786439:QAG786447 QKB786439:QKC786447 QTX786439:QTY786447 RDT786439:RDU786447 RNP786439:RNQ786447 RXL786439:RXM786447 SHH786439:SHI786447 SRD786439:SRE786447 TAZ786439:TBA786447 TKV786439:TKW786447 TUR786439:TUS786447 UEN786439:UEO786447 UOJ786439:UOK786447 UYF786439:UYG786447 VIB786439:VIC786447 VRX786439:VRY786447 WBT786439:WBU786447 WLP786439:WLQ786447 WVL786439:WVM786447 D851975:E851983 IZ851975:JA851983 SV851975:SW851983 ACR851975:ACS851983 AMN851975:AMO851983 AWJ851975:AWK851983 BGF851975:BGG851983 BQB851975:BQC851983 BZX851975:BZY851983 CJT851975:CJU851983 CTP851975:CTQ851983 DDL851975:DDM851983 DNH851975:DNI851983 DXD851975:DXE851983 EGZ851975:EHA851983 EQV851975:EQW851983 FAR851975:FAS851983 FKN851975:FKO851983 FUJ851975:FUK851983 GEF851975:GEG851983 GOB851975:GOC851983 GXX851975:GXY851983 HHT851975:HHU851983 HRP851975:HRQ851983 IBL851975:IBM851983 ILH851975:ILI851983 IVD851975:IVE851983 JEZ851975:JFA851983 JOV851975:JOW851983 JYR851975:JYS851983 KIN851975:KIO851983 KSJ851975:KSK851983 LCF851975:LCG851983 LMB851975:LMC851983 LVX851975:LVY851983 MFT851975:MFU851983 MPP851975:MPQ851983 MZL851975:MZM851983 NJH851975:NJI851983 NTD851975:NTE851983 OCZ851975:ODA851983 OMV851975:OMW851983 OWR851975:OWS851983 PGN851975:PGO851983 PQJ851975:PQK851983 QAF851975:QAG851983 QKB851975:QKC851983 QTX851975:QTY851983 RDT851975:RDU851983 RNP851975:RNQ851983 RXL851975:RXM851983 SHH851975:SHI851983 SRD851975:SRE851983 TAZ851975:TBA851983 TKV851975:TKW851983 TUR851975:TUS851983 UEN851975:UEO851983 UOJ851975:UOK851983 UYF851975:UYG851983 VIB851975:VIC851983 VRX851975:VRY851983 WBT851975:WBU851983 WLP851975:WLQ851983 WVL851975:WVM851983 D917511:E917519 IZ917511:JA917519 SV917511:SW917519 ACR917511:ACS917519 AMN917511:AMO917519 AWJ917511:AWK917519 BGF917511:BGG917519 BQB917511:BQC917519 BZX917511:BZY917519 CJT917511:CJU917519 CTP917511:CTQ917519 DDL917511:DDM917519 DNH917511:DNI917519 DXD917511:DXE917519 EGZ917511:EHA917519 EQV917511:EQW917519 FAR917511:FAS917519 FKN917511:FKO917519 FUJ917511:FUK917519 GEF917511:GEG917519 GOB917511:GOC917519 GXX917511:GXY917519 HHT917511:HHU917519 HRP917511:HRQ917519 IBL917511:IBM917519 ILH917511:ILI917519 IVD917511:IVE917519 JEZ917511:JFA917519 JOV917511:JOW917519 JYR917511:JYS917519 KIN917511:KIO917519 KSJ917511:KSK917519 LCF917511:LCG917519 LMB917511:LMC917519 LVX917511:LVY917519 MFT917511:MFU917519 MPP917511:MPQ917519 MZL917511:MZM917519 NJH917511:NJI917519 NTD917511:NTE917519 OCZ917511:ODA917519 OMV917511:OMW917519 OWR917511:OWS917519 PGN917511:PGO917519 PQJ917511:PQK917519 QAF917511:QAG917519 QKB917511:QKC917519 QTX917511:QTY917519 RDT917511:RDU917519 RNP917511:RNQ917519 RXL917511:RXM917519 SHH917511:SHI917519 SRD917511:SRE917519 TAZ917511:TBA917519 TKV917511:TKW917519 TUR917511:TUS917519 UEN917511:UEO917519 UOJ917511:UOK917519 UYF917511:UYG917519 VIB917511:VIC917519 VRX917511:VRY917519 WBT917511:WBU917519 WLP917511:WLQ917519 WVL917511:WVM917519 D983047:E983055 IZ983047:JA983055 SV983047:SW983055 ACR983047:ACS983055 AMN983047:AMO983055 AWJ983047:AWK983055 BGF983047:BGG983055 BQB983047:BQC983055 BZX983047:BZY983055 CJT983047:CJU983055 CTP983047:CTQ983055 DDL983047:DDM983055 DNH983047:DNI983055 DXD983047:DXE983055 EGZ983047:EHA983055 EQV983047:EQW983055 FAR983047:FAS983055 FKN983047:FKO983055 FUJ983047:FUK983055 GEF983047:GEG983055 GOB983047:GOC983055 GXX983047:GXY983055 HHT983047:HHU983055 HRP983047:HRQ983055 IBL983047:IBM983055 ILH983047:ILI983055 IVD983047:IVE983055 JEZ983047:JFA983055 JOV983047:JOW983055 JYR983047:JYS983055 KIN983047:KIO983055 KSJ983047:KSK983055 LCF983047:LCG983055 LMB983047:LMC983055 LVX983047:LVY983055 MFT983047:MFU983055 MPP983047:MPQ983055 MZL983047:MZM983055 NJH983047:NJI983055 NTD983047:NTE983055 OCZ983047:ODA983055 OMV983047:OMW983055 OWR983047:OWS983055 PGN983047:PGO983055 PQJ983047:PQK983055 QAF983047:QAG983055 QKB983047:QKC983055 QTX983047:QTY983055 RDT983047:RDU983055 RNP983047:RNQ983055 RXL983047:RXM983055 SHH983047:SHI983055 SRD983047:SRE983055 TAZ983047:TBA983055 TKV983047:TKW983055 TUR983047:TUS983055 UEN983047:UEO983055 UOJ983047:UOK983055 UYF983047:UYG983055 VIB983047:VIC983055 VRX983047:VRY983055 WBT983047:WBU983055 WLP983047:WLQ983055 WVL983047:WVM983055">
      <formula1>0</formula1>
      <formula2>33</formula2>
    </dataValidation>
  </dataValidations>
  <printOptions gridLinesSet="0"/>
  <pageMargins left="0.59055118110236227" right="0.39370078740157483" top="0.39370078740157483" bottom="0.31496062992125984" header="0.31496062992125984" footer="0.51181102362204722"/>
  <pageSetup paperSize="9" scale="62" orientation="portrait" r:id="rId1"/>
  <headerFooter alignWithMargins="0">
    <oddFooter>&amp;C&amp;5                                                             &amp;A von:  &amp;F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7030A0"/>
  </sheetPr>
  <dimension ref="A1:O344"/>
  <sheetViews>
    <sheetView workbookViewId="0">
      <selection activeCell="T30" sqref="T30"/>
    </sheetView>
  </sheetViews>
  <sheetFormatPr baseColWidth="10" defaultRowHeight="15" x14ac:dyDescent="0.25"/>
  <cols>
    <col min="1" max="1" width="1.28515625" customWidth="1"/>
    <col min="2" max="2" width="6.42578125" customWidth="1"/>
    <col min="3" max="3" width="11.42578125" customWidth="1"/>
    <col min="4" max="5" width="2.85546875" customWidth="1"/>
    <col min="12" max="12" width="6.42578125" customWidth="1"/>
    <col min="13" max="13" width="10.85546875" customWidth="1"/>
  </cols>
  <sheetData>
    <row r="1" spans="1:15" ht="23.25" x14ac:dyDescent="0.35">
      <c r="A1" s="491" t="s">
        <v>729</v>
      </c>
      <c r="B1" t="s">
        <v>631</v>
      </c>
      <c r="E1" s="478"/>
    </row>
    <row r="2" spans="1:15" ht="21" x14ac:dyDescent="0.35">
      <c r="A2" s="27"/>
      <c r="B2" t="s">
        <v>632</v>
      </c>
      <c r="D2" s="477"/>
      <c r="H2" s="488"/>
      <c r="I2" s="488"/>
      <c r="J2" s="488"/>
      <c r="K2" s="488"/>
      <c r="L2" s="488"/>
      <c r="M2" s="493" t="s">
        <v>731</v>
      </c>
      <c r="N2" s="490" t="s">
        <v>726</v>
      </c>
      <c r="O2" s="46" t="s">
        <v>727</v>
      </c>
    </row>
    <row r="3" spans="1:15" x14ac:dyDescent="0.25">
      <c r="B3" t="s">
        <v>728</v>
      </c>
      <c r="D3" s="477"/>
      <c r="E3" s="478"/>
    </row>
    <row r="4" spans="1:15" ht="9.75" customHeight="1" x14ac:dyDescent="0.25">
      <c r="B4" s="488" t="s">
        <v>712</v>
      </c>
    </row>
    <row r="5" spans="1:15" x14ac:dyDescent="0.25">
      <c r="B5" t="s">
        <v>633</v>
      </c>
    </row>
    <row r="6" spans="1:15" ht="18.75" x14ac:dyDescent="0.3">
      <c r="A6" s="5"/>
      <c r="B6" t="s">
        <v>693</v>
      </c>
    </row>
    <row r="7" spans="1:15" ht="18.75" x14ac:dyDescent="0.3">
      <c r="A7" s="5"/>
      <c r="B7" t="s">
        <v>634</v>
      </c>
      <c r="M7" s="494" t="s">
        <v>732</v>
      </c>
    </row>
    <row r="8" spans="1:15" ht="15.75" x14ac:dyDescent="0.25">
      <c r="A8" s="4"/>
      <c r="B8" t="s">
        <v>635</v>
      </c>
    </row>
    <row r="9" spans="1:15" x14ac:dyDescent="0.25">
      <c r="C9" t="s">
        <v>636</v>
      </c>
    </row>
    <row r="11" spans="1:15" ht="18.75" x14ac:dyDescent="0.3">
      <c r="A11" s="5"/>
      <c r="B11" t="s">
        <v>637</v>
      </c>
    </row>
    <row r="12" spans="1:15" x14ac:dyDescent="0.25">
      <c r="C12" t="s">
        <v>694</v>
      </c>
    </row>
    <row r="13" spans="1:15" x14ac:dyDescent="0.25">
      <c r="C13" t="s">
        <v>720</v>
      </c>
    </row>
    <row r="14" spans="1:15" x14ac:dyDescent="0.25">
      <c r="C14" t="s">
        <v>638</v>
      </c>
    </row>
    <row r="16" spans="1:15" x14ac:dyDescent="0.25">
      <c r="C16" s="83" t="s">
        <v>695</v>
      </c>
    </row>
    <row r="17" spans="1:3" ht="15.75" x14ac:dyDescent="0.25">
      <c r="A17" s="4"/>
    </row>
    <row r="18" spans="1:3" x14ac:dyDescent="0.25">
      <c r="B18" t="s">
        <v>725</v>
      </c>
    </row>
    <row r="19" spans="1:3" x14ac:dyDescent="0.25">
      <c r="B19" t="s">
        <v>643</v>
      </c>
    </row>
    <row r="20" spans="1:3" x14ac:dyDescent="0.25">
      <c r="B20" t="s">
        <v>696</v>
      </c>
    </row>
    <row r="21" spans="1:3" ht="18.75" x14ac:dyDescent="0.3">
      <c r="A21" s="5"/>
      <c r="B21" t="s">
        <v>658</v>
      </c>
    </row>
    <row r="22" spans="1:3" ht="12.75" customHeight="1" x14ac:dyDescent="0.25">
      <c r="A22" s="55"/>
      <c r="C22" t="s">
        <v>639</v>
      </c>
    </row>
    <row r="23" spans="1:3" ht="12.75" customHeight="1" x14ac:dyDescent="0.25">
      <c r="A23" s="55"/>
      <c r="C23" t="s">
        <v>640</v>
      </c>
    </row>
    <row r="24" spans="1:3" ht="12.75" customHeight="1" x14ac:dyDescent="0.25">
      <c r="A24" s="55"/>
      <c r="C24" t="s">
        <v>697</v>
      </c>
    </row>
    <row r="25" spans="1:3" ht="12.75" customHeight="1" x14ac:dyDescent="0.25">
      <c r="A25" s="55"/>
      <c r="C25" t="s">
        <v>698</v>
      </c>
    </row>
    <row r="26" spans="1:3" ht="12.75" customHeight="1" x14ac:dyDescent="0.25">
      <c r="A26" s="55"/>
      <c r="B26" t="s">
        <v>699</v>
      </c>
    </row>
    <row r="27" spans="1:3" ht="5.25" customHeight="1" x14ac:dyDescent="0.25"/>
    <row r="28" spans="1:3" x14ac:dyDescent="0.25">
      <c r="B28" t="s">
        <v>641</v>
      </c>
    </row>
    <row r="29" spans="1:3" x14ac:dyDescent="0.25">
      <c r="B29" t="s">
        <v>700</v>
      </c>
    </row>
    <row r="30" spans="1:3" ht="18.75" x14ac:dyDescent="0.3">
      <c r="A30" s="5"/>
      <c r="B30" t="s">
        <v>659</v>
      </c>
    </row>
    <row r="31" spans="1:3" ht="18.75" x14ac:dyDescent="0.3">
      <c r="A31" s="301"/>
      <c r="B31" s="301"/>
    </row>
    <row r="32" spans="1:3" ht="18.75" x14ac:dyDescent="0.3">
      <c r="A32" s="5"/>
      <c r="B32" t="s">
        <v>702</v>
      </c>
    </row>
    <row r="33" spans="1:3" x14ac:dyDescent="0.25">
      <c r="C33" t="s">
        <v>703</v>
      </c>
    </row>
    <row r="34" spans="1:3" x14ac:dyDescent="0.25">
      <c r="B34" t="s">
        <v>704</v>
      </c>
    </row>
    <row r="37" spans="1:3" x14ac:dyDescent="0.25">
      <c r="B37" t="s">
        <v>705</v>
      </c>
    </row>
    <row r="38" spans="1:3" x14ac:dyDescent="0.25">
      <c r="B38" t="s">
        <v>706</v>
      </c>
    </row>
    <row r="39" spans="1:3" x14ac:dyDescent="0.25">
      <c r="B39" t="s">
        <v>707</v>
      </c>
    </row>
    <row r="40" spans="1:3" x14ac:dyDescent="0.25">
      <c r="B40" t="s">
        <v>642</v>
      </c>
    </row>
    <row r="42" spans="1:3" x14ac:dyDescent="0.25">
      <c r="B42" t="s">
        <v>645</v>
      </c>
    </row>
    <row r="43" spans="1:3" ht="5.25" customHeight="1" x14ac:dyDescent="0.25"/>
    <row r="44" spans="1:3" ht="15.75" x14ac:dyDescent="0.25">
      <c r="A44" s="4"/>
    </row>
    <row r="45" spans="1:3" ht="5.25" customHeight="1" x14ac:dyDescent="0.25"/>
    <row r="46" spans="1:3" x14ac:dyDescent="0.25">
      <c r="B46" t="s">
        <v>644</v>
      </c>
    </row>
    <row r="47" spans="1:3" x14ac:dyDescent="0.25">
      <c r="B47" t="s">
        <v>646</v>
      </c>
    </row>
    <row r="49" spans="1:4" ht="18.75" x14ac:dyDescent="0.3">
      <c r="A49" s="322"/>
      <c r="B49" t="s">
        <v>647</v>
      </c>
    </row>
    <row r="50" spans="1:4" ht="6.75" customHeight="1" x14ac:dyDescent="0.25">
      <c r="A50" s="104"/>
    </row>
    <row r="52" spans="1:4" x14ac:dyDescent="0.25">
      <c r="B52" t="s">
        <v>708</v>
      </c>
      <c r="D52" s="477"/>
    </row>
    <row r="53" spans="1:4" ht="18.75" x14ac:dyDescent="0.3">
      <c r="A53" s="5"/>
    </row>
    <row r="56" spans="1:4" x14ac:dyDescent="0.25">
      <c r="B56" t="s">
        <v>648</v>
      </c>
    </row>
    <row r="57" spans="1:4" ht="10.5" customHeight="1" x14ac:dyDescent="0.25">
      <c r="C57" t="s">
        <v>649</v>
      </c>
    </row>
    <row r="58" spans="1:4" ht="18.75" x14ac:dyDescent="0.3">
      <c r="A58" s="301"/>
      <c r="B58" s="301"/>
    </row>
    <row r="59" spans="1:4" ht="5.25" customHeight="1" x14ac:dyDescent="0.25">
      <c r="A59" s="104"/>
    </row>
    <row r="60" spans="1:4" ht="15.75" x14ac:dyDescent="0.25">
      <c r="A60" s="318"/>
    </row>
    <row r="61" spans="1:4" ht="15.75" x14ac:dyDescent="0.25">
      <c r="A61" s="318"/>
    </row>
    <row r="62" spans="1:4" ht="15.75" x14ac:dyDescent="0.25">
      <c r="A62" s="318"/>
      <c r="B62" t="s">
        <v>650</v>
      </c>
    </row>
    <row r="63" spans="1:4" ht="12.75" customHeight="1" x14ac:dyDescent="0.25">
      <c r="A63" s="104"/>
    </row>
    <row r="64" spans="1:4" ht="15.75" x14ac:dyDescent="0.25">
      <c r="A64" s="318"/>
      <c r="B64" t="s">
        <v>709</v>
      </c>
    </row>
    <row r="65" spans="1:3" ht="5.25" customHeight="1" x14ac:dyDescent="0.25"/>
    <row r="66" spans="1:3" ht="15.75" x14ac:dyDescent="0.25">
      <c r="A66" s="318"/>
      <c r="B66" t="s">
        <v>657</v>
      </c>
    </row>
    <row r="67" spans="1:3" x14ac:dyDescent="0.25">
      <c r="A67" s="104"/>
    </row>
    <row r="68" spans="1:3" ht="5.25" customHeight="1" x14ac:dyDescent="0.25"/>
    <row r="69" spans="1:3" x14ac:dyDescent="0.25">
      <c r="A69" s="104"/>
      <c r="B69" t="s">
        <v>710</v>
      </c>
    </row>
    <row r="70" spans="1:3" x14ac:dyDescent="0.25">
      <c r="A70" s="104"/>
      <c r="B70" t="s">
        <v>651</v>
      </c>
    </row>
    <row r="71" spans="1:3" x14ac:dyDescent="0.25">
      <c r="A71" s="104"/>
      <c r="C71" t="s">
        <v>660</v>
      </c>
    </row>
    <row r="72" spans="1:3" x14ac:dyDescent="0.25">
      <c r="A72" s="104"/>
    </row>
    <row r="73" spans="1:3" x14ac:dyDescent="0.25">
      <c r="A73" s="104"/>
      <c r="B73" t="s">
        <v>653</v>
      </c>
    </row>
    <row r="74" spans="1:3" x14ac:dyDescent="0.25">
      <c r="A74" s="104"/>
      <c r="B74" t="s">
        <v>654</v>
      </c>
    </row>
    <row r="75" spans="1:3" ht="13.5" customHeight="1" x14ac:dyDescent="0.25">
      <c r="C75" t="s">
        <v>655</v>
      </c>
    </row>
    <row r="76" spans="1:3" ht="13.5" customHeight="1" x14ac:dyDescent="0.25"/>
    <row r="77" spans="1:3" ht="13.5" customHeight="1" x14ac:dyDescent="0.25">
      <c r="A77" s="104"/>
      <c r="B77" t="s">
        <v>656</v>
      </c>
    </row>
    <row r="78" spans="1:3" ht="15.75" x14ac:dyDescent="0.25">
      <c r="A78" s="318"/>
      <c r="B78" s="2" t="s">
        <v>652</v>
      </c>
    </row>
    <row r="79" spans="1:3" ht="9.75" customHeight="1" x14ac:dyDescent="0.25"/>
    <row r="80" spans="1:3" ht="18.75" x14ac:dyDescent="0.3">
      <c r="A80" s="301"/>
      <c r="B80" s="301"/>
    </row>
    <row r="81" spans="1:4" ht="7.5" customHeight="1" x14ac:dyDescent="0.25">
      <c r="A81" s="104"/>
    </row>
    <row r="82" spans="1:4" x14ac:dyDescent="0.25">
      <c r="D82" s="477"/>
    </row>
    <row r="84" spans="1:4" ht="37.5" customHeight="1" x14ac:dyDescent="0.25"/>
    <row r="85" spans="1:4" ht="18.75" x14ac:dyDescent="0.3">
      <c r="A85" s="5"/>
      <c r="D85" s="477"/>
    </row>
    <row r="86" spans="1:4" ht="5.25" customHeight="1" x14ac:dyDescent="0.25"/>
    <row r="87" spans="1:4" x14ac:dyDescent="0.25">
      <c r="D87" s="477"/>
    </row>
    <row r="88" spans="1:4" ht="15.75" x14ac:dyDescent="0.25">
      <c r="A88" s="4"/>
    </row>
    <row r="90" spans="1:4" ht="32.25" customHeight="1" x14ac:dyDescent="0.25"/>
    <row r="91" spans="1:4" x14ac:dyDescent="0.25">
      <c r="B91" t="s">
        <v>711</v>
      </c>
    </row>
    <row r="100" spans="1:11" ht="24.75" x14ac:dyDescent="0.4">
      <c r="A100" s="481"/>
      <c r="B100" s="425"/>
      <c r="C100" s="425"/>
      <c r="D100" s="425"/>
      <c r="E100" s="425"/>
      <c r="F100" s="425"/>
      <c r="G100" s="425"/>
      <c r="H100" s="425"/>
      <c r="I100" s="425"/>
      <c r="J100" s="425"/>
      <c r="K100" s="425"/>
    </row>
    <row r="101" spans="1:11" ht="31.5" x14ac:dyDescent="0.5">
      <c r="A101" s="140" t="s">
        <v>472</v>
      </c>
      <c r="D101" s="477"/>
    </row>
    <row r="102" spans="1:11" ht="12" customHeight="1" x14ac:dyDescent="0.25"/>
    <row r="103" spans="1:11" x14ac:dyDescent="0.25">
      <c r="B103" t="s">
        <v>713</v>
      </c>
    </row>
    <row r="104" spans="1:11" x14ac:dyDescent="0.25">
      <c r="C104" t="s">
        <v>664</v>
      </c>
    </row>
    <row r="105" spans="1:11" ht="20.25" customHeight="1" x14ac:dyDescent="0.25">
      <c r="C105" s="479" t="s">
        <v>661</v>
      </c>
    </row>
    <row r="106" spans="1:11" ht="18" customHeight="1" x14ac:dyDescent="0.25">
      <c r="B106" t="s">
        <v>665</v>
      </c>
    </row>
    <row r="107" spans="1:11" ht="16.5" customHeight="1" x14ac:dyDescent="0.25"/>
    <row r="109" spans="1:11" ht="7.5" customHeight="1" x14ac:dyDescent="0.25"/>
    <row r="110" spans="1:11" ht="20.25" customHeight="1" x14ac:dyDescent="0.25"/>
    <row r="114" spans="2:13" ht="18" customHeight="1" x14ac:dyDescent="0.25"/>
    <row r="119" spans="2:13" ht="6.75" customHeight="1" x14ac:dyDescent="0.25"/>
    <row r="120" spans="2:13" ht="6.75" customHeight="1" x14ac:dyDescent="0.25"/>
    <row r="121" spans="2:13" ht="6.75" customHeight="1" x14ac:dyDescent="0.25"/>
    <row r="122" spans="2:13" ht="6.75" customHeight="1" x14ac:dyDescent="0.25"/>
    <row r="123" spans="2:13" ht="9.75" customHeight="1" x14ac:dyDescent="0.25"/>
    <row r="126" spans="2:13" ht="36.75" customHeight="1" x14ac:dyDescent="0.25">
      <c r="B126" t="s">
        <v>662</v>
      </c>
    </row>
    <row r="127" spans="2:13" ht="23.25" customHeight="1" x14ac:dyDescent="0.25">
      <c r="B127" t="s">
        <v>666</v>
      </c>
      <c r="C127" s="6"/>
      <c r="M127" s="480" t="s">
        <v>663</v>
      </c>
    </row>
    <row r="128" spans="2:13" ht="13.5" customHeight="1" x14ac:dyDescent="0.25">
      <c r="D128" s="477"/>
    </row>
    <row r="129" spans="2:12" ht="27.75" customHeight="1" x14ac:dyDescent="0.25"/>
    <row r="130" spans="2:12" hidden="1" x14ac:dyDescent="0.25"/>
    <row r="131" spans="2:12" hidden="1" x14ac:dyDescent="0.25"/>
    <row r="132" spans="2:12" hidden="1" x14ac:dyDescent="0.25"/>
    <row r="133" spans="2:12" hidden="1" x14ac:dyDescent="0.25"/>
    <row r="134" spans="2:12" hidden="1" x14ac:dyDescent="0.25"/>
    <row r="135" spans="2:12" hidden="1" x14ac:dyDescent="0.25"/>
    <row r="136" spans="2:12" hidden="1" x14ac:dyDescent="0.25"/>
    <row r="137" spans="2:12" ht="11.25" customHeight="1" x14ac:dyDescent="0.25"/>
    <row r="138" spans="2:12" ht="21" customHeight="1" x14ac:dyDescent="0.25">
      <c r="B138" t="s">
        <v>716</v>
      </c>
    </row>
    <row r="139" spans="2:12" x14ac:dyDescent="0.25">
      <c r="L139" s="2" t="s">
        <v>715</v>
      </c>
    </row>
    <row r="140" spans="2:12" x14ac:dyDescent="0.25">
      <c r="L140" s="2" t="s">
        <v>714</v>
      </c>
    </row>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11" hidden="1" x14ac:dyDescent="0.25"/>
    <row r="194" spans="1:11" hidden="1" x14ac:dyDescent="0.25"/>
    <row r="195" spans="1:11" hidden="1" x14ac:dyDescent="0.25"/>
    <row r="196" spans="1:11" hidden="1" x14ac:dyDescent="0.25"/>
    <row r="197" spans="1:11" hidden="1" x14ac:dyDescent="0.25"/>
    <row r="198" spans="1:11" hidden="1" x14ac:dyDescent="0.25"/>
    <row r="200" spans="1:11" ht="24.75" x14ac:dyDescent="0.4">
      <c r="A200" s="481"/>
      <c r="B200" s="425"/>
      <c r="C200" s="425"/>
      <c r="D200" s="425"/>
      <c r="E200" s="425"/>
      <c r="F200" s="425"/>
      <c r="G200" s="425"/>
      <c r="H200" s="425"/>
      <c r="I200" s="425"/>
      <c r="J200" s="425"/>
      <c r="K200" s="425"/>
    </row>
    <row r="201" spans="1:11" ht="26.25" x14ac:dyDescent="0.4">
      <c r="A201" s="226" t="s">
        <v>527</v>
      </c>
    </row>
    <row r="202" spans="1:11" ht="6" customHeight="1" x14ac:dyDescent="0.25"/>
    <row r="203" spans="1:11" ht="33" customHeight="1" x14ac:dyDescent="0.25">
      <c r="D203" s="477"/>
    </row>
    <row r="204" spans="1:11" ht="20.25" customHeight="1" x14ac:dyDescent="0.25"/>
    <row r="205" spans="1:11" ht="21.75" customHeight="1" x14ac:dyDescent="0.25"/>
    <row r="206" spans="1:11" ht="31.5" customHeight="1" x14ac:dyDescent="0.25"/>
    <row r="207" spans="1:11" ht="4.5" customHeight="1" x14ac:dyDescent="0.25"/>
    <row r="208" spans="1:11" x14ac:dyDescent="0.25">
      <c r="B208" t="s">
        <v>667</v>
      </c>
    </row>
    <row r="209" spans="3:3" x14ac:dyDescent="0.25">
      <c r="C209" t="s">
        <v>668</v>
      </c>
    </row>
    <row r="223" spans="3:3" hidden="1" x14ac:dyDescent="0.25"/>
    <row r="224" spans="3:3"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spans="2:4" hidden="1" x14ac:dyDescent="0.25"/>
    <row r="258" spans="2:4" hidden="1" x14ac:dyDescent="0.25"/>
    <row r="259" spans="2:4" hidden="1" x14ac:dyDescent="0.25"/>
    <row r="260" spans="2:4" hidden="1" x14ac:dyDescent="0.25"/>
    <row r="261" spans="2:4" hidden="1" x14ac:dyDescent="0.25"/>
    <row r="262" spans="2:4" hidden="1" x14ac:dyDescent="0.25"/>
    <row r="263" spans="2:4" hidden="1" x14ac:dyDescent="0.25"/>
    <row r="264" spans="2:4" hidden="1" x14ac:dyDescent="0.25"/>
    <row r="265" spans="2:4" hidden="1" x14ac:dyDescent="0.25"/>
    <row r="268" spans="2:4" x14ac:dyDescent="0.25">
      <c r="B268" t="s">
        <v>669</v>
      </c>
      <c r="D268" s="477"/>
    </row>
    <row r="269" spans="2:4" ht="17.25" customHeight="1" x14ac:dyDescent="0.25">
      <c r="C269" t="s">
        <v>717</v>
      </c>
    </row>
    <row r="270" spans="2:4" ht="18" customHeight="1" x14ac:dyDescent="0.25">
      <c r="B270" t="s">
        <v>718</v>
      </c>
    </row>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11" hidden="1" x14ac:dyDescent="0.25"/>
    <row r="290" spans="1:11" hidden="1" x14ac:dyDescent="0.25"/>
    <row r="291" spans="1:11" hidden="1" x14ac:dyDescent="0.25"/>
    <row r="292" spans="1:11" hidden="1" x14ac:dyDescent="0.25"/>
    <row r="293" spans="1:11" hidden="1" x14ac:dyDescent="0.25"/>
    <row r="294" spans="1:11" hidden="1" x14ac:dyDescent="0.25"/>
    <row r="295" spans="1:11" hidden="1" x14ac:dyDescent="0.25"/>
    <row r="296" spans="1:11" hidden="1" x14ac:dyDescent="0.25"/>
    <row r="297" spans="1:11" hidden="1" x14ac:dyDescent="0.25"/>
    <row r="298" spans="1:11" hidden="1" x14ac:dyDescent="0.25"/>
    <row r="299" spans="1:11" ht="59.25" customHeight="1" x14ac:dyDescent="0.25"/>
    <row r="300" spans="1:11" ht="24.75" x14ac:dyDescent="0.4">
      <c r="A300" s="481"/>
      <c r="B300" s="425"/>
      <c r="C300" s="425"/>
      <c r="D300" s="425"/>
      <c r="E300" s="425"/>
      <c r="F300" s="425"/>
      <c r="G300" s="425"/>
      <c r="H300" s="425"/>
      <c r="I300" s="425"/>
      <c r="J300" s="425"/>
      <c r="K300" s="425"/>
    </row>
    <row r="301" spans="1:11" ht="26.25" x14ac:dyDescent="0.4">
      <c r="B301" s="482" t="s">
        <v>670</v>
      </c>
      <c r="F301" s="483" t="s">
        <v>671</v>
      </c>
    </row>
    <row r="302" spans="1:11" ht="7.5" customHeight="1" x14ac:dyDescent="0.25"/>
    <row r="303" spans="1:11" x14ac:dyDescent="0.25">
      <c r="B303" t="s">
        <v>672</v>
      </c>
    </row>
    <row r="305" spans="1:11" x14ac:dyDescent="0.25">
      <c r="B305" t="s">
        <v>673</v>
      </c>
    </row>
    <row r="307" spans="1:11" x14ac:dyDescent="0.25">
      <c r="B307" t="s">
        <v>507</v>
      </c>
      <c r="D307" t="s">
        <v>724</v>
      </c>
    </row>
    <row r="309" spans="1:11" x14ac:dyDescent="0.25">
      <c r="B309" t="s">
        <v>508</v>
      </c>
      <c r="D309" t="s">
        <v>719</v>
      </c>
    </row>
    <row r="311" spans="1:11" x14ac:dyDescent="0.25">
      <c r="B311" t="s">
        <v>690</v>
      </c>
      <c r="D311" t="s">
        <v>674</v>
      </c>
    </row>
    <row r="312" spans="1:11" x14ac:dyDescent="0.25">
      <c r="D312" t="s">
        <v>675</v>
      </c>
    </row>
    <row r="313" spans="1:11" x14ac:dyDescent="0.25">
      <c r="D313" t="s">
        <v>676</v>
      </c>
    </row>
    <row r="316" spans="1:11" ht="59.25" customHeight="1" x14ac:dyDescent="0.25"/>
    <row r="317" spans="1:11" ht="24.75" x14ac:dyDescent="0.4">
      <c r="A317" s="481"/>
      <c r="B317" s="425"/>
      <c r="C317" s="425"/>
      <c r="D317" s="425"/>
      <c r="E317" s="425"/>
      <c r="F317" s="425"/>
      <c r="G317" s="425"/>
      <c r="H317" s="425"/>
      <c r="I317" s="425"/>
      <c r="J317" s="425"/>
      <c r="K317" s="425"/>
    </row>
    <row r="318" spans="1:11" ht="26.25" x14ac:dyDescent="0.4">
      <c r="B318" s="482" t="s">
        <v>670</v>
      </c>
      <c r="F318" s="483" t="s">
        <v>2</v>
      </c>
    </row>
    <row r="319" spans="1:11" ht="7.5" customHeight="1" x14ac:dyDescent="0.25"/>
    <row r="320" spans="1:11" x14ac:dyDescent="0.25">
      <c r="B320" t="s">
        <v>677</v>
      </c>
    </row>
    <row r="321" spans="2:12" x14ac:dyDescent="0.25">
      <c r="C321" t="s">
        <v>685</v>
      </c>
    </row>
    <row r="322" spans="2:12" x14ac:dyDescent="0.25">
      <c r="C322" t="s">
        <v>680</v>
      </c>
    </row>
    <row r="323" spans="2:12" x14ac:dyDescent="0.25">
      <c r="C323" t="s">
        <v>687</v>
      </c>
    </row>
    <row r="324" spans="2:12" x14ac:dyDescent="0.25">
      <c r="C324" t="s">
        <v>686</v>
      </c>
      <c r="E324" s="478"/>
      <c r="L324" s="485" t="s">
        <v>688</v>
      </c>
    </row>
    <row r="326" spans="2:12" x14ac:dyDescent="0.25">
      <c r="B326" t="s">
        <v>678</v>
      </c>
      <c r="D326" t="s">
        <v>679</v>
      </c>
    </row>
    <row r="328" spans="2:12" x14ac:dyDescent="0.25">
      <c r="B328" t="s">
        <v>721</v>
      </c>
    </row>
    <row r="330" spans="2:12" x14ac:dyDescent="0.25">
      <c r="B330" t="s">
        <v>681</v>
      </c>
    </row>
    <row r="331" spans="2:12" x14ac:dyDescent="0.25">
      <c r="C331" t="s">
        <v>682</v>
      </c>
    </row>
    <row r="332" spans="2:12" ht="8.25" customHeight="1" x14ac:dyDescent="0.25"/>
    <row r="333" spans="2:12" x14ac:dyDescent="0.25">
      <c r="C333" t="s">
        <v>683</v>
      </c>
      <c r="E333" s="478"/>
    </row>
    <row r="334" spans="2:12" x14ac:dyDescent="0.25">
      <c r="C334" s="484" t="s">
        <v>722</v>
      </c>
      <c r="E334" s="478"/>
    </row>
    <row r="335" spans="2:12" x14ac:dyDescent="0.25">
      <c r="C335" s="484" t="s">
        <v>684</v>
      </c>
      <c r="E335" s="478"/>
    </row>
    <row r="336" spans="2:12" x14ac:dyDescent="0.25">
      <c r="C336" s="484" t="s">
        <v>689</v>
      </c>
      <c r="E336" s="478"/>
    </row>
    <row r="339" spans="1:11" ht="59.25" customHeight="1" x14ac:dyDescent="0.25"/>
    <row r="340" spans="1:11" ht="24.75" x14ac:dyDescent="0.4">
      <c r="A340" s="481"/>
      <c r="B340" s="425"/>
      <c r="C340" s="425"/>
      <c r="D340" s="425"/>
      <c r="E340" s="425"/>
      <c r="F340" s="425"/>
      <c r="G340" s="425"/>
      <c r="H340" s="425"/>
      <c r="I340" s="425"/>
      <c r="J340" s="425"/>
      <c r="K340" s="425"/>
    </row>
    <row r="341" spans="1:11" ht="26.25" x14ac:dyDescent="0.4">
      <c r="B341" s="482" t="s">
        <v>670</v>
      </c>
      <c r="F341" s="483" t="s">
        <v>691</v>
      </c>
    </row>
    <row r="342" spans="1:11" ht="7.5" customHeight="1" x14ac:dyDescent="0.25"/>
    <row r="343" spans="1:11" x14ac:dyDescent="0.25">
      <c r="B343" t="s">
        <v>737</v>
      </c>
      <c r="D343" s="477"/>
    </row>
    <row r="344" spans="1:11" x14ac:dyDescent="0.25">
      <c r="C344" t="s">
        <v>738</v>
      </c>
      <c r="D344" s="477"/>
    </row>
  </sheetData>
  <sheetProtection algorithmName="SHA-512" hashValue="FhFRwFtdRzJfLlv4FntDUJbGHKpizgBWCb6eoPY3Ba+GR4RAZRM/OvhwaCGz4PnS651FewgQERcI0S+fWLUw4Q==" saltValue="TrzPUqiVK7QHlqNd9DcrTg==" spinCount="100000" sheet="1" formatRows="0"/>
  <pageMargins left="0.35" right="0.13" top="0.53" bottom="0.49"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2">
    <pageSetUpPr fitToPage="1"/>
  </sheetPr>
  <dimension ref="A1:S470"/>
  <sheetViews>
    <sheetView tabSelected="1" zoomScaleNormal="100" workbookViewId="0"/>
  </sheetViews>
  <sheetFormatPr baseColWidth="10" defaultColWidth="11.42578125" defaultRowHeight="15" x14ac:dyDescent="0.25"/>
  <cols>
    <col min="1" max="1" width="4.28515625" style="8" customWidth="1"/>
    <col min="2" max="2" width="11.42578125" style="8"/>
    <col min="3" max="3" width="7.28515625" style="8" customWidth="1"/>
    <col min="4" max="4" width="6.7109375" style="8" customWidth="1"/>
    <col min="5" max="5" width="10.28515625" style="8" customWidth="1"/>
    <col min="6" max="6" width="7.85546875" style="24" customWidth="1"/>
    <col min="7" max="7" width="9.28515625" style="8" customWidth="1"/>
    <col min="8" max="9" width="5.28515625" style="8" customWidth="1"/>
    <col min="10" max="10" width="7.7109375" style="8" customWidth="1"/>
    <col min="11" max="11" width="10.140625" style="8" customWidth="1"/>
    <col min="12" max="13" width="4.140625" style="8" customWidth="1"/>
    <col min="14" max="14" width="11.42578125" style="8"/>
    <col min="15" max="15" width="9.85546875" style="8" customWidth="1"/>
    <col min="16" max="16" width="5.140625" style="8" customWidth="1"/>
    <col min="17" max="17" width="11.42578125" style="8"/>
    <col min="18" max="19" width="8.5703125" style="8" hidden="1" customWidth="1"/>
    <col min="20" max="16384" width="11.42578125" style="8"/>
  </cols>
  <sheetData>
    <row r="1" spans="1:19" x14ac:dyDescent="0.25">
      <c r="A1" s="60">
        <v>0</v>
      </c>
      <c r="E1" s="8">
        <v>0</v>
      </c>
      <c r="F1" s="24">
        <v>0</v>
      </c>
      <c r="H1" s="8">
        <v>0</v>
      </c>
      <c r="I1" s="25" t="s">
        <v>244</v>
      </c>
      <c r="J1" s="8">
        <v>0</v>
      </c>
      <c r="R1" s="8" t="s">
        <v>467</v>
      </c>
      <c r="S1" s="125"/>
    </row>
    <row r="2" spans="1:19" x14ac:dyDescent="0.25">
      <c r="A2" s="60">
        <v>0</v>
      </c>
      <c r="B2" s="8" t="s">
        <v>245</v>
      </c>
      <c r="C2" s="8">
        <v>2.2000000000000002</v>
      </c>
      <c r="E2" s="8">
        <v>10</v>
      </c>
      <c r="F2" s="24">
        <f>E2*$C2</f>
        <v>22</v>
      </c>
      <c r="H2" s="8">
        <v>1</v>
      </c>
      <c r="I2" s="8">
        <v>6</v>
      </c>
      <c r="J2" s="8">
        <f>H2*I2</f>
        <v>6</v>
      </c>
      <c r="R2" s="130" t="s">
        <v>468</v>
      </c>
      <c r="S2" s="489" t="s">
        <v>723</v>
      </c>
    </row>
    <row r="3" spans="1:19" x14ac:dyDescent="0.25">
      <c r="A3" s="60">
        <f t="shared" ref="A3:A17" si="0">RIGHT(B2,3)+1</f>
        <v>11</v>
      </c>
      <c r="B3" s="8" t="s">
        <v>246</v>
      </c>
      <c r="C3" s="8">
        <v>1.95</v>
      </c>
      <c r="D3" s="8">
        <f t="shared" ref="D3:D18" si="1">C2-C3</f>
        <v>0.25000000000000022</v>
      </c>
      <c r="E3" s="8">
        <v>11</v>
      </c>
      <c r="F3" s="24">
        <f t="shared" ref="F3:F11" si="2">F2+(E3-E2)*$C$3</f>
        <v>23.95</v>
      </c>
      <c r="H3" s="8">
        <v>2</v>
      </c>
      <c r="I3" s="8">
        <v>4</v>
      </c>
      <c r="J3" s="8">
        <f>J2+(H3-H2)*$I$3</f>
        <v>10</v>
      </c>
      <c r="R3" s="885">
        <v>6.1890000000000001E-3</v>
      </c>
      <c r="S3" s="885"/>
    </row>
    <row r="4" spans="1:19" x14ac:dyDescent="0.25">
      <c r="A4" s="60">
        <f t="shared" si="0"/>
        <v>20</v>
      </c>
      <c r="B4" s="8" t="s">
        <v>247</v>
      </c>
      <c r="C4" s="8">
        <v>1.7</v>
      </c>
      <c r="D4" s="8">
        <f t="shared" si="1"/>
        <v>0.25</v>
      </c>
      <c r="E4" s="8">
        <v>12</v>
      </c>
      <c r="F4" s="24">
        <f t="shared" si="2"/>
        <v>25.9</v>
      </c>
      <c r="H4" s="8">
        <v>3</v>
      </c>
      <c r="I4" s="8">
        <v>3</v>
      </c>
      <c r="J4" s="8">
        <f>J3+(H4-H3)*I4</f>
        <v>13</v>
      </c>
      <c r="R4" s="8">
        <v>0</v>
      </c>
      <c r="S4" s="8">
        <v>0</v>
      </c>
    </row>
    <row r="5" spans="1:19" x14ac:dyDescent="0.25">
      <c r="A5" s="60">
        <f t="shared" si="0"/>
        <v>30</v>
      </c>
      <c r="B5" s="8" t="s">
        <v>248</v>
      </c>
      <c r="C5" s="8">
        <v>1.45</v>
      </c>
      <c r="D5" s="8">
        <f t="shared" si="1"/>
        <v>0.25</v>
      </c>
      <c r="E5" s="8">
        <v>13</v>
      </c>
      <c r="F5" s="24">
        <f t="shared" si="2"/>
        <v>27.849999999999998</v>
      </c>
      <c r="H5" s="8">
        <v>4</v>
      </c>
      <c r="I5" s="8">
        <v>2</v>
      </c>
      <c r="J5" s="8">
        <f t="shared" ref="J5:J31" si="3">J4+(H5-H4)*$I$5</f>
        <v>15</v>
      </c>
      <c r="R5" s="8">
        <v>30</v>
      </c>
      <c r="S5" s="8">
        <v>82.8</v>
      </c>
    </row>
    <row r="6" spans="1:19" x14ac:dyDescent="0.25">
      <c r="A6" s="60">
        <f t="shared" si="0"/>
        <v>40</v>
      </c>
      <c r="B6" s="8" t="s">
        <v>249</v>
      </c>
      <c r="C6" s="8">
        <v>1.1000000000000001</v>
      </c>
      <c r="D6" s="8">
        <f t="shared" si="1"/>
        <v>0.34999999999999987</v>
      </c>
      <c r="E6" s="8">
        <v>14</v>
      </c>
      <c r="F6" s="24">
        <f t="shared" si="2"/>
        <v>29.799999999999997</v>
      </c>
      <c r="H6" s="8">
        <v>5</v>
      </c>
      <c r="I6" s="8">
        <v>2</v>
      </c>
      <c r="J6" s="8">
        <f t="shared" si="3"/>
        <v>17</v>
      </c>
      <c r="R6" s="8">
        <v>31</v>
      </c>
      <c r="S6" s="8">
        <v>85.399999999999991</v>
      </c>
    </row>
    <row r="7" spans="1:19" x14ac:dyDescent="0.25">
      <c r="A7" s="60">
        <f t="shared" si="0"/>
        <v>50</v>
      </c>
      <c r="B7" s="8" t="s">
        <v>250</v>
      </c>
      <c r="C7" s="8">
        <v>1.1000000000000001</v>
      </c>
      <c r="D7" s="8">
        <f t="shared" si="1"/>
        <v>0</v>
      </c>
      <c r="E7" s="8">
        <v>15</v>
      </c>
      <c r="F7" s="24">
        <f t="shared" si="2"/>
        <v>31.749999999999996</v>
      </c>
      <c r="H7" s="8">
        <v>6</v>
      </c>
      <c r="I7" s="8">
        <v>2</v>
      </c>
      <c r="J7" s="8">
        <f t="shared" si="3"/>
        <v>19</v>
      </c>
      <c r="R7" s="8">
        <v>32</v>
      </c>
      <c r="S7" s="8">
        <v>87.999999999999986</v>
      </c>
    </row>
    <row r="8" spans="1:19" x14ac:dyDescent="0.25">
      <c r="A8" s="60">
        <f t="shared" si="0"/>
        <v>60</v>
      </c>
      <c r="B8" s="8" t="s">
        <v>251</v>
      </c>
      <c r="C8" s="8">
        <v>1.1000000000000001</v>
      </c>
      <c r="D8" s="8">
        <f t="shared" si="1"/>
        <v>0</v>
      </c>
      <c r="E8" s="8">
        <v>16</v>
      </c>
      <c r="F8" s="24">
        <f t="shared" si="2"/>
        <v>33.699999999999996</v>
      </c>
      <c r="H8" s="8">
        <v>7</v>
      </c>
      <c r="I8" s="8">
        <v>2</v>
      </c>
      <c r="J8" s="8">
        <f t="shared" si="3"/>
        <v>21</v>
      </c>
      <c r="O8" s="8" t="s">
        <v>508</v>
      </c>
      <c r="R8" s="8">
        <v>33</v>
      </c>
      <c r="S8" s="8">
        <v>90.59999999999998</v>
      </c>
    </row>
    <row r="9" spans="1:19" x14ac:dyDescent="0.25">
      <c r="A9" s="60">
        <f t="shared" si="0"/>
        <v>70</v>
      </c>
      <c r="B9" s="8" t="s">
        <v>252</v>
      </c>
      <c r="C9" s="8">
        <v>1.1000000000000001</v>
      </c>
      <c r="D9" s="8">
        <f t="shared" si="1"/>
        <v>0</v>
      </c>
      <c r="E9" s="8">
        <v>17</v>
      </c>
      <c r="F9" s="24">
        <f t="shared" si="2"/>
        <v>35.65</v>
      </c>
      <c r="H9" s="8">
        <v>8</v>
      </c>
      <c r="I9" s="8">
        <v>2</v>
      </c>
      <c r="J9" s="8">
        <f t="shared" si="3"/>
        <v>23</v>
      </c>
      <c r="L9" s="224" t="s">
        <v>507</v>
      </c>
      <c r="O9" s="8">
        <v>0</v>
      </c>
      <c r="P9" s="8">
        <v>0</v>
      </c>
      <c r="R9" s="8">
        <v>34</v>
      </c>
      <c r="S9" s="8">
        <v>93.199999999999974</v>
      </c>
    </row>
    <row r="10" spans="1:19" x14ac:dyDescent="0.25">
      <c r="A10" s="60">
        <f t="shared" si="0"/>
        <v>80</v>
      </c>
      <c r="B10" s="8" t="s">
        <v>253</v>
      </c>
      <c r="C10" s="8">
        <v>1.1000000000000001</v>
      </c>
      <c r="D10" s="8">
        <f t="shared" si="1"/>
        <v>0</v>
      </c>
      <c r="E10" s="8">
        <v>18</v>
      </c>
      <c r="F10" s="24">
        <f t="shared" si="2"/>
        <v>37.6</v>
      </c>
      <c r="H10" s="8">
        <v>9</v>
      </c>
      <c r="I10" s="8">
        <v>2</v>
      </c>
      <c r="J10" s="8">
        <f t="shared" si="3"/>
        <v>25</v>
      </c>
      <c r="L10" s="8">
        <v>0</v>
      </c>
      <c r="M10" s="8">
        <v>0</v>
      </c>
      <c r="N10" s="307">
        <v>0</v>
      </c>
      <c r="O10" s="8">
        <v>14</v>
      </c>
      <c r="P10" s="8">
        <v>1.5</v>
      </c>
      <c r="R10" s="8">
        <v>35</v>
      </c>
      <c r="S10" s="8">
        <v>95.799999999999969</v>
      </c>
    </row>
    <row r="11" spans="1:19" x14ac:dyDescent="0.25">
      <c r="A11" s="60">
        <f t="shared" si="0"/>
        <v>90</v>
      </c>
      <c r="B11" s="8" t="s">
        <v>254</v>
      </c>
      <c r="C11" s="8">
        <v>1.1000000000000001</v>
      </c>
      <c r="D11" s="8">
        <f t="shared" si="1"/>
        <v>0</v>
      </c>
      <c r="E11" s="8">
        <v>19</v>
      </c>
      <c r="F11" s="24">
        <f t="shared" si="2"/>
        <v>39.550000000000004</v>
      </c>
      <c r="H11" s="8">
        <v>10</v>
      </c>
      <c r="I11" s="8">
        <v>2</v>
      </c>
      <c r="J11" s="8">
        <f t="shared" si="3"/>
        <v>27</v>
      </c>
      <c r="L11" s="8">
        <v>6</v>
      </c>
      <c r="M11" s="308">
        <f>ROUND(N11*0.98,1)</f>
        <v>1.5</v>
      </c>
      <c r="N11" s="307">
        <v>1.5</v>
      </c>
      <c r="O11" s="8">
        <v>28</v>
      </c>
      <c r="P11" s="8">
        <v>1.8</v>
      </c>
      <c r="R11" s="8">
        <v>36</v>
      </c>
      <c r="S11" s="8">
        <v>98.399999999999963</v>
      </c>
    </row>
    <row r="12" spans="1:19" x14ac:dyDescent="0.25">
      <c r="A12" s="60">
        <f t="shared" si="0"/>
        <v>100</v>
      </c>
      <c r="B12" s="8" t="s">
        <v>255</v>
      </c>
      <c r="C12" s="8">
        <v>1.1000000000000001</v>
      </c>
      <c r="D12" s="8">
        <f t="shared" si="1"/>
        <v>0</v>
      </c>
      <c r="E12" s="8">
        <v>20</v>
      </c>
      <c r="F12" s="24">
        <f t="shared" ref="F12:F21" si="4">F11+(E12-E11)*$C$4</f>
        <v>41.250000000000007</v>
      </c>
      <c r="H12" s="8">
        <v>11</v>
      </c>
      <c r="I12" s="8">
        <v>2</v>
      </c>
      <c r="J12" s="8">
        <f t="shared" si="3"/>
        <v>29</v>
      </c>
      <c r="L12" s="8">
        <v>11</v>
      </c>
      <c r="M12" s="308">
        <f t="shared" ref="M12:M24" si="5">ROUND(N12*0.98,1)</f>
        <v>2</v>
      </c>
      <c r="N12" s="307">
        <v>2</v>
      </c>
      <c r="O12" s="8">
        <v>42</v>
      </c>
      <c r="P12" s="8">
        <v>2.1</v>
      </c>
      <c r="R12" s="8">
        <v>37</v>
      </c>
      <c r="S12" s="8">
        <v>100.99999999999996</v>
      </c>
    </row>
    <row r="13" spans="1:19" x14ac:dyDescent="0.25">
      <c r="A13" s="60">
        <f t="shared" si="0"/>
        <v>110</v>
      </c>
      <c r="B13" s="8" t="s">
        <v>256</v>
      </c>
      <c r="C13" s="8">
        <v>1.1000000000000001</v>
      </c>
      <c r="D13" s="8">
        <f t="shared" si="1"/>
        <v>0</v>
      </c>
      <c r="E13" s="8">
        <v>21</v>
      </c>
      <c r="F13" s="24">
        <f t="shared" si="4"/>
        <v>42.95000000000001</v>
      </c>
      <c r="H13" s="8">
        <v>12</v>
      </c>
      <c r="I13" s="8">
        <v>2</v>
      </c>
      <c r="J13" s="8">
        <f t="shared" si="3"/>
        <v>31</v>
      </c>
      <c r="L13" s="8">
        <v>40</v>
      </c>
      <c r="M13" s="308">
        <f t="shared" si="5"/>
        <v>2.2000000000000002</v>
      </c>
      <c r="N13" s="307">
        <v>2.2000000000000002</v>
      </c>
      <c r="O13" s="8">
        <v>56</v>
      </c>
      <c r="P13" s="8">
        <v>2.4</v>
      </c>
      <c r="R13" s="8">
        <v>38</v>
      </c>
      <c r="S13" s="8">
        <v>103.59999999999995</v>
      </c>
    </row>
    <row r="14" spans="1:19" x14ac:dyDescent="0.25">
      <c r="A14" s="60">
        <f t="shared" si="0"/>
        <v>120</v>
      </c>
      <c r="B14" s="8" t="s">
        <v>257</v>
      </c>
      <c r="C14" s="8">
        <v>1.1000000000000001</v>
      </c>
      <c r="D14" s="8">
        <f t="shared" si="1"/>
        <v>0</v>
      </c>
      <c r="E14" s="8">
        <v>22</v>
      </c>
      <c r="F14" s="24">
        <f t="shared" si="4"/>
        <v>44.650000000000013</v>
      </c>
      <c r="H14" s="8">
        <v>13</v>
      </c>
      <c r="I14" s="8">
        <v>2</v>
      </c>
      <c r="J14" s="8">
        <f t="shared" si="3"/>
        <v>33</v>
      </c>
      <c r="L14" s="8">
        <v>48</v>
      </c>
      <c r="M14" s="308">
        <f t="shared" si="5"/>
        <v>2.4</v>
      </c>
      <c r="N14" s="307">
        <v>2.4</v>
      </c>
      <c r="O14" s="8">
        <v>70</v>
      </c>
      <c r="P14" s="8">
        <v>2.6</v>
      </c>
      <c r="R14" s="8">
        <v>39</v>
      </c>
      <c r="S14" s="8">
        <v>106.19999999999995</v>
      </c>
    </row>
    <row r="15" spans="1:19" x14ac:dyDescent="0.25">
      <c r="A15" s="60">
        <f t="shared" si="0"/>
        <v>130</v>
      </c>
      <c r="B15" s="8" t="s">
        <v>258</v>
      </c>
      <c r="C15" s="8">
        <v>1.1000000000000001</v>
      </c>
      <c r="D15" s="8">
        <f t="shared" si="1"/>
        <v>0</v>
      </c>
      <c r="E15" s="8">
        <v>23</v>
      </c>
      <c r="F15" s="24">
        <f t="shared" si="4"/>
        <v>46.350000000000016</v>
      </c>
      <c r="H15" s="8">
        <v>14</v>
      </c>
      <c r="I15" s="8">
        <v>2</v>
      </c>
      <c r="J15" s="8">
        <f t="shared" si="3"/>
        <v>35</v>
      </c>
      <c r="L15" s="8">
        <v>56</v>
      </c>
      <c r="M15" s="225">
        <f t="shared" si="5"/>
        <v>2.5</v>
      </c>
      <c r="N15" s="307">
        <v>2.6</v>
      </c>
      <c r="O15" s="8">
        <v>84</v>
      </c>
      <c r="P15" s="8">
        <v>2.9</v>
      </c>
      <c r="R15" s="8">
        <v>40</v>
      </c>
      <c r="S15" s="8">
        <v>108.69999999999995</v>
      </c>
    </row>
    <row r="16" spans="1:19" x14ac:dyDescent="0.25">
      <c r="A16" s="60">
        <f t="shared" si="0"/>
        <v>140</v>
      </c>
      <c r="B16" s="8" t="s">
        <v>259</v>
      </c>
      <c r="C16" s="8">
        <v>1.1000000000000001</v>
      </c>
      <c r="D16" s="8">
        <f t="shared" si="1"/>
        <v>0</v>
      </c>
      <c r="E16" s="8">
        <v>24</v>
      </c>
      <c r="F16" s="24">
        <f t="shared" si="4"/>
        <v>48.050000000000018</v>
      </c>
      <c r="H16" s="8">
        <v>15</v>
      </c>
      <c r="I16" s="8">
        <v>2</v>
      </c>
      <c r="J16" s="8">
        <f t="shared" si="3"/>
        <v>37</v>
      </c>
      <c r="L16" s="8">
        <v>64</v>
      </c>
      <c r="M16" s="225">
        <f t="shared" si="5"/>
        <v>2.7</v>
      </c>
      <c r="N16" s="307">
        <v>2.8</v>
      </c>
      <c r="O16" s="8">
        <v>98</v>
      </c>
      <c r="P16" s="8">
        <v>3.2</v>
      </c>
      <c r="R16" s="8">
        <v>41</v>
      </c>
      <c r="S16" s="8">
        <v>111.19999999999995</v>
      </c>
    </row>
    <row r="17" spans="1:19" x14ac:dyDescent="0.25">
      <c r="A17" s="60">
        <f t="shared" si="0"/>
        <v>150</v>
      </c>
      <c r="B17" s="8" t="s">
        <v>260</v>
      </c>
      <c r="C17" s="8">
        <v>1.1000000000000001</v>
      </c>
      <c r="D17" s="8">
        <f t="shared" si="1"/>
        <v>0</v>
      </c>
      <c r="E17" s="8">
        <v>25</v>
      </c>
      <c r="F17" s="24">
        <f t="shared" si="4"/>
        <v>49.750000000000021</v>
      </c>
      <c r="H17" s="8">
        <v>16</v>
      </c>
      <c r="I17" s="8">
        <v>2</v>
      </c>
      <c r="J17" s="8">
        <f t="shared" si="3"/>
        <v>39</v>
      </c>
      <c r="L17" s="8">
        <v>72</v>
      </c>
      <c r="M17" s="225">
        <f t="shared" si="5"/>
        <v>2.9</v>
      </c>
      <c r="N17" s="307">
        <v>3</v>
      </c>
      <c r="O17" s="8">
        <v>112</v>
      </c>
      <c r="P17" s="8">
        <v>3.5</v>
      </c>
      <c r="R17" s="8">
        <v>42</v>
      </c>
      <c r="S17" s="8">
        <v>113.69999999999995</v>
      </c>
    </row>
    <row r="18" spans="1:19" x14ac:dyDescent="0.25">
      <c r="A18" s="60">
        <f>RIGHT(B17,3)+1</f>
        <v>160</v>
      </c>
      <c r="B18" s="8" t="s">
        <v>261</v>
      </c>
      <c r="C18" s="8">
        <v>1.1000000000000001</v>
      </c>
      <c r="D18" s="8">
        <f t="shared" si="1"/>
        <v>0</v>
      </c>
      <c r="E18" s="8">
        <v>26</v>
      </c>
      <c r="F18" s="24">
        <f t="shared" si="4"/>
        <v>51.450000000000024</v>
      </c>
      <c r="H18" s="8">
        <v>17</v>
      </c>
      <c r="I18" s="8">
        <v>2</v>
      </c>
      <c r="J18" s="8">
        <f t="shared" si="3"/>
        <v>41</v>
      </c>
      <c r="L18" s="8">
        <v>80</v>
      </c>
      <c r="M18" s="225">
        <f t="shared" si="5"/>
        <v>3.1</v>
      </c>
      <c r="N18" s="307">
        <v>3.2</v>
      </c>
      <c r="O18" s="8">
        <v>130</v>
      </c>
      <c r="P18" s="8">
        <v>3.7</v>
      </c>
      <c r="R18" s="8">
        <v>43</v>
      </c>
      <c r="S18" s="8">
        <v>116.19999999999995</v>
      </c>
    </row>
    <row r="19" spans="1:19" x14ac:dyDescent="0.25">
      <c r="E19" s="8">
        <v>27</v>
      </c>
      <c r="F19" s="24">
        <f t="shared" si="4"/>
        <v>53.150000000000027</v>
      </c>
      <c r="H19" s="8">
        <v>18</v>
      </c>
      <c r="I19" s="8">
        <v>2</v>
      </c>
      <c r="J19" s="8">
        <f t="shared" si="3"/>
        <v>43</v>
      </c>
      <c r="L19" s="8">
        <v>90</v>
      </c>
      <c r="M19" s="225">
        <f t="shared" si="5"/>
        <v>3.3</v>
      </c>
      <c r="N19" s="307">
        <v>3.4000000000000012</v>
      </c>
      <c r="O19" s="8">
        <v>155</v>
      </c>
      <c r="P19" s="8">
        <v>3.9</v>
      </c>
      <c r="R19" s="8">
        <v>44</v>
      </c>
      <c r="S19" s="8">
        <v>118.69999999999995</v>
      </c>
    </row>
    <row r="20" spans="1:19" x14ac:dyDescent="0.25">
      <c r="E20" s="8">
        <v>28</v>
      </c>
      <c r="F20" s="24">
        <f t="shared" si="4"/>
        <v>54.85000000000003</v>
      </c>
      <c r="H20" s="8">
        <v>19</v>
      </c>
      <c r="I20" s="8">
        <v>2</v>
      </c>
      <c r="J20" s="8">
        <f t="shared" si="3"/>
        <v>45</v>
      </c>
      <c r="L20" s="8">
        <v>103</v>
      </c>
      <c r="M20" s="225">
        <f t="shared" si="5"/>
        <v>3.5</v>
      </c>
      <c r="N20" s="307">
        <v>3.6000000000000014</v>
      </c>
      <c r="O20" s="8">
        <v>190</v>
      </c>
      <c r="P20" s="8">
        <v>4.0999999999999996</v>
      </c>
      <c r="R20" s="8">
        <v>45</v>
      </c>
      <c r="S20" s="8">
        <v>121.19999999999995</v>
      </c>
    </row>
    <row r="21" spans="1:19" x14ac:dyDescent="0.25">
      <c r="E21" s="8">
        <v>29</v>
      </c>
      <c r="F21" s="24">
        <f t="shared" si="4"/>
        <v>56.550000000000033</v>
      </c>
      <c r="H21" s="8">
        <v>20</v>
      </c>
      <c r="I21" s="8">
        <v>2</v>
      </c>
      <c r="J21" s="8">
        <f t="shared" si="3"/>
        <v>47</v>
      </c>
      <c r="L21" s="8">
        <v>120</v>
      </c>
      <c r="M21" s="225">
        <f t="shared" si="5"/>
        <v>3.7</v>
      </c>
      <c r="N21" s="307">
        <v>3.8000000000000016</v>
      </c>
      <c r="O21" s="8">
        <v>238</v>
      </c>
      <c r="P21" s="8">
        <v>4.3</v>
      </c>
      <c r="R21" s="8">
        <v>46</v>
      </c>
      <c r="S21" s="8">
        <v>123.69999999999995</v>
      </c>
    </row>
    <row r="22" spans="1:19" x14ac:dyDescent="0.25">
      <c r="E22" s="8">
        <v>30</v>
      </c>
      <c r="F22" s="24">
        <f t="shared" ref="F22:F31" si="6">F21+(E22-E21)*$C$5</f>
        <v>58.000000000000036</v>
      </c>
      <c r="H22" s="8">
        <v>21</v>
      </c>
      <c r="I22" s="8">
        <v>2</v>
      </c>
      <c r="J22" s="8">
        <f t="shared" si="3"/>
        <v>49</v>
      </c>
      <c r="L22" s="8">
        <v>142</v>
      </c>
      <c r="M22" s="225">
        <f t="shared" si="5"/>
        <v>3.9</v>
      </c>
      <c r="N22" s="307">
        <v>4.0000000000000018</v>
      </c>
      <c r="O22" s="8">
        <v>302</v>
      </c>
      <c r="P22" s="8">
        <v>4.5</v>
      </c>
      <c r="R22" s="8">
        <v>47</v>
      </c>
      <c r="S22" s="8">
        <v>126.19999999999995</v>
      </c>
    </row>
    <row r="23" spans="1:19" x14ac:dyDescent="0.25">
      <c r="E23" s="8">
        <v>31</v>
      </c>
      <c r="F23" s="24">
        <f t="shared" si="6"/>
        <v>59.450000000000038</v>
      </c>
      <c r="H23" s="8">
        <v>22</v>
      </c>
      <c r="I23" s="8">
        <v>2</v>
      </c>
      <c r="J23" s="8">
        <f t="shared" si="3"/>
        <v>51</v>
      </c>
      <c r="L23" s="8">
        <v>170</v>
      </c>
      <c r="M23" s="225">
        <f t="shared" si="5"/>
        <v>4.0999999999999996</v>
      </c>
      <c r="N23" s="307">
        <v>4.200000000000002</v>
      </c>
      <c r="O23" s="8">
        <v>385</v>
      </c>
      <c r="P23" s="8">
        <v>4.7</v>
      </c>
      <c r="R23" s="8">
        <v>48</v>
      </c>
      <c r="S23" s="8">
        <v>128.69999999999993</v>
      </c>
    </row>
    <row r="24" spans="1:19" x14ac:dyDescent="0.25">
      <c r="E24" s="8">
        <v>32</v>
      </c>
      <c r="F24" s="24">
        <f t="shared" si="6"/>
        <v>60.900000000000041</v>
      </c>
      <c r="H24" s="8">
        <v>23</v>
      </c>
      <c r="I24" s="8">
        <v>2</v>
      </c>
      <c r="J24" s="8">
        <f t="shared" si="3"/>
        <v>53</v>
      </c>
      <c r="L24" s="8">
        <v>205</v>
      </c>
      <c r="M24" s="225">
        <f t="shared" si="5"/>
        <v>4.3</v>
      </c>
      <c r="N24" s="307">
        <v>4.4000000000000004</v>
      </c>
      <c r="O24" s="8">
        <v>490</v>
      </c>
      <c r="P24" s="8">
        <v>4.9000000000000004</v>
      </c>
      <c r="R24" s="8">
        <v>49</v>
      </c>
      <c r="S24" s="8">
        <v>131.19999999999993</v>
      </c>
    </row>
    <row r="25" spans="1:19" x14ac:dyDescent="0.25">
      <c r="E25" s="8">
        <v>33</v>
      </c>
      <c r="F25" s="24">
        <f t="shared" si="6"/>
        <v>62.350000000000044</v>
      </c>
      <c r="H25" s="8">
        <v>24</v>
      </c>
      <c r="I25" s="8">
        <v>2</v>
      </c>
      <c r="J25" s="8">
        <f t="shared" si="3"/>
        <v>55</v>
      </c>
      <c r="R25" s="8">
        <v>50</v>
      </c>
      <c r="S25" s="8">
        <v>133.59999999999994</v>
      </c>
    </row>
    <row r="26" spans="1:19" x14ac:dyDescent="0.25">
      <c r="E26" s="8">
        <v>34</v>
      </c>
      <c r="F26" s="24">
        <f t="shared" si="6"/>
        <v>63.800000000000047</v>
      </c>
      <c r="H26" s="8">
        <v>25</v>
      </c>
      <c r="I26" s="8">
        <v>2</v>
      </c>
      <c r="J26" s="8">
        <f t="shared" si="3"/>
        <v>57</v>
      </c>
      <c r="R26" s="8">
        <v>51</v>
      </c>
      <c r="S26" s="8">
        <v>135.99999999999994</v>
      </c>
    </row>
    <row r="27" spans="1:19" x14ac:dyDescent="0.25">
      <c r="E27" s="8">
        <v>35</v>
      </c>
      <c r="F27" s="24">
        <f t="shared" si="6"/>
        <v>65.250000000000043</v>
      </c>
      <c r="H27" s="8">
        <v>26</v>
      </c>
      <c r="I27" s="8">
        <v>2</v>
      </c>
      <c r="J27" s="8">
        <f t="shared" si="3"/>
        <v>59</v>
      </c>
      <c r="R27" s="8">
        <v>52</v>
      </c>
      <c r="S27" s="8">
        <v>138.39999999999995</v>
      </c>
    </row>
    <row r="28" spans="1:19" x14ac:dyDescent="0.25">
      <c r="E28" s="8">
        <v>36</v>
      </c>
      <c r="F28" s="24">
        <f t="shared" si="6"/>
        <v>66.700000000000045</v>
      </c>
      <c r="H28" s="8">
        <v>27</v>
      </c>
      <c r="I28" s="8">
        <v>2</v>
      </c>
      <c r="J28" s="8">
        <f t="shared" si="3"/>
        <v>61</v>
      </c>
      <c r="R28" s="8">
        <v>53</v>
      </c>
      <c r="S28" s="8">
        <v>140.79999999999995</v>
      </c>
    </row>
    <row r="29" spans="1:19" x14ac:dyDescent="0.25">
      <c r="E29" s="8">
        <v>37</v>
      </c>
      <c r="F29" s="24">
        <f t="shared" si="6"/>
        <v>68.150000000000048</v>
      </c>
      <c r="H29" s="8">
        <v>28</v>
      </c>
      <c r="I29" s="8">
        <v>2</v>
      </c>
      <c r="J29" s="8">
        <f t="shared" si="3"/>
        <v>63</v>
      </c>
      <c r="R29" s="8">
        <v>54</v>
      </c>
      <c r="S29" s="8">
        <v>143.19999999999996</v>
      </c>
    </row>
    <row r="30" spans="1:19" x14ac:dyDescent="0.25">
      <c r="E30" s="8">
        <v>38</v>
      </c>
      <c r="F30" s="24">
        <f t="shared" si="6"/>
        <v>69.600000000000051</v>
      </c>
      <c r="H30" s="8">
        <v>29</v>
      </c>
      <c r="I30" s="8">
        <v>2</v>
      </c>
      <c r="J30" s="8">
        <f t="shared" si="3"/>
        <v>65</v>
      </c>
      <c r="R30" s="8">
        <v>55</v>
      </c>
      <c r="S30" s="8">
        <v>145.59999999999997</v>
      </c>
    </row>
    <row r="31" spans="1:19" x14ac:dyDescent="0.25">
      <c r="E31" s="8">
        <v>39</v>
      </c>
      <c r="F31" s="24">
        <f t="shared" si="6"/>
        <v>71.050000000000054</v>
      </c>
      <c r="H31" s="8">
        <v>30</v>
      </c>
      <c r="I31" s="8">
        <v>2</v>
      </c>
      <c r="J31" s="8">
        <f t="shared" si="3"/>
        <v>67</v>
      </c>
      <c r="R31" s="8">
        <v>56</v>
      </c>
      <c r="S31" s="8">
        <v>147.99999999999997</v>
      </c>
    </row>
    <row r="32" spans="1:19" x14ac:dyDescent="0.25">
      <c r="E32" s="8">
        <v>40</v>
      </c>
      <c r="F32" s="24">
        <f t="shared" ref="F32:F41" si="7">F31+(E32-E31)*$C$6</f>
        <v>72.150000000000048</v>
      </c>
      <c r="R32" s="8">
        <v>57</v>
      </c>
      <c r="S32" s="8">
        <v>150.39999999999998</v>
      </c>
    </row>
    <row r="33" spans="5:19" x14ac:dyDescent="0.25">
      <c r="E33" s="8">
        <v>41</v>
      </c>
      <c r="F33" s="24">
        <f t="shared" si="7"/>
        <v>73.250000000000043</v>
      </c>
      <c r="R33" s="8">
        <v>58</v>
      </c>
      <c r="S33" s="8">
        <v>152.79999999999998</v>
      </c>
    </row>
    <row r="34" spans="5:19" x14ac:dyDescent="0.25">
      <c r="E34" s="8">
        <v>42</v>
      </c>
      <c r="F34" s="24">
        <f t="shared" si="7"/>
        <v>74.350000000000037</v>
      </c>
      <c r="R34" s="8">
        <v>59</v>
      </c>
      <c r="S34" s="8">
        <v>155.19999999999999</v>
      </c>
    </row>
    <row r="35" spans="5:19" x14ac:dyDescent="0.25">
      <c r="E35" s="8">
        <v>43</v>
      </c>
      <c r="F35" s="24">
        <f t="shared" si="7"/>
        <v>75.450000000000031</v>
      </c>
      <c r="R35" s="8">
        <v>60</v>
      </c>
      <c r="S35" s="8">
        <v>157.5</v>
      </c>
    </row>
    <row r="36" spans="5:19" x14ac:dyDescent="0.25">
      <c r="E36" s="8">
        <v>44</v>
      </c>
      <c r="F36" s="24">
        <f t="shared" si="7"/>
        <v>76.550000000000026</v>
      </c>
      <c r="R36" s="8">
        <v>61</v>
      </c>
      <c r="S36" s="8">
        <v>159.80000000000001</v>
      </c>
    </row>
    <row r="37" spans="5:19" x14ac:dyDescent="0.25">
      <c r="E37" s="8">
        <v>45</v>
      </c>
      <c r="F37" s="24">
        <f t="shared" si="7"/>
        <v>77.65000000000002</v>
      </c>
      <c r="R37" s="8">
        <v>62</v>
      </c>
      <c r="S37" s="8">
        <v>162.10000000000002</v>
      </c>
    </row>
    <row r="38" spans="5:19" x14ac:dyDescent="0.25">
      <c r="E38" s="8">
        <v>46</v>
      </c>
      <c r="F38" s="24">
        <f t="shared" si="7"/>
        <v>78.750000000000014</v>
      </c>
      <c r="R38" s="8">
        <v>63</v>
      </c>
      <c r="S38" s="8">
        <v>164.40000000000003</v>
      </c>
    </row>
    <row r="39" spans="5:19" x14ac:dyDescent="0.25">
      <c r="E39" s="8">
        <v>47</v>
      </c>
      <c r="F39" s="24">
        <f t="shared" si="7"/>
        <v>79.850000000000009</v>
      </c>
      <c r="R39" s="8">
        <v>64</v>
      </c>
      <c r="S39" s="8">
        <v>166.70000000000005</v>
      </c>
    </row>
    <row r="40" spans="5:19" x14ac:dyDescent="0.25">
      <c r="E40" s="8">
        <v>48</v>
      </c>
      <c r="F40" s="24">
        <f t="shared" si="7"/>
        <v>80.95</v>
      </c>
      <c r="R40" s="8">
        <v>65</v>
      </c>
      <c r="S40" s="8">
        <v>169.00000000000006</v>
      </c>
    </row>
    <row r="41" spans="5:19" x14ac:dyDescent="0.25">
      <c r="E41" s="8">
        <v>49</v>
      </c>
      <c r="F41" s="24">
        <f t="shared" si="7"/>
        <v>82.05</v>
      </c>
      <c r="R41" s="8">
        <v>66</v>
      </c>
      <c r="S41" s="8">
        <v>171.30000000000007</v>
      </c>
    </row>
    <row r="42" spans="5:19" x14ac:dyDescent="0.25">
      <c r="E42" s="8">
        <v>50</v>
      </c>
      <c r="F42" s="24">
        <f t="shared" ref="F42:F51" si="8">F41+(E42-E41)*$C$7</f>
        <v>83.149999999999991</v>
      </c>
      <c r="R42" s="8">
        <v>67</v>
      </c>
      <c r="S42" s="8">
        <v>173.60000000000008</v>
      </c>
    </row>
    <row r="43" spans="5:19" x14ac:dyDescent="0.25">
      <c r="E43" s="8">
        <v>51</v>
      </c>
      <c r="F43" s="24">
        <f t="shared" si="8"/>
        <v>84.249999999999986</v>
      </c>
      <c r="R43" s="8">
        <v>68</v>
      </c>
      <c r="S43" s="8">
        <v>175.90000000000009</v>
      </c>
    </row>
    <row r="44" spans="5:19" x14ac:dyDescent="0.25">
      <c r="E44" s="8">
        <v>52</v>
      </c>
      <c r="F44" s="24">
        <f t="shared" si="8"/>
        <v>85.34999999999998</v>
      </c>
      <c r="R44" s="8">
        <v>69</v>
      </c>
      <c r="S44" s="8">
        <v>178.2000000000001</v>
      </c>
    </row>
    <row r="45" spans="5:19" x14ac:dyDescent="0.25">
      <c r="E45" s="8">
        <v>53</v>
      </c>
      <c r="F45" s="24">
        <f t="shared" si="8"/>
        <v>86.449999999999974</v>
      </c>
      <c r="R45" s="8">
        <v>70</v>
      </c>
      <c r="S45" s="8">
        <v>180.40000000000009</v>
      </c>
    </row>
    <row r="46" spans="5:19" x14ac:dyDescent="0.25">
      <c r="E46" s="8">
        <v>54</v>
      </c>
      <c r="F46" s="24">
        <f t="shared" si="8"/>
        <v>87.549999999999969</v>
      </c>
      <c r="R46" s="8">
        <v>71</v>
      </c>
      <c r="S46" s="8">
        <v>182.60000000000008</v>
      </c>
    </row>
    <row r="47" spans="5:19" x14ac:dyDescent="0.25">
      <c r="E47" s="8">
        <v>55</v>
      </c>
      <c r="F47" s="24">
        <f t="shared" si="8"/>
        <v>88.649999999999963</v>
      </c>
      <c r="R47" s="8">
        <v>72</v>
      </c>
      <c r="S47" s="8">
        <v>184.80000000000007</v>
      </c>
    </row>
    <row r="48" spans="5:19" x14ac:dyDescent="0.25">
      <c r="E48" s="8">
        <v>56</v>
      </c>
      <c r="F48" s="24">
        <f t="shared" si="8"/>
        <v>89.749999999999957</v>
      </c>
      <c r="R48" s="8">
        <v>73</v>
      </c>
      <c r="S48" s="8">
        <v>187.00000000000006</v>
      </c>
    </row>
    <row r="49" spans="5:19" x14ac:dyDescent="0.25">
      <c r="E49" s="8">
        <v>57</v>
      </c>
      <c r="F49" s="24">
        <f t="shared" si="8"/>
        <v>90.849999999999952</v>
      </c>
      <c r="R49" s="8">
        <v>74</v>
      </c>
      <c r="S49" s="8">
        <v>189.20000000000005</v>
      </c>
    </row>
    <row r="50" spans="5:19" x14ac:dyDescent="0.25">
      <c r="E50" s="8">
        <v>58</v>
      </c>
      <c r="F50" s="24">
        <f t="shared" si="8"/>
        <v>91.949999999999946</v>
      </c>
      <c r="R50" s="8">
        <v>75</v>
      </c>
      <c r="S50" s="8">
        <v>191.40000000000003</v>
      </c>
    </row>
    <row r="51" spans="5:19" x14ac:dyDescent="0.25">
      <c r="E51" s="8">
        <v>59</v>
      </c>
      <c r="F51" s="24">
        <f t="shared" si="8"/>
        <v>93.04999999999994</v>
      </c>
      <c r="R51" s="8">
        <v>76</v>
      </c>
      <c r="S51" s="8">
        <v>193.60000000000002</v>
      </c>
    </row>
    <row r="52" spans="5:19" x14ac:dyDescent="0.25">
      <c r="E52" s="8">
        <v>60</v>
      </c>
      <c r="F52" s="24">
        <f t="shared" ref="F52:F61" si="9">F51+(E52-E51)*$C$8</f>
        <v>94.149999999999935</v>
      </c>
      <c r="R52" s="8">
        <v>77</v>
      </c>
      <c r="S52" s="8">
        <v>195.8</v>
      </c>
    </row>
    <row r="53" spans="5:19" x14ac:dyDescent="0.25">
      <c r="E53" s="8">
        <v>61</v>
      </c>
      <c r="F53" s="24">
        <f t="shared" si="9"/>
        <v>95.249999999999929</v>
      </c>
      <c r="R53" s="8">
        <v>78</v>
      </c>
      <c r="S53" s="8">
        <v>198</v>
      </c>
    </row>
    <row r="54" spans="5:19" x14ac:dyDescent="0.25">
      <c r="E54" s="8">
        <v>62</v>
      </c>
      <c r="F54" s="24">
        <f t="shared" si="9"/>
        <v>96.349999999999923</v>
      </c>
      <c r="R54" s="8">
        <v>79</v>
      </c>
      <c r="S54" s="8">
        <v>200.2</v>
      </c>
    </row>
    <row r="55" spans="5:19" x14ac:dyDescent="0.25">
      <c r="E55" s="8">
        <v>63</v>
      </c>
      <c r="F55" s="24">
        <f t="shared" si="9"/>
        <v>97.449999999999918</v>
      </c>
      <c r="R55" s="8">
        <v>80</v>
      </c>
      <c r="S55" s="8">
        <v>202.29999999999998</v>
      </c>
    </row>
    <row r="56" spans="5:19" x14ac:dyDescent="0.25">
      <c r="E56" s="8">
        <v>64</v>
      </c>
      <c r="F56" s="24">
        <f t="shared" si="9"/>
        <v>98.549999999999912</v>
      </c>
      <c r="R56" s="8">
        <v>81</v>
      </c>
      <c r="S56" s="8">
        <v>204.39999999999998</v>
      </c>
    </row>
    <row r="57" spans="5:19" x14ac:dyDescent="0.25">
      <c r="E57" s="8">
        <v>65</v>
      </c>
      <c r="F57" s="24">
        <f t="shared" si="9"/>
        <v>99.649999999999906</v>
      </c>
      <c r="R57" s="8">
        <v>82</v>
      </c>
      <c r="S57" s="8">
        <v>206.49999999999997</v>
      </c>
    </row>
    <row r="58" spans="5:19" x14ac:dyDescent="0.25">
      <c r="E58" s="8">
        <v>66</v>
      </c>
      <c r="F58" s="24">
        <f t="shared" si="9"/>
        <v>100.7499999999999</v>
      </c>
      <c r="R58" s="8">
        <v>83</v>
      </c>
      <c r="S58" s="8">
        <v>208.59999999999997</v>
      </c>
    </row>
    <row r="59" spans="5:19" x14ac:dyDescent="0.25">
      <c r="E59" s="8">
        <v>67</v>
      </c>
      <c r="F59" s="24">
        <f t="shared" si="9"/>
        <v>101.84999999999989</v>
      </c>
      <c r="R59" s="8">
        <v>84</v>
      </c>
      <c r="S59" s="8">
        <v>210.69999999999996</v>
      </c>
    </row>
    <row r="60" spans="5:19" x14ac:dyDescent="0.25">
      <c r="E60" s="8">
        <v>68</v>
      </c>
      <c r="F60" s="24">
        <f t="shared" si="9"/>
        <v>102.94999999999989</v>
      </c>
      <c r="R60" s="8">
        <v>85</v>
      </c>
      <c r="S60" s="8">
        <v>212.79999999999995</v>
      </c>
    </row>
    <row r="61" spans="5:19" x14ac:dyDescent="0.25">
      <c r="E61" s="8">
        <v>69</v>
      </c>
      <c r="F61" s="24">
        <f t="shared" si="9"/>
        <v>104.04999999999988</v>
      </c>
      <c r="R61" s="8">
        <v>86</v>
      </c>
      <c r="S61" s="8">
        <v>214.89999999999995</v>
      </c>
    </row>
    <row r="62" spans="5:19" x14ac:dyDescent="0.25">
      <c r="E62" s="8">
        <v>70</v>
      </c>
      <c r="F62" s="24">
        <f t="shared" ref="F62:F71" si="10">F61+(E62-E61)*$C$9</f>
        <v>105.14999999999988</v>
      </c>
      <c r="R62" s="8">
        <v>87</v>
      </c>
      <c r="S62" s="8">
        <v>216.99999999999994</v>
      </c>
    </row>
    <row r="63" spans="5:19" x14ac:dyDescent="0.25">
      <c r="E63" s="8">
        <v>71</v>
      </c>
      <c r="F63" s="24">
        <f t="shared" si="10"/>
        <v>106.24999999999987</v>
      </c>
      <c r="R63" s="8">
        <v>88</v>
      </c>
      <c r="S63" s="8">
        <v>219.09999999999994</v>
      </c>
    </row>
    <row r="64" spans="5:19" x14ac:dyDescent="0.25">
      <c r="E64" s="8">
        <v>72</v>
      </c>
      <c r="F64" s="24">
        <f t="shared" si="10"/>
        <v>107.34999999999987</v>
      </c>
      <c r="R64" s="8">
        <v>89</v>
      </c>
      <c r="S64" s="8">
        <v>221.19999999999993</v>
      </c>
    </row>
    <row r="65" spans="5:19" x14ac:dyDescent="0.25">
      <c r="E65" s="8">
        <v>73</v>
      </c>
      <c r="F65" s="24">
        <f t="shared" si="10"/>
        <v>108.44999999999986</v>
      </c>
      <c r="R65" s="8">
        <v>90</v>
      </c>
      <c r="S65" s="8">
        <v>223.19999999999993</v>
      </c>
    </row>
    <row r="66" spans="5:19" x14ac:dyDescent="0.25">
      <c r="E66" s="8">
        <v>74</v>
      </c>
      <c r="F66" s="24">
        <f t="shared" si="10"/>
        <v>109.54999999999986</v>
      </c>
      <c r="R66" s="8">
        <v>91</v>
      </c>
      <c r="S66" s="8">
        <v>225.19999999999993</v>
      </c>
    </row>
    <row r="67" spans="5:19" x14ac:dyDescent="0.25">
      <c r="E67" s="8">
        <v>75</v>
      </c>
      <c r="F67" s="24">
        <f t="shared" si="10"/>
        <v>110.64999999999985</v>
      </c>
      <c r="R67" s="8">
        <v>92</v>
      </c>
      <c r="S67" s="8">
        <v>227.19999999999993</v>
      </c>
    </row>
    <row r="68" spans="5:19" x14ac:dyDescent="0.25">
      <c r="E68" s="8">
        <v>76</v>
      </c>
      <c r="F68" s="24">
        <f t="shared" si="10"/>
        <v>111.74999999999984</v>
      </c>
      <c r="R68" s="8">
        <v>93</v>
      </c>
      <c r="S68" s="8">
        <v>229.19999999999993</v>
      </c>
    </row>
    <row r="69" spans="5:19" x14ac:dyDescent="0.25">
      <c r="E69" s="8">
        <v>77</v>
      </c>
      <c r="F69" s="24">
        <f t="shared" si="10"/>
        <v>112.84999999999984</v>
      </c>
      <c r="R69" s="8">
        <v>94</v>
      </c>
      <c r="S69" s="8">
        <v>231.19999999999993</v>
      </c>
    </row>
    <row r="70" spans="5:19" x14ac:dyDescent="0.25">
      <c r="E70" s="8">
        <v>78</v>
      </c>
      <c r="F70" s="24">
        <f t="shared" si="10"/>
        <v>113.94999999999983</v>
      </c>
      <c r="R70" s="8">
        <v>95</v>
      </c>
      <c r="S70" s="8">
        <v>233.19999999999993</v>
      </c>
    </row>
    <row r="71" spans="5:19" x14ac:dyDescent="0.25">
      <c r="E71" s="8">
        <v>79</v>
      </c>
      <c r="F71" s="24">
        <f t="shared" si="10"/>
        <v>115.04999999999983</v>
      </c>
      <c r="R71" s="8">
        <v>96</v>
      </c>
      <c r="S71" s="8">
        <v>235.19999999999993</v>
      </c>
    </row>
    <row r="72" spans="5:19" x14ac:dyDescent="0.25">
      <c r="E72" s="8">
        <v>80</v>
      </c>
      <c r="F72" s="24">
        <f t="shared" ref="F72:F81" si="11">F71+(E72-E71)*$C$10</f>
        <v>116.14999999999982</v>
      </c>
      <c r="R72" s="8">
        <v>97</v>
      </c>
      <c r="S72" s="8">
        <v>237.19999999999993</v>
      </c>
    </row>
    <row r="73" spans="5:19" x14ac:dyDescent="0.25">
      <c r="E73" s="8">
        <v>81</v>
      </c>
      <c r="F73" s="24">
        <f t="shared" si="11"/>
        <v>117.24999999999982</v>
      </c>
      <c r="R73" s="8">
        <v>98</v>
      </c>
      <c r="S73" s="8">
        <v>239.19999999999993</v>
      </c>
    </row>
    <row r="74" spans="5:19" x14ac:dyDescent="0.25">
      <c r="E74" s="8">
        <v>82</v>
      </c>
      <c r="F74" s="24">
        <f t="shared" si="11"/>
        <v>118.34999999999981</v>
      </c>
      <c r="R74" s="8">
        <v>99</v>
      </c>
      <c r="S74" s="8">
        <v>241.19999999999993</v>
      </c>
    </row>
    <row r="75" spans="5:19" x14ac:dyDescent="0.25">
      <c r="E75" s="8">
        <v>83</v>
      </c>
      <c r="F75" s="24">
        <f t="shared" si="11"/>
        <v>119.4499999999998</v>
      </c>
    </row>
    <row r="76" spans="5:19" x14ac:dyDescent="0.25">
      <c r="E76" s="8">
        <v>84</v>
      </c>
      <c r="F76" s="24">
        <f t="shared" si="11"/>
        <v>120.5499999999998</v>
      </c>
    </row>
    <row r="77" spans="5:19" x14ac:dyDescent="0.25">
      <c r="E77" s="8">
        <v>85</v>
      </c>
      <c r="F77" s="24">
        <f t="shared" si="11"/>
        <v>121.64999999999979</v>
      </c>
    </row>
    <row r="78" spans="5:19" x14ac:dyDescent="0.25">
      <c r="E78" s="8">
        <v>86</v>
      </c>
      <c r="F78" s="24">
        <f t="shared" si="11"/>
        <v>122.74999999999979</v>
      </c>
    </row>
    <row r="79" spans="5:19" x14ac:dyDescent="0.25">
      <c r="E79" s="8">
        <v>87</v>
      </c>
      <c r="F79" s="24">
        <f t="shared" si="11"/>
        <v>123.84999999999978</v>
      </c>
    </row>
    <row r="80" spans="5:19" x14ac:dyDescent="0.25">
      <c r="E80" s="8">
        <v>88</v>
      </c>
      <c r="F80" s="24">
        <f t="shared" si="11"/>
        <v>124.94999999999978</v>
      </c>
    </row>
    <row r="81" spans="5:6" x14ac:dyDescent="0.25">
      <c r="E81" s="8">
        <v>89</v>
      </c>
      <c r="F81" s="24">
        <f t="shared" si="11"/>
        <v>126.04999999999977</v>
      </c>
    </row>
    <row r="82" spans="5:6" x14ac:dyDescent="0.25">
      <c r="E82" s="8">
        <v>90</v>
      </c>
      <c r="F82" s="24">
        <f t="shared" ref="F82:F91" si="12">F81+(E82-E81)*$C$11</f>
        <v>127.14999999999976</v>
      </c>
    </row>
    <row r="83" spans="5:6" x14ac:dyDescent="0.25">
      <c r="E83" s="8">
        <v>91</v>
      </c>
      <c r="F83" s="24">
        <f t="shared" si="12"/>
        <v>128.24999999999977</v>
      </c>
    </row>
    <row r="84" spans="5:6" x14ac:dyDescent="0.25">
      <c r="E84" s="8">
        <v>92</v>
      </c>
      <c r="F84" s="24">
        <f t="shared" si="12"/>
        <v>129.34999999999977</v>
      </c>
    </row>
    <row r="85" spans="5:6" x14ac:dyDescent="0.25">
      <c r="E85" s="8">
        <v>93</v>
      </c>
      <c r="F85" s="24">
        <f t="shared" si="12"/>
        <v>130.44999999999976</v>
      </c>
    </row>
    <row r="86" spans="5:6" x14ac:dyDescent="0.25">
      <c r="E86" s="8">
        <v>94</v>
      </c>
      <c r="F86" s="24">
        <f t="shared" si="12"/>
        <v>131.54999999999976</v>
      </c>
    </row>
    <row r="87" spans="5:6" x14ac:dyDescent="0.25">
      <c r="E87" s="8">
        <v>95</v>
      </c>
      <c r="F87" s="24">
        <f t="shared" si="12"/>
        <v>132.64999999999975</v>
      </c>
    </row>
    <row r="88" spans="5:6" x14ac:dyDescent="0.25">
      <c r="E88" s="8">
        <v>96</v>
      </c>
      <c r="F88" s="24">
        <f t="shared" si="12"/>
        <v>133.74999999999974</v>
      </c>
    </row>
    <row r="89" spans="5:6" x14ac:dyDescent="0.25">
      <c r="E89" s="8">
        <v>97</v>
      </c>
      <c r="F89" s="24">
        <f t="shared" si="12"/>
        <v>134.84999999999974</v>
      </c>
    </row>
    <row r="90" spans="5:6" x14ac:dyDescent="0.25">
      <c r="E90" s="8">
        <v>98</v>
      </c>
      <c r="F90" s="24">
        <f t="shared" si="12"/>
        <v>135.94999999999973</v>
      </c>
    </row>
    <row r="91" spans="5:6" x14ac:dyDescent="0.25">
      <c r="E91" s="8">
        <v>99</v>
      </c>
      <c r="F91" s="24">
        <f t="shared" si="12"/>
        <v>137.04999999999973</v>
      </c>
    </row>
    <row r="92" spans="5:6" x14ac:dyDescent="0.25">
      <c r="E92" s="8">
        <v>100</v>
      </c>
      <c r="F92" s="24">
        <f t="shared" ref="F92:F101" si="13">F91+(E92-E91)*$C$12</f>
        <v>138.14999999999972</v>
      </c>
    </row>
    <row r="93" spans="5:6" x14ac:dyDescent="0.25">
      <c r="E93" s="8">
        <v>101</v>
      </c>
      <c r="F93" s="24">
        <f t="shared" si="13"/>
        <v>139.24999999999972</v>
      </c>
    </row>
    <row r="94" spans="5:6" x14ac:dyDescent="0.25">
      <c r="E94" s="8">
        <v>102</v>
      </c>
      <c r="F94" s="24">
        <f t="shared" si="13"/>
        <v>140.34999999999971</v>
      </c>
    </row>
    <row r="95" spans="5:6" x14ac:dyDescent="0.25">
      <c r="E95" s="8">
        <v>103</v>
      </c>
      <c r="F95" s="24">
        <f t="shared" si="13"/>
        <v>141.4499999999997</v>
      </c>
    </row>
    <row r="96" spans="5:6" x14ac:dyDescent="0.25">
      <c r="E96" s="8">
        <v>104</v>
      </c>
      <c r="F96" s="24">
        <f t="shared" si="13"/>
        <v>142.5499999999997</v>
      </c>
    </row>
    <row r="97" spans="5:6" x14ac:dyDescent="0.25">
      <c r="E97" s="8">
        <v>105</v>
      </c>
      <c r="F97" s="24">
        <f t="shared" si="13"/>
        <v>143.64999999999969</v>
      </c>
    </row>
    <row r="98" spans="5:6" x14ac:dyDescent="0.25">
      <c r="E98" s="8">
        <v>106</v>
      </c>
      <c r="F98" s="24">
        <f t="shared" si="13"/>
        <v>144.74999999999969</v>
      </c>
    </row>
    <row r="99" spans="5:6" x14ac:dyDescent="0.25">
      <c r="E99" s="8">
        <v>107</v>
      </c>
      <c r="F99" s="24">
        <f t="shared" si="13"/>
        <v>145.84999999999968</v>
      </c>
    </row>
    <row r="100" spans="5:6" x14ac:dyDescent="0.25">
      <c r="E100" s="8">
        <v>108</v>
      </c>
      <c r="F100" s="24">
        <f t="shared" si="13"/>
        <v>146.94999999999968</v>
      </c>
    </row>
    <row r="101" spans="5:6" x14ac:dyDescent="0.25">
      <c r="E101" s="8">
        <v>109</v>
      </c>
      <c r="F101" s="24">
        <f t="shared" si="13"/>
        <v>148.04999999999967</v>
      </c>
    </row>
    <row r="102" spans="5:6" x14ac:dyDescent="0.25">
      <c r="E102" s="8">
        <v>110</v>
      </c>
      <c r="F102" s="24">
        <f t="shared" ref="F102:F111" si="14">F101+(E102-E101)*$C$13</f>
        <v>149.14999999999966</v>
      </c>
    </row>
    <row r="103" spans="5:6" x14ac:dyDescent="0.25">
      <c r="E103" s="8">
        <v>111</v>
      </c>
      <c r="F103" s="24">
        <f t="shared" si="14"/>
        <v>150.24999999999966</v>
      </c>
    </row>
    <row r="104" spans="5:6" x14ac:dyDescent="0.25">
      <c r="E104" s="8">
        <v>112</v>
      </c>
      <c r="F104" s="24">
        <f t="shared" si="14"/>
        <v>151.34999999999965</v>
      </c>
    </row>
    <row r="105" spans="5:6" x14ac:dyDescent="0.25">
      <c r="E105" s="8">
        <v>113</v>
      </c>
      <c r="F105" s="24">
        <f t="shared" si="14"/>
        <v>152.44999999999965</v>
      </c>
    </row>
    <row r="106" spans="5:6" x14ac:dyDescent="0.25">
      <c r="E106" s="8">
        <v>114</v>
      </c>
      <c r="F106" s="24">
        <f t="shared" si="14"/>
        <v>153.54999999999964</v>
      </c>
    </row>
    <row r="107" spans="5:6" x14ac:dyDescent="0.25">
      <c r="E107" s="8">
        <v>115</v>
      </c>
      <c r="F107" s="24">
        <f t="shared" si="14"/>
        <v>154.64999999999964</v>
      </c>
    </row>
    <row r="108" spans="5:6" x14ac:dyDescent="0.25">
      <c r="E108" s="8">
        <v>116</v>
      </c>
      <c r="F108" s="24">
        <f t="shared" si="14"/>
        <v>155.74999999999963</v>
      </c>
    </row>
    <row r="109" spans="5:6" x14ac:dyDescent="0.25">
      <c r="E109" s="8">
        <v>117</v>
      </c>
      <c r="F109" s="24">
        <f t="shared" si="14"/>
        <v>156.84999999999962</v>
      </c>
    </row>
    <row r="110" spans="5:6" x14ac:dyDescent="0.25">
      <c r="E110" s="8">
        <v>118</v>
      </c>
      <c r="F110" s="24">
        <f t="shared" si="14"/>
        <v>157.94999999999962</v>
      </c>
    </row>
    <row r="111" spans="5:6" x14ac:dyDescent="0.25">
      <c r="E111" s="8">
        <v>119</v>
      </c>
      <c r="F111" s="24">
        <f t="shared" si="14"/>
        <v>159.04999999999961</v>
      </c>
    </row>
    <row r="112" spans="5:6" x14ac:dyDescent="0.25">
      <c r="E112" s="8">
        <v>120</v>
      </c>
      <c r="F112" s="24">
        <f t="shared" ref="F112:F121" si="15">F111+(E112-E111)*$C$14</f>
        <v>160.14999999999961</v>
      </c>
    </row>
    <row r="113" spans="5:6" x14ac:dyDescent="0.25">
      <c r="E113" s="8">
        <v>121</v>
      </c>
      <c r="F113" s="24">
        <f t="shared" si="15"/>
        <v>161.2499999999996</v>
      </c>
    </row>
    <row r="114" spans="5:6" x14ac:dyDescent="0.25">
      <c r="E114" s="8">
        <v>122</v>
      </c>
      <c r="F114" s="24">
        <f t="shared" si="15"/>
        <v>162.3499999999996</v>
      </c>
    </row>
    <row r="115" spans="5:6" x14ac:dyDescent="0.25">
      <c r="E115" s="8">
        <v>123</v>
      </c>
      <c r="F115" s="24">
        <f t="shared" si="15"/>
        <v>163.44999999999959</v>
      </c>
    </row>
    <row r="116" spans="5:6" x14ac:dyDescent="0.25">
      <c r="E116" s="8">
        <v>124</v>
      </c>
      <c r="F116" s="24">
        <f t="shared" si="15"/>
        <v>164.54999999999959</v>
      </c>
    </row>
    <row r="117" spans="5:6" x14ac:dyDescent="0.25">
      <c r="E117" s="8">
        <v>125</v>
      </c>
      <c r="F117" s="24">
        <f t="shared" si="15"/>
        <v>165.64999999999958</v>
      </c>
    </row>
    <row r="118" spans="5:6" x14ac:dyDescent="0.25">
      <c r="E118" s="8">
        <v>126</v>
      </c>
      <c r="F118" s="24">
        <f t="shared" si="15"/>
        <v>166.74999999999957</v>
      </c>
    </row>
    <row r="119" spans="5:6" x14ac:dyDescent="0.25">
      <c r="E119" s="8">
        <v>127</v>
      </c>
      <c r="F119" s="24">
        <f t="shared" si="15"/>
        <v>167.84999999999957</v>
      </c>
    </row>
    <row r="120" spans="5:6" x14ac:dyDescent="0.25">
      <c r="E120" s="8">
        <v>128</v>
      </c>
      <c r="F120" s="24">
        <f t="shared" si="15"/>
        <v>168.94999999999956</v>
      </c>
    </row>
    <row r="121" spans="5:6" x14ac:dyDescent="0.25">
      <c r="E121" s="8">
        <v>129</v>
      </c>
      <c r="F121" s="24">
        <f t="shared" si="15"/>
        <v>170.04999999999956</v>
      </c>
    </row>
    <row r="122" spans="5:6" x14ac:dyDescent="0.25">
      <c r="E122" s="8">
        <v>130</v>
      </c>
      <c r="F122" s="24">
        <f t="shared" ref="F122:F131" si="16">F121+(E122-E121)*$C$15</f>
        <v>171.14999999999955</v>
      </c>
    </row>
    <row r="123" spans="5:6" x14ac:dyDescent="0.25">
      <c r="E123" s="8">
        <v>131</v>
      </c>
      <c r="F123" s="24">
        <f t="shared" si="16"/>
        <v>172.24999999999955</v>
      </c>
    </row>
    <row r="124" spans="5:6" x14ac:dyDescent="0.25">
      <c r="E124" s="8">
        <v>132</v>
      </c>
      <c r="F124" s="24">
        <f t="shared" si="16"/>
        <v>173.34999999999954</v>
      </c>
    </row>
    <row r="125" spans="5:6" x14ac:dyDescent="0.25">
      <c r="E125" s="8">
        <v>133</v>
      </c>
      <c r="F125" s="24">
        <f t="shared" si="16"/>
        <v>174.44999999999953</v>
      </c>
    </row>
    <row r="126" spans="5:6" x14ac:dyDescent="0.25">
      <c r="E126" s="8">
        <v>134</v>
      </c>
      <c r="F126" s="24">
        <f t="shared" si="16"/>
        <v>175.54999999999953</v>
      </c>
    </row>
    <row r="127" spans="5:6" x14ac:dyDescent="0.25">
      <c r="E127" s="8">
        <v>135</v>
      </c>
      <c r="F127" s="24">
        <f t="shared" si="16"/>
        <v>176.64999999999952</v>
      </c>
    </row>
    <row r="128" spans="5:6" x14ac:dyDescent="0.25">
      <c r="E128" s="8">
        <v>136</v>
      </c>
      <c r="F128" s="24">
        <f t="shared" si="16"/>
        <v>177.74999999999952</v>
      </c>
    </row>
    <row r="129" spans="5:6" x14ac:dyDescent="0.25">
      <c r="E129" s="8">
        <v>137</v>
      </c>
      <c r="F129" s="24">
        <f t="shared" si="16"/>
        <v>178.84999999999951</v>
      </c>
    </row>
    <row r="130" spans="5:6" x14ac:dyDescent="0.25">
      <c r="E130" s="8">
        <v>138</v>
      </c>
      <c r="F130" s="24">
        <f t="shared" si="16"/>
        <v>179.94999999999951</v>
      </c>
    </row>
    <row r="131" spans="5:6" x14ac:dyDescent="0.25">
      <c r="E131" s="8">
        <v>139</v>
      </c>
      <c r="F131" s="24">
        <f t="shared" si="16"/>
        <v>181.0499999999995</v>
      </c>
    </row>
    <row r="132" spans="5:6" x14ac:dyDescent="0.25">
      <c r="E132" s="8">
        <v>140</v>
      </c>
      <c r="F132" s="24">
        <f t="shared" ref="F132:F141" si="17">F131+(E132-E131)*$C$16</f>
        <v>182.14999999999949</v>
      </c>
    </row>
    <row r="133" spans="5:6" x14ac:dyDescent="0.25">
      <c r="E133" s="8">
        <v>141</v>
      </c>
      <c r="F133" s="24">
        <f t="shared" si="17"/>
        <v>183.24999999999949</v>
      </c>
    </row>
    <row r="134" spans="5:6" x14ac:dyDescent="0.25">
      <c r="E134" s="8">
        <v>142</v>
      </c>
      <c r="F134" s="24">
        <f t="shared" si="17"/>
        <v>184.34999999999948</v>
      </c>
    </row>
    <row r="135" spans="5:6" x14ac:dyDescent="0.25">
      <c r="E135" s="8">
        <v>143</v>
      </c>
      <c r="F135" s="24">
        <f t="shared" si="17"/>
        <v>185.44999999999948</v>
      </c>
    </row>
    <row r="136" spans="5:6" x14ac:dyDescent="0.25">
      <c r="E136" s="8">
        <v>144</v>
      </c>
      <c r="F136" s="24">
        <f t="shared" si="17"/>
        <v>186.54999999999947</v>
      </c>
    </row>
    <row r="137" spans="5:6" x14ac:dyDescent="0.25">
      <c r="E137" s="8">
        <v>145</v>
      </c>
      <c r="F137" s="24">
        <f t="shared" si="17"/>
        <v>187.64999999999947</v>
      </c>
    </row>
    <row r="138" spans="5:6" x14ac:dyDescent="0.25">
      <c r="E138" s="8">
        <v>146</v>
      </c>
      <c r="F138" s="24">
        <f t="shared" si="17"/>
        <v>188.74999999999946</v>
      </c>
    </row>
    <row r="139" spans="5:6" x14ac:dyDescent="0.25">
      <c r="E139" s="8">
        <v>147</v>
      </c>
      <c r="F139" s="24">
        <f t="shared" si="17"/>
        <v>189.84999999999945</v>
      </c>
    </row>
    <row r="140" spans="5:6" x14ac:dyDescent="0.25">
      <c r="E140" s="8">
        <v>148</v>
      </c>
      <c r="F140" s="24">
        <f t="shared" si="17"/>
        <v>190.94999999999945</v>
      </c>
    </row>
    <row r="141" spans="5:6" x14ac:dyDescent="0.25">
      <c r="E141" s="8">
        <v>149</v>
      </c>
      <c r="F141" s="24">
        <f t="shared" si="17"/>
        <v>192.04999999999944</v>
      </c>
    </row>
    <row r="142" spans="5:6" x14ac:dyDescent="0.25">
      <c r="E142" s="8">
        <v>150</v>
      </c>
      <c r="F142" s="24">
        <f t="shared" ref="F142:F151" si="18">F141+(E142-E141)*$C$17</f>
        <v>193.14999999999944</v>
      </c>
    </row>
    <row r="143" spans="5:6" x14ac:dyDescent="0.25">
      <c r="E143" s="8">
        <v>151</v>
      </c>
      <c r="F143" s="24">
        <f t="shared" si="18"/>
        <v>194.24999999999943</v>
      </c>
    </row>
    <row r="144" spans="5:6" x14ac:dyDescent="0.25">
      <c r="E144" s="8">
        <v>152</v>
      </c>
      <c r="F144" s="24">
        <f t="shared" si="18"/>
        <v>195.34999999999943</v>
      </c>
    </row>
    <row r="145" spans="5:6" x14ac:dyDescent="0.25">
      <c r="E145" s="8">
        <v>153</v>
      </c>
      <c r="F145" s="24">
        <f t="shared" si="18"/>
        <v>196.44999999999942</v>
      </c>
    </row>
    <row r="146" spans="5:6" x14ac:dyDescent="0.25">
      <c r="E146" s="8">
        <v>154</v>
      </c>
      <c r="F146" s="24">
        <f t="shared" si="18"/>
        <v>197.54999999999941</v>
      </c>
    </row>
    <row r="147" spans="5:6" x14ac:dyDescent="0.25">
      <c r="E147" s="8">
        <v>155</v>
      </c>
      <c r="F147" s="24">
        <f t="shared" si="18"/>
        <v>198.64999999999941</v>
      </c>
    </row>
    <row r="148" spans="5:6" x14ac:dyDescent="0.25">
      <c r="E148" s="8">
        <v>156</v>
      </c>
      <c r="F148" s="24">
        <f t="shared" si="18"/>
        <v>199.7499999999994</v>
      </c>
    </row>
    <row r="149" spans="5:6" x14ac:dyDescent="0.25">
      <c r="E149" s="8">
        <v>157</v>
      </c>
      <c r="F149" s="24">
        <f t="shared" si="18"/>
        <v>200.8499999999994</v>
      </c>
    </row>
    <row r="150" spans="5:6" x14ac:dyDescent="0.25">
      <c r="E150" s="8">
        <v>158</v>
      </c>
      <c r="F150" s="24">
        <f t="shared" si="18"/>
        <v>201.94999999999939</v>
      </c>
    </row>
    <row r="151" spans="5:6" x14ac:dyDescent="0.25">
      <c r="E151" s="8">
        <v>159</v>
      </c>
      <c r="F151" s="24">
        <f t="shared" si="18"/>
        <v>203.04999999999939</v>
      </c>
    </row>
    <row r="152" spans="5:6" x14ac:dyDescent="0.25">
      <c r="E152" s="8">
        <v>160</v>
      </c>
      <c r="F152" s="24">
        <f t="shared" ref="F152:F215" si="19">F151+(E152-E151)*$C$18</f>
        <v>204.14999999999938</v>
      </c>
    </row>
    <row r="153" spans="5:6" x14ac:dyDescent="0.25">
      <c r="E153" s="8">
        <v>161</v>
      </c>
      <c r="F153" s="24">
        <f t="shared" si="19"/>
        <v>205.24999999999937</v>
      </c>
    </row>
    <row r="154" spans="5:6" x14ac:dyDescent="0.25">
      <c r="E154" s="8">
        <v>162</v>
      </c>
      <c r="F154" s="24">
        <f t="shared" si="19"/>
        <v>206.34999999999937</v>
      </c>
    </row>
    <row r="155" spans="5:6" x14ac:dyDescent="0.25">
      <c r="E155" s="8">
        <v>163</v>
      </c>
      <c r="F155" s="24">
        <f t="shared" si="19"/>
        <v>207.44999999999936</v>
      </c>
    </row>
    <row r="156" spans="5:6" x14ac:dyDescent="0.25">
      <c r="E156" s="8">
        <v>164</v>
      </c>
      <c r="F156" s="24">
        <f t="shared" si="19"/>
        <v>208.54999999999936</v>
      </c>
    </row>
    <row r="157" spans="5:6" x14ac:dyDescent="0.25">
      <c r="E157" s="8">
        <v>165</v>
      </c>
      <c r="F157" s="24">
        <f t="shared" si="19"/>
        <v>209.64999999999935</v>
      </c>
    </row>
    <row r="158" spans="5:6" x14ac:dyDescent="0.25">
      <c r="E158" s="8">
        <v>166</v>
      </c>
      <c r="F158" s="24">
        <f t="shared" si="19"/>
        <v>210.74999999999935</v>
      </c>
    </row>
    <row r="159" spans="5:6" x14ac:dyDescent="0.25">
      <c r="E159" s="8">
        <v>167</v>
      </c>
      <c r="F159" s="24">
        <f t="shared" si="19"/>
        <v>211.84999999999934</v>
      </c>
    </row>
    <row r="160" spans="5:6" x14ac:dyDescent="0.25">
      <c r="E160" s="8">
        <v>168</v>
      </c>
      <c r="F160" s="24">
        <f t="shared" si="19"/>
        <v>212.94999999999933</v>
      </c>
    </row>
    <row r="161" spans="5:6" x14ac:dyDescent="0.25">
      <c r="E161" s="8">
        <v>169</v>
      </c>
      <c r="F161" s="24">
        <f t="shared" si="19"/>
        <v>214.04999999999933</v>
      </c>
    </row>
    <row r="162" spans="5:6" x14ac:dyDescent="0.25">
      <c r="E162" s="8">
        <v>170</v>
      </c>
      <c r="F162" s="24">
        <f t="shared" si="19"/>
        <v>215.14999999999932</v>
      </c>
    </row>
    <row r="163" spans="5:6" x14ac:dyDescent="0.25">
      <c r="E163" s="8">
        <v>171</v>
      </c>
      <c r="F163" s="24">
        <f t="shared" si="19"/>
        <v>216.24999999999932</v>
      </c>
    </row>
    <row r="164" spans="5:6" x14ac:dyDescent="0.25">
      <c r="E164" s="8">
        <v>172</v>
      </c>
      <c r="F164" s="24">
        <f t="shared" si="19"/>
        <v>217.34999999999931</v>
      </c>
    </row>
    <row r="165" spans="5:6" x14ac:dyDescent="0.25">
      <c r="E165" s="8">
        <v>173</v>
      </c>
      <c r="F165" s="24">
        <f t="shared" si="19"/>
        <v>218.44999999999931</v>
      </c>
    </row>
    <row r="166" spans="5:6" x14ac:dyDescent="0.25">
      <c r="E166" s="8">
        <v>174</v>
      </c>
      <c r="F166" s="24">
        <f t="shared" si="19"/>
        <v>219.5499999999993</v>
      </c>
    </row>
    <row r="167" spans="5:6" x14ac:dyDescent="0.25">
      <c r="E167" s="8">
        <v>175</v>
      </c>
      <c r="F167" s="24">
        <f t="shared" si="19"/>
        <v>220.6499999999993</v>
      </c>
    </row>
    <row r="168" spans="5:6" x14ac:dyDescent="0.25">
      <c r="E168" s="8">
        <v>176</v>
      </c>
      <c r="F168" s="24">
        <f t="shared" si="19"/>
        <v>221.74999999999929</v>
      </c>
    </row>
    <row r="169" spans="5:6" x14ac:dyDescent="0.25">
      <c r="E169" s="8">
        <v>177</v>
      </c>
      <c r="F169" s="24">
        <f t="shared" si="19"/>
        <v>222.84999999999928</v>
      </c>
    </row>
    <row r="170" spans="5:6" x14ac:dyDescent="0.25">
      <c r="E170" s="8">
        <v>178</v>
      </c>
      <c r="F170" s="24">
        <f t="shared" si="19"/>
        <v>223.94999999999928</v>
      </c>
    </row>
    <row r="171" spans="5:6" x14ac:dyDescent="0.25">
      <c r="E171" s="8">
        <v>179</v>
      </c>
      <c r="F171" s="24">
        <f t="shared" si="19"/>
        <v>225.04999999999927</v>
      </c>
    </row>
    <row r="172" spans="5:6" x14ac:dyDescent="0.25">
      <c r="E172" s="8">
        <v>180</v>
      </c>
      <c r="F172" s="24">
        <f t="shared" si="19"/>
        <v>226.14999999999927</v>
      </c>
    </row>
    <row r="173" spans="5:6" x14ac:dyDescent="0.25">
      <c r="E173" s="8">
        <v>181</v>
      </c>
      <c r="F173" s="24">
        <f t="shared" si="19"/>
        <v>227.24999999999926</v>
      </c>
    </row>
    <row r="174" spans="5:6" x14ac:dyDescent="0.25">
      <c r="E174" s="8">
        <v>182</v>
      </c>
      <c r="F174" s="24">
        <f t="shared" si="19"/>
        <v>228.34999999999926</v>
      </c>
    </row>
    <row r="175" spans="5:6" x14ac:dyDescent="0.25">
      <c r="E175" s="8">
        <v>183</v>
      </c>
      <c r="F175" s="24">
        <f t="shared" si="19"/>
        <v>229.44999999999925</v>
      </c>
    </row>
    <row r="176" spans="5:6" x14ac:dyDescent="0.25">
      <c r="E176" s="8">
        <v>184</v>
      </c>
      <c r="F176" s="24">
        <f t="shared" si="19"/>
        <v>230.54999999999924</v>
      </c>
    </row>
    <row r="177" spans="5:6" x14ac:dyDescent="0.25">
      <c r="E177" s="8">
        <v>185</v>
      </c>
      <c r="F177" s="24">
        <f t="shared" si="19"/>
        <v>231.64999999999924</v>
      </c>
    </row>
    <row r="178" spans="5:6" x14ac:dyDescent="0.25">
      <c r="E178" s="8">
        <v>186</v>
      </c>
      <c r="F178" s="24">
        <f t="shared" si="19"/>
        <v>232.74999999999923</v>
      </c>
    </row>
    <row r="179" spans="5:6" x14ac:dyDescent="0.25">
      <c r="E179" s="8">
        <v>187</v>
      </c>
      <c r="F179" s="24">
        <f t="shared" si="19"/>
        <v>233.84999999999923</v>
      </c>
    </row>
    <row r="180" spans="5:6" x14ac:dyDescent="0.25">
      <c r="E180" s="8">
        <v>188</v>
      </c>
      <c r="F180" s="24">
        <f t="shared" si="19"/>
        <v>234.94999999999922</v>
      </c>
    </row>
    <row r="181" spans="5:6" x14ac:dyDescent="0.25">
      <c r="E181" s="8">
        <v>189</v>
      </c>
      <c r="F181" s="24">
        <f t="shared" si="19"/>
        <v>236.04999999999922</v>
      </c>
    </row>
    <row r="182" spans="5:6" x14ac:dyDescent="0.25">
      <c r="E182" s="8">
        <v>190</v>
      </c>
      <c r="F182" s="24">
        <f t="shared" si="19"/>
        <v>237.14999999999921</v>
      </c>
    </row>
    <row r="183" spans="5:6" x14ac:dyDescent="0.25">
      <c r="E183" s="8">
        <v>191</v>
      </c>
      <c r="F183" s="24">
        <f t="shared" si="19"/>
        <v>238.2499999999992</v>
      </c>
    </row>
    <row r="184" spans="5:6" x14ac:dyDescent="0.25">
      <c r="E184" s="8">
        <v>192</v>
      </c>
      <c r="F184" s="24">
        <f t="shared" si="19"/>
        <v>239.3499999999992</v>
      </c>
    </row>
    <row r="185" spans="5:6" x14ac:dyDescent="0.25">
      <c r="E185" s="8">
        <v>193</v>
      </c>
      <c r="F185" s="24">
        <f t="shared" si="19"/>
        <v>240.44999999999919</v>
      </c>
    </row>
    <row r="186" spans="5:6" x14ac:dyDescent="0.25">
      <c r="E186" s="8">
        <v>194</v>
      </c>
      <c r="F186" s="24">
        <f t="shared" si="19"/>
        <v>241.54999999999919</v>
      </c>
    </row>
    <row r="187" spans="5:6" x14ac:dyDescent="0.25">
      <c r="E187" s="8">
        <v>195</v>
      </c>
      <c r="F187" s="24">
        <f t="shared" si="19"/>
        <v>242.64999999999918</v>
      </c>
    </row>
    <row r="188" spans="5:6" x14ac:dyDescent="0.25">
      <c r="E188" s="8">
        <v>196</v>
      </c>
      <c r="F188" s="24">
        <f t="shared" si="19"/>
        <v>243.74999999999918</v>
      </c>
    </row>
    <row r="189" spans="5:6" x14ac:dyDescent="0.25">
      <c r="E189" s="8">
        <v>197</v>
      </c>
      <c r="F189" s="24">
        <f t="shared" si="19"/>
        <v>244.84999999999917</v>
      </c>
    </row>
    <row r="190" spans="5:6" x14ac:dyDescent="0.25">
      <c r="E190" s="8">
        <v>198</v>
      </c>
      <c r="F190" s="24">
        <f t="shared" si="19"/>
        <v>245.94999999999916</v>
      </c>
    </row>
    <row r="191" spans="5:6" x14ac:dyDescent="0.25">
      <c r="E191" s="8">
        <v>199</v>
      </c>
      <c r="F191" s="24">
        <f t="shared" si="19"/>
        <v>247.04999999999916</v>
      </c>
    </row>
    <row r="192" spans="5:6" x14ac:dyDescent="0.25">
      <c r="E192" s="8">
        <v>200</v>
      </c>
      <c r="F192" s="24">
        <f t="shared" si="19"/>
        <v>248.14999999999915</v>
      </c>
    </row>
    <row r="193" spans="5:6" x14ac:dyDescent="0.25">
      <c r="E193" s="8">
        <v>201</v>
      </c>
      <c r="F193" s="24">
        <f t="shared" si="19"/>
        <v>249.24999999999915</v>
      </c>
    </row>
    <row r="194" spans="5:6" x14ac:dyDescent="0.25">
      <c r="E194" s="8">
        <v>202</v>
      </c>
      <c r="F194" s="24">
        <f t="shared" si="19"/>
        <v>250.34999999999914</v>
      </c>
    </row>
    <row r="195" spans="5:6" x14ac:dyDescent="0.25">
      <c r="E195" s="8">
        <v>203</v>
      </c>
      <c r="F195" s="24">
        <f t="shared" si="19"/>
        <v>251.44999999999914</v>
      </c>
    </row>
    <row r="196" spans="5:6" x14ac:dyDescent="0.25">
      <c r="E196" s="8">
        <v>204</v>
      </c>
      <c r="F196" s="24">
        <f t="shared" si="19"/>
        <v>252.54999999999913</v>
      </c>
    </row>
    <row r="197" spans="5:6" x14ac:dyDescent="0.25">
      <c r="E197" s="8">
        <v>205</v>
      </c>
      <c r="F197" s="24">
        <f t="shared" si="19"/>
        <v>253.64999999999912</v>
      </c>
    </row>
    <row r="198" spans="5:6" x14ac:dyDescent="0.25">
      <c r="E198" s="8">
        <v>206</v>
      </c>
      <c r="F198" s="24">
        <f t="shared" si="19"/>
        <v>254.74999999999912</v>
      </c>
    </row>
    <row r="199" spans="5:6" x14ac:dyDescent="0.25">
      <c r="E199" s="8">
        <v>207</v>
      </c>
      <c r="F199" s="24">
        <f t="shared" si="19"/>
        <v>255.84999999999911</v>
      </c>
    </row>
    <row r="200" spans="5:6" x14ac:dyDescent="0.25">
      <c r="E200" s="8">
        <v>208</v>
      </c>
      <c r="F200" s="24">
        <f t="shared" si="19"/>
        <v>256.94999999999914</v>
      </c>
    </row>
    <row r="201" spans="5:6" x14ac:dyDescent="0.25">
      <c r="E201" s="8">
        <v>209</v>
      </c>
      <c r="F201" s="24">
        <f t="shared" si="19"/>
        <v>258.04999999999916</v>
      </c>
    </row>
    <row r="202" spans="5:6" x14ac:dyDescent="0.25">
      <c r="E202" s="8">
        <v>210</v>
      </c>
      <c r="F202" s="24">
        <f t="shared" si="19"/>
        <v>259.14999999999918</v>
      </c>
    </row>
    <row r="203" spans="5:6" x14ac:dyDescent="0.25">
      <c r="E203" s="8">
        <v>211</v>
      </c>
      <c r="F203" s="24">
        <f t="shared" si="19"/>
        <v>260.2499999999992</v>
      </c>
    </row>
    <row r="204" spans="5:6" x14ac:dyDescent="0.25">
      <c r="E204" s="8">
        <v>212</v>
      </c>
      <c r="F204" s="24">
        <f t="shared" si="19"/>
        <v>261.34999999999923</v>
      </c>
    </row>
    <row r="205" spans="5:6" x14ac:dyDescent="0.25">
      <c r="E205" s="8">
        <v>213</v>
      </c>
      <c r="F205" s="24">
        <f t="shared" si="19"/>
        <v>262.44999999999925</v>
      </c>
    </row>
    <row r="206" spans="5:6" x14ac:dyDescent="0.25">
      <c r="E206" s="8">
        <v>214</v>
      </c>
      <c r="F206" s="24">
        <f t="shared" si="19"/>
        <v>263.54999999999927</v>
      </c>
    </row>
    <row r="207" spans="5:6" x14ac:dyDescent="0.25">
      <c r="E207" s="8">
        <v>215</v>
      </c>
      <c r="F207" s="24">
        <f t="shared" si="19"/>
        <v>264.6499999999993</v>
      </c>
    </row>
    <row r="208" spans="5:6" x14ac:dyDescent="0.25">
      <c r="E208" s="8">
        <v>216</v>
      </c>
      <c r="F208" s="24">
        <f t="shared" si="19"/>
        <v>265.74999999999932</v>
      </c>
    </row>
    <row r="209" spans="5:6" x14ac:dyDescent="0.25">
      <c r="E209" s="8">
        <v>217</v>
      </c>
      <c r="F209" s="24">
        <f t="shared" si="19"/>
        <v>266.84999999999934</v>
      </c>
    </row>
    <row r="210" spans="5:6" x14ac:dyDescent="0.25">
      <c r="E210" s="8">
        <v>218</v>
      </c>
      <c r="F210" s="24">
        <f t="shared" si="19"/>
        <v>267.94999999999936</v>
      </c>
    </row>
    <row r="211" spans="5:6" x14ac:dyDescent="0.25">
      <c r="E211" s="8">
        <v>219</v>
      </c>
      <c r="F211" s="24">
        <f t="shared" si="19"/>
        <v>269.04999999999939</v>
      </c>
    </row>
    <row r="212" spans="5:6" x14ac:dyDescent="0.25">
      <c r="E212" s="8">
        <v>220</v>
      </c>
      <c r="F212" s="24">
        <f t="shared" si="19"/>
        <v>270.14999999999941</v>
      </c>
    </row>
    <row r="213" spans="5:6" x14ac:dyDescent="0.25">
      <c r="E213" s="8">
        <v>221</v>
      </c>
      <c r="F213" s="24">
        <f t="shared" si="19"/>
        <v>271.24999999999943</v>
      </c>
    </row>
    <row r="214" spans="5:6" x14ac:dyDescent="0.25">
      <c r="E214" s="8">
        <v>222</v>
      </c>
      <c r="F214" s="24">
        <f t="shared" si="19"/>
        <v>272.34999999999945</v>
      </c>
    </row>
    <row r="215" spans="5:6" x14ac:dyDescent="0.25">
      <c r="E215" s="8">
        <v>223</v>
      </c>
      <c r="F215" s="24">
        <f t="shared" si="19"/>
        <v>273.44999999999948</v>
      </c>
    </row>
    <row r="216" spans="5:6" x14ac:dyDescent="0.25">
      <c r="E216" s="8">
        <v>224</v>
      </c>
      <c r="F216" s="24">
        <f t="shared" ref="F216:F279" si="20">F215+(E216-E215)*$C$18</f>
        <v>274.5499999999995</v>
      </c>
    </row>
    <row r="217" spans="5:6" x14ac:dyDescent="0.25">
      <c r="E217" s="8">
        <v>225</v>
      </c>
      <c r="F217" s="24">
        <f t="shared" si="20"/>
        <v>275.64999999999952</v>
      </c>
    </row>
    <row r="218" spans="5:6" x14ac:dyDescent="0.25">
      <c r="E218" s="8">
        <v>226</v>
      </c>
      <c r="F218" s="24">
        <f t="shared" si="20"/>
        <v>276.74999999999955</v>
      </c>
    </row>
    <row r="219" spans="5:6" x14ac:dyDescent="0.25">
      <c r="E219" s="8">
        <v>227</v>
      </c>
      <c r="F219" s="24">
        <f t="shared" si="20"/>
        <v>277.84999999999957</v>
      </c>
    </row>
    <row r="220" spans="5:6" x14ac:dyDescent="0.25">
      <c r="E220" s="8">
        <v>228</v>
      </c>
      <c r="F220" s="24">
        <f t="shared" si="20"/>
        <v>278.94999999999959</v>
      </c>
    </row>
    <row r="221" spans="5:6" x14ac:dyDescent="0.25">
      <c r="E221" s="8">
        <v>229</v>
      </c>
      <c r="F221" s="24">
        <f t="shared" si="20"/>
        <v>280.04999999999961</v>
      </c>
    </row>
    <row r="222" spans="5:6" x14ac:dyDescent="0.25">
      <c r="E222" s="8">
        <v>230</v>
      </c>
      <c r="F222" s="24">
        <f t="shared" si="20"/>
        <v>281.14999999999964</v>
      </c>
    </row>
    <row r="223" spans="5:6" x14ac:dyDescent="0.25">
      <c r="E223" s="8">
        <v>231</v>
      </c>
      <c r="F223" s="24">
        <f t="shared" si="20"/>
        <v>282.24999999999966</v>
      </c>
    </row>
    <row r="224" spans="5:6" x14ac:dyDescent="0.25">
      <c r="E224" s="8">
        <v>232</v>
      </c>
      <c r="F224" s="24">
        <f t="shared" si="20"/>
        <v>283.34999999999968</v>
      </c>
    </row>
    <row r="225" spans="5:6" x14ac:dyDescent="0.25">
      <c r="E225" s="8">
        <v>233</v>
      </c>
      <c r="F225" s="24">
        <f t="shared" si="20"/>
        <v>284.4499999999997</v>
      </c>
    </row>
    <row r="226" spans="5:6" x14ac:dyDescent="0.25">
      <c r="E226" s="8">
        <v>234</v>
      </c>
      <c r="F226" s="24">
        <f t="shared" si="20"/>
        <v>285.54999999999973</v>
      </c>
    </row>
    <row r="227" spans="5:6" x14ac:dyDescent="0.25">
      <c r="E227" s="8">
        <v>235</v>
      </c>
      <c r="F227" s="24">
        <f t="shared" si="20"/>
        <v>286.64999999999975</v>
      </c>
    </row>
    <row r="228" spans="5:6" x14ac:dyDescent="0.25">
      <c r="E228" s="8">
        <v>236</v>
      </c>
      <c r="F228" s="24">
        <f t="shared" si="20"/>
        <v>287.74999999999977</v>
      </c>
    </row>
    <row r="229" spans="5:6" x14ac:dyDescent="0.25">
      <c r="E229" s="8">
        <v>237</v>
      </c>
      <c r="F229" s="24">
        <f t="shared" si="20"/>
        <v>288.8499999999998</v>
      </c>
    </row>
    <row r="230" spans="5:6" x14ac:dyDescent="0.25">
      <c r="E230" s="8">
        <v>238</v>
      </c>
      <c r="F230" s="24">
        <f t="shared" si="20"/>
        <v>289.94999999999982</v>
      </c>
    </row>
    <row r="231" spans="5:6" x14ac:dyDescent="0.25">
      <c r="E231" s="8">
        <v>239</v>
      </c>
      <c r="F231" s="24">
        <f t="shared" si="20"/>
        <v>291.04999999999984</v>
      </c>
    </row>
    <row r="232" spans="5:6" x14ac:dyDescent="0.25">
      <c r="E232" s="8">
        <v>240</v>
      </c>
      <c r="F232" s="24">
        <f t="shared" si="20"/>
        <v>292.14999999999986</v>
      </c>
    </row>
    <row r="233" spans="5:6" x14ac:dyDescent="0.25">
      <c r="E233" s="8">
        <v>241</v>
      </c>
      <c r="F233" s="24">
        <f t="shared" si="20"/>
        <v>293.24999999999989</v>
      </c>
    </row>
    <row r="234" spans="5:6" x14ac:dyDescent="0.25">
      <c r="E234" s="8">
        <v>242</v>
      </c>
      <c r="F234" s="24">
        <f t="shared" si="20"/>
        <v>294.34999999999991</v>
      </c>
    </row>
    <row r="235" spans="5:6" x14ac:dyDescent="0.25">
      <c r="E235" s="8">
        <v>243</v>
      </c>
      <c r="F235" s="24">
        <f t="shared" si="20"/>
        <v>295.44999999999993</v>
      </c>
    </row>
    <row r="236" spans="5:6" x14ac:dyDescent="0.25">
      <c r="E236" s="8">
        <v>244</v>
      </c>
      <c r="F236" s="24">
        <f t="shared" si="20"/>
        <v>296.54999999999995</v>
      </c>
    </row>
    <row r="237" spans="5:6" x14ac:dyDescent="0.25">
      <c r="E237" s="8">
        <v>245</v>
      </c>
      <c r="F237" s="24">
        <f t="shared" si="20"/>
        <v>297.64999999999998</v>
      </c>
    </row>
    <row r="238" spans="5:6" x14ac:dyDescent="0.25">
      <c r="E238" s="8">
        <v>246</v>
      </c>
      <c r="F238" s="24">
        <f t="shared" si="20"/>
        <v>298.75</v>
      </c>
    </row>
    <row r="239" spans="5:6" x14ac:dyDescent="0.25">
      <c r="E239" s="8">
        <v>247</v>
      </c>
      <c r="F239" s="24">
        <f t="shared" si="20"/>
        <v>299.85000000000002</v>
      </c>
    </row>
    <row r="240" spans="5:6" x14ac:dyDescent="0.25">
      <c r="E240" s="8">
        <v>248</v>
      </c>
      <c r="F240" s="24">
        <f t="shared" si="20"/>
        <v>300.95000000000005</v>
      </c>
    </row>
    <row r="241" spans="5:6" x14ac:dyDescent="0.25">
      <c r="E241" s="8">
        <v>249</v>
      </c>
      <c r="F241" s="24">
        <f t="shared" si="20"/>
        <v>302.05000000000007</v>
      </c>
    </row>
    <row r="242" spans="5:6" x14ac:dyDescent="0.25">
      <c r="E242" s="8">
        <v>250</v>
      </c>
      <c r="F242" s="24">
        <f t="shared" si="20"/>
        <v>303.15000000000009</v>
      </c>
    </row>
    <row r="243" spans="5:6" x14ac:dyDescent="0.25">
      <c r="E243" s="8">
        <v>251</v>
      </c>
      <c r="F243" s="24">
        <f t="shared" si="20"/>
        <v>304.25000000000011</v>
      </c>
    </row>
    <row r="244" spans="5:6" x14ac:dyDescent="0.25">
      <c r="E244" s="8">
        <v>252</v>
      </c>
      <c r="F244" s="24">
        <f t="shared" si="20"/>
        <v>305.35000000000014</v>
      </c>
    </row>
    <row r="245" spans="5:6" x14ac:dyDescent="0.25">
      <c r="E245" s="8">
        <v>253</v>
      </c>
      <c r="F245" s="24">
        <f t="shared" si="20"/>
        <v>306.45000000000016</v>
      </c>
    </row>
    <row r="246" spans="5:6" x14ac:dyDescent="0.25">
      <c r="E246" s="8">
        <v>254</v>
      </c>
      <c r="F246" s="24">
        <f t="shared" si="20"/>
        <v>307.55000000000018</v>
      </c>
    </row>
    <row r="247" spans="5:6" x14ac:dyDescent="0.25">
      <c r="E247" s="8">
        <v>255</v>
      </c>
      <c r="F247" s="24">
        <f t="shared" si="20"/>
        <v>308.6500000000002</v>
      </c>
    </row>
    <row r="248" spans="5:6" x14ac:dyDescent="0.25">
      <c r="E248" s="8">
        <v>256</v>
      </c>
      <c r="F248" s="24">
        <f t="shared" si="20"/>
        <v>309.75000000000023</v>
      </c>
    </row>
    <row r="249" spans="5:6" x14ac:dyDescent="0.25">
      <c r="E249" s="8">
        <v>257</v>
      </c>
      <c r="F249" s="24">
        <f t="shared" si="20"/>
        <v>310.85000000000025</v>
      </c>
    </row>
    <row r="250" spans="5:6" x14ac:dyDescent="0.25">
      <c r="E250" s="8">
        <v>258</v>
      </c>
      <c r="F250" s="24">
        <f t="shared" si="20"/>
        <v>311.95000000000027</v>
      </c>
    </row>
    <row r="251" spans="5:6" x14ac:dyDescent="0.25">
      <c r="E251" s="8">
        <v>259</v>
      </c>
      <c r="F251" s="24">
        <f t="shared" si="20"/>
        <v>313.0500000000003</v>
      </c>
    </row>
    <row r="252" spans="5:6" x14ac:dyDescent="0.25">
      <c r="E252" s="8">
        <v>260</v>
      </c>
      <c r="F252" s="24">
        <f t="shared" si="20"/>
        <v>314.15000000000032</v>
      </c>
    </row>
    <row r="253" spans="5:6" x14ac:dyDescent="0.25">
      <c r="E253" s="8">
        <v>261</v>
      </c>
      <c r="F253" s="24">
        <f t="shared" si="20"/>
        <v>315.25000000000034</v>
      </c>
    </row>
    <row r="254" spans="5:6" x14ac:dyDescent="0.25">
      <c r="E254" s="8">
        <v>262</v>
      </c>
      <c r="F254" s="24">
        <f t="shared" si="20"/>
        <v>316.35000000000036</v>
      </c>
    </row>
    <row r="255" spans="5:6" x14ac:dyDescent="0.25">
      <c r="E255" s="8">
        <v>263</v>
      </c>
      <c r="F255" s="24">
        <f t="shared" si="20"/>
        <v>317.45000000000039</v>
      </c>
    </row>
    <row r="256" spans="5:6" x14ac:dyDescent="0.25">
      <c r="E256" s="8">
        <v>264</v>
      </c>
      <c r="F256" s="24">
        <f t="shared" si="20"/>
        <v>318.55000000000041</v>
      </c>
    </row>
    <row r="257" spans="5:6" x14ac:dyDescent="0.25">
      <c r="E257" s="8">
        <v>265</v>
      </c>
      <c r="F257" s="24">
        <f t="shared" si="20"/>
        <v>319.65000000000043</v>
      </c>
    </row>
    <row r="258" spans="5:6" x14ac:dyDescent="0.25">
      <c r="E258" s="8">
        <v>266</v>
      </c>
      <c r="F258" s="24">
        <f t="shared" si="20"/>
        <v>320.75000000000045</v>
      </c>
    </row>
    <row r="259" spans="5:6" x14ac:dyDescent="0.25">
      <c r="E259" s="8">
        <v>267</v>
      </c>
      <c r="F259" s="24">
        <f t="shared" si="20"/>
        <v>321.85000000000048</v>
      </c>
    </row>
    <row r="260" spans="5:6" x14ac:dyDescent="0.25">
      <c r="E260" s="8">
        <v>268</v>
      </c>
      <c r="F260" s="24">
        <f t="shared" si="20"/>
        <v>322.9500000000005</v>
      </c>
    </row>
    <row r="261" spans="5:6" x14ac:dyDescent="0.25">
      <c r="E261" s="8">
        <v>269</v>
      </c>
      <c r="F261" s="24">
        <f t="shared" si="20"/>
        <v>324.05000000000052</v>
      </c>
    </row>
    <row r="262" spans="5:6" x14ac:dyDescent="0.25">
      <c r="E262" s="8">
        <v>270</v>
      </c>
      <c r="F262" s="24">
        <f t="shared" si="20"/>
        <v>325.15000000000055</v>
      </c>
    </row>
    <row r="263" spans="5:6" x14ac:dyDescent="0.25">
      <c r="E263" s="8">
        <v>271</v>
      </c>
      <c r="F263" s="24">
        <f t="shared" si="20"/>
        <v>326.25000000000057</v>
      </c>
    </row>
    <row r="264" spans="5:6" x14ac:dyDescent="0.25">
      <c r="E264" s="8">
        <v>272</v>
      </c>
      <c r="F264" s="24">
        <f t="shared" si="20"/>
        <v>327.35000000000059</v>
      </c>
    </row>
    <row r="265" spans="5:6" x14ac:dyDescent="0.25">
      <c r="E265" s="8">
        <v>273</v>
      </c>
      <c r="F265" s="24">
        <f t="shared" si="20"/>
        <v>328.45000000000061</v>
      </c>
    </row>
    <row r="266" spans="5:6" x14ac:dyDescent="0.25">
      <c r="E266" s="8">
        <v>274</v>
      </c>
      <c r="F266" s="24">
        <f t="shared" si="20"/>
        <v>329.55000000000064</v>
      </c>
    </row>
    <row r="267" spans="5:6" x14ac:dyDescent="0.25">
      <c r="E267" s="8">
        <v>275</v>
      </c>
      <c r="F267" s="24">
        <f t="shared" si="20"/>
        <v>330.65000000000066</v>
      </c>
    </row>
    <row r="268" spans="5:6" x14ac:dyDescent="0.25">
      <c r="E268" s="8">
        <v>276</v>
      </c>
      <c r="F268" s="24">
        <f t="shared" si="20"/>
        <v>331.75000000000068</v>
      </c>
    </row>
    <row r="269" spans="5:6" x14ac:dyDescent="0.25">
      <c r="E269" s="8">
        <v>277</v>
      </c>
      <c r="F269" s="24">
        <f t="shared" si="20"/>
        <v>332.8500000000007</v>
      </c>
    </row>
    <row r="270" spans="5:6" x14ac:dyDescent="0.25">
      <c r="E270" s="8">
        <v>278</v>
      </c>
      <c r="F270" s="24">
        <f t="shared" si="20"/>
        <v>333.95000000000073</v>
      </c>
    </row>
    <row r="271" spans="5:6" x14ac:dyDescent="0.25">
      <c r="E271" s="8">
        <v>279</v>
      </c>
      <c r="F271" s="24">
        <f t="shared" si="20"/>
        <v>335.05000000000075</v>
      </c>
    </row>
    <row r="272" spans="5:6" x14ac:dyDescent="0.25">
      <c r="E272" s="8">
        <v>280</v>
      </c>
      <c r="F272" s="24">
        <f t="shared" si="20"/>
        <v>336.15000000000077</v>
      </c>
    </row>
    <row r="273" spans="5:6" x14ac:dyDescent="0.25">
      <c r="E273" s="8">
        <v>281</v>
      </c>
      <c r="F273" s="24">
        <f t="shared" si="20"/>
        <v>337.2500000000008</v>
      </c>
    </row>
    <row r="274" spans="5:6" x14ac:dyDescent="0.25">
      <c r="E274" s="8">
        <v>282</v>
      </c>
      <c r="F274" s="24">
        <f t="shared" si="20"/>
        <v>338.35000000000082</v>
      </c>
    </row>
    <row r="275" spans="5:6" x14ac:dyDescent="0.25">
      <c r="E275" s="8">
        <v>283</v>
      </c>
      <c r="F275" s="24">
        <f t="shared" si="20"/>
        <v>339.45000000000084</v>
      </c>
    </row>
    <row r="276" spans="5:6" x14ac:dyDescent="0.25">
      <c r="E276" s="8">
        <v>284</v>
      </c>
      <c r="F276" s="24">
        <f t="shared" si="20"/>
        <v>340.55000000000086</v>
      </c>
    </row>
    <row r="277" spans="5:6" x14ac:dyDescent="0.25">
      <c r="E277" s="8">
        <v>285</v>
      </c>
      <c r="F277" s="24">
        <f t="shared" si="20"/>
        <v>341.65000000000089</v>
      </c>
    </row>
    <row r="278" spans="5:6" x14ac:dyDescent="0.25">
      <c r="E278" s="8">
        <v>286</v>
      </c>
      <c r="F278" s="24">
        <f t="shared" si="20"/>
        <v>342.75000000000091</v>
      </c>
    </row>
    <row r="279" spans="5:6" x14ac:dyDescent="0.25">
      <c r="E279" s="8">
        <v>287</v>
      </c>
      <c r="F279" s="24">
        <f t="shared" si="20"/>
        <v>343.85000000000093</v>
      </c>
    </row>
    <row r="280" spans="5:6" x14ac:dyDescent="0.25">
      <c r="E280" s="8">
        <v>288</v>
      </c>
      <c r="F280" s="24">
        <f t="shared" ref="F280:F343" si="21">F279+(E280-E279)*$C$18</f>
        <v>344.95000000000095</v>
      </c>
    </row>
    <row r="281" spans="5:6" x14ac:dyDescent="0.25">
      <c r="E281" s="8">
        <v>289</v>
      </c>
      <c r="F281" s="24">
        <f t="shared" si="21"/>
        <v>346.05000000000098</v>
      </c>
    </row>
    <row r="282" spans="5:6" x14ac:dyDescent="0.25">
      <c r="E282" s="8">
        <v>290</v>
      </c>
      <c r="F282" s="24">
        <f t="shared" si="21"/>
        <v>347.150000000001</v>
      </c>
    </row>
    <row r="283" spans="5:6" x14ac:dyDescent="0.25">
      <c r="E283" s="8">
        <v>291</v>
      </c>
      <c r="F283" s="24">
        <f t="shared" si="21"/>
        <v>348.25000000000102</v>
      </c>
    </row>
    <row r="284" spans="5:6" x14ac:dyDescent="0.25">
      <c r="E284" s="8">
        <v>292</v>
      </c>
      <c r="F284" s="24">
        <f t="shared" si="21"/>
        <v>349.35000000000105</v>
      </c>
    </row>
    <row r="285" spans="5:6" x14ac:dyDescent="0.25">
      <c r="E285" s="8">
        <v>293</v>
      </c>
      <c r="F285" s="24">
        <f t="shared" si="21"/>
        <v>350.45000000000107</v>
      </c>
    </row>
    <row r="286" spans="5:6" x14ac:dyDescent="0.25">
      <c r="E286" s="8">
        <v>294</v>
      </c>
      <c r="F286" s="24">
        <f t="shared" si="21"/>
        <v>351.55000000000109</v>
      </c>
    </row>
    <row r="287" spans="5:6" x14ac:dyDescent="0.25">
      <c r="E287" s="8">
        <v>295</v>
      </c>
      <c r="F287" s="24">
        <f t="shared" si="21"/>
        <v>352.65000000000111</v>
      </c>
    </row>
    <row r="288" spans="5:6" x14ac:dyDescent="0.25">
      <c r="E288" s="8">
        <v>296</v>
      </c>
      <c r="F288" s="24">
        <f t="shared" si="21"/>
        <v>353.75000000000114</v>
      </c>
    </row>
    <row r="289" spans="5:6" x14ac:dyDescent="0.25">
      <c r="E289" s="8">
        <v>297</v>
      </c>
      <c r="F289" s="24">
        <f t="shared" si="21"/>
        <v>354.85000000000116</v>
      </c>
    </row>
    <row r="290" spans="5:6" x14ac:dyDescent="0.25">
      <c r="E290" s="8">
        <v>298</v>
      </c>
      <c r="F290" s="24">
        <f t="shared" si="21"/>
        <v>355.95000000000118</v>
      </c>
    </row>
    <row r="291" spans="5:6" x14ac:dyDescent="0.25">
      <c r="E291" s="8">
        <v>299</v>
      </c>
      <c r="F291" s="24">
        <f t="shared" si="21"/>
        <v>357.05000000000121</v>
      </c>
    </row>
    <row r="292" spans="5:6" x14ac:dyDescent="0.25">
      <c r="E292" s="8">
        <v>300</v>
      </c>
      <c r="F292" s="24">
        <f t="shared" si="21"/>
        <v>358.15000000000123</v>
      </c>
    </row>
    <row r="293" spans="5:6" x14ac:dyDescent="0.25">
      <c r="E293" s="8">
        <v>301</v>
      </c>
      <c r="F293" s="24">
        <f t="shared" si="21"/>
        <v>359.25000000000125</v>
      </c>
    </row>
    <row r="294" spans="5:6" x14ac:dyDescent="0.25">
      <c r="E294" s="8">
        <v>302</v>
      </c>
      <c r="F294" s="24">
        <f t="shared" si="21"/>
        <v>360.35000000000127</v>
      </c>
    </row>
    <row r="295" spans="5:6" x14ac:dyDescent="0.25">
      <c r="E295" s="8">
        <v>303</v>
      </c>
      <c r="F295" s="24">
        <f t="shared" si="21"/>
        <v>361.4500000000013</v>
      </c>
    </row>
    <row r="296" spans="5:6" x14ac:dyDescent="0.25">
      <c r="E296" s="8">
        <v>304</v>
      </c>
      <c r="F296" s="24">
        <f t="shared" si="21"/>
        <v>362.55000000000132</v>
      </c>
    </row>
    <row r="297" spans="5:6" x14ac:dyDescent="0.25">
      <c r="E297" s="8">
        <v>305</v>
      </c>
      <c r="F297" s="24">
        <f t="shared" si="21"/>
        <v>363.65000000000134</v>
      </c>
    </row>
    <row r="298" spans="5:6" x14ac:dyDescent="0.25">
      <c r="E298" s="8">
        <v>306</v>
      </c>
      <c r="F298" s="24">
        <f t="shared" si="21"/>
        <v>364.75000000000136</v>
      </c>
    </row>
    <row r="299" spans="5:6" x14ac:dyDescent="0.25">
      <c r="E299" s="8">
        <v>307</v>
      </c>
      <c r="F299" s="24">
        <f t="shared" si="21"/>
        <v>365.85000000000139</v>
      </c>
    </row>
    <row r="300" spans="5:6" x14ac:dyDescent="0.25">
      <c r="E300" s="8">
        <v>308</v>
      </c>
      <c r="F300" s="24">
        <f t="shared" si="21"/>
        <v>366.95000000000141</v>
      </c>
    </row>
    <row r="301" spans="5:6" x14ac:dyDescent="0.25">
      <c r="E301" s="8">
        <v>309</v>
      </c>
      <c r="F301" s="24">
        <f t="shared" si="21"/>
        <v>368.05000000000143</v>
      </c>
    </row>
    <row r="302" spans="5:6" x14ac:dyDescent="0.25">
      <c r="E302" s="8">
        <v>310</v>
      </c>
      <c r="F302" s="24">
        <f t="shared" si="21"/>
        <v>369.15000000000146</v>
      </c>
    </row>
    <row r="303" spans="5:6" x14ac:dyDescent="0.25">
      <c r="E303" s="8">
        <v>311</v>
      </c>
      <c r="F303" s="24">
        <f t="shared" si="21"/>
        <v>370.25000000000148</v>
      </c>
    </row>
    <row r="304" spans="5:6" x14ac:dyDescent="0.25">
      <c r="E304" s="8">
        <v>312</v>
      </c>
      <c r="F304" s="24">
        <f t="shared" si="21"/>
        <v>371.3500000000015</v>
      </c>
    </row>
    <row r="305" spans="5:6" x14ac:dyDescent="0.25">
      <c r="E305" s="8">
        <v>313</v>
      </c>
      <c r="F305" s="24">
        <f t="shared" si="21"/>
        <v>372.45000000000152</v>
      </c>
    </row>
    <row r="306" spans="5:6" x14ac:dyDescent="0.25">
      <c r="E306" s="8">
        <v>314</v>
      </c>
      <c r="F306" s="24">
        <f t="shared" si="21"/>
        <v>373.55000000000155</v>
      </c>
    </row>
    <row r="307" spans="5:6" x14ac:dyDescent="0.25">
      <c r="E307" s="8">
        <v>315</v>
      </c>
      <c r="F307" s="24">
        <f t="shared" si="21"/>
        <v>374.65000000000157</v>
      </c>
    </row>
    <row r="308" spans="5:6" x14ac:dyDescent="0.25">
      <c r="E308" s="8">
        <v>316</v>
      </c>
      <c r="F308" s="24">
        <f t="shared" si="21"/>
        <v>375.75000000000159</v>
      </c>
    </row>
    <row r="309" spans="5:6" x14ac:dyDescent="0.25">
      <c r="E309" s="8">
        <v>317</v>
      </c>
      <c r="F309" s="24">
        <f t="shared" si="21"/>
        <v>376.85000000000161</v>
      </c>
    </row>
    <row r="310" spans="5:6" x14ac:dyDescent="0.25">
      <c r="E310" s="8">
        <v>318</v>
      </c>
      <c r="F310" s="24">
        <f t="shared" si="21"/>
        <v>377.95000000000164</v>
      </c>
    </row>
    <row r="311" spans="5:6" x14ac:dyDescent="0.25">
      <c r="E311" s="8">
        <v>319</v>
      </c>
      <c r="F311" s="24">
        <f t="shared" si="21"/>
        <v>379.05000000000166</v>
      </c>
    </row>
    <row r="312" spans="5:6" x14ac:dyDescent="0.25">
      <c r="E312" s="8">
        <v>320</v>
      </c>
      <c r="F312" s="24">
        <f t="shared" si="21"/>
        <v>380.15000000000168</v>
      </c>
    </row>
    <row r="313" spans="5:6" x14ac:dyDescent="0.25">
      <c r="E313" s="8">
        <v>321</v>
      </c>
      <c r="F313" s="24">
        <f t="shared" si="21"/>
        <v>381.25000000000171</v>
      </c>
    </row>
    <row r="314" spans="5:6" x14ac:dyDescent="0.25">
      <c r="E314" s="8">
        <v>322</v>
      </c>
      <c r="F314" s="24">
        <f t="shared" si="21"/>
        <v>382.35000000000173</v>
      </c>
    </row>
    <row r="315" spans="5:6" x14ac:dyDescent="0.25">
      <c r="E315" s="8">
        <v>323</v>
      </c>
      <c r="F315" s="24">
        <f t="shared" si="21"/>
        <v>383.45000000000175</v>
      </c>
    </row>
    <row r="316" spans="5:6" x14ac:dyDescent="0.25">
      <c r="E316" s="8">
        <v>324</v>
      </c>
      <c r="F316" s="24">
        <f t="shared" si="21"/>
        <v>384.55000000000177</v>
      </c>
    </row>
    <row r="317" spans="5:6" x14ac:dyDescent="0.25">
      <c r="E317" s="8">
        <v>325</v>
      </c>
      <c r="F317" s="24">
        <f t="shared" si="21"/>
        <v>385.6500000000018</v>
      </c>
    </row>
    <row r="318" spans="5:6" x14ac:dyDescent="0.25">
      <c r="E318" s="8">
        <v>326</v>
      </c>
      <c r="F318" s="24">
        <f t="shared" si="21"/>
        <v>386.75000000000182</v>
      </c>
    </row>
    <row r="319" spans="5:6" x14ac:dyDescent="0.25">
      <c r="E319" s="8">
        <v>327</v>
      </c>
      <c r="F319" s="24">
        <f t="shared" si="21"/>
        <v>387.85000000000184</v>
      </c>
    </row>
    <row r="320" spans="5:6" x14ac:dyDescent="0.25">
      <c r="E320" s="8">
        <v>328</v>
      </c>
      <c r="F320" s="24">
        <f t="shared" si="21"/>
        <v>388.95000000000186</v>
      </c>
    </row>
    <row r="321" spans="5:6" x14ac:dyDescent="0.25">
      <c r="E321" s="8">
        <v>329</v>
      </c>
      <c r="F321" s="24">
        <f t="shared" si="21"/>
        <v>390.05000000000189</v>
      </c>
    </row>
    <row r="322" spans="5:6" x14ac:dyDescent="0.25">
      <c r="E322" s="8">
        <v>330</v>
      </c>
      <c r="F322" s="24">
        <f t="shared" si="21"/>
        <v>391.15000000000191</v>
      </c>
    </row>
    <row r="323" spans="5:6" x14ac:dyDescent="0.25">
      <c r="E323" s="8">
        <v>331</v>
      </c>
      <c r="F323" s="24">
        <f t="shared" si="21"/>
        <v>392.25000000000193</v>
      </c>
    </row>
    <row r="324" spans="5:6" x14ac:dyDescent="0.25">
      <c r="E324" s="8">
        <v>332</v>
      </c>
      <c r="F324" s="24">
        <f t="shared" si="21"/>
        <v>393.35000000000196</v>
      </c>
    </row>
    <row r="325" spans="5:6" x14ac:dyDescent="0.25">
      <c r="E325" s="8">
        <v>333</v>
      </c>
      <c r="F325" s="24">
        <f t="shared" si="21"/>
        <v>394.45000000000198</v>
      </c>
    </row>
    <row r="326" spans="5:6" x14ac:dyDescent="0.25">
      <c r="E326" s="8">
        <v>334</v>
      </c>
      <c r="F326" s="24">
        <f t="shared" si="21"/>
        <v>395.550000000002</v>
      </c>
    </row>
    <row r="327" spans="5:6" x14ac:dyDescent="0.25">
      <c r="E327" s="8">
        <v>335</v>
      </c>
      <c r="F327" s="24">
        <f t="shared" si="21"/>
        <v>396.65000000000202</v>
      </c>
    </row>
    <row r="328" spans="5:6" x14ac:dyDescent="0.25">
      <c r="E328" s="8">
        <v>336</v>
      </c>
      <c r="F328" s="24">
        <f t="shared" si="21"/>
        <v>397.75000000000205</v>
      </c>
    </row>
    <row r="329" spans="5:6" x14ac:dyDescent="0.25">
      <c r="E329" s="8">
        <v>337</v>
      </c>
      <c r="F329" s="24">
        <f t="shared" si="21"/>
        <v>398.85000000000207</v>
      </c>
    </row>
    <row r="330" spans="5:6" x14ac:dyDescent="0.25">
      <c r="E330" s="8">
        <v>338</v>
      </c>
      <c r="F330" s="24">
        <f t="shared" si="21"/>
        <v>399.95000000000209</v>
      </c>
    </row>
    <row r="331" spans="5:6" x14ac:dyDescent="0.25">
      <c r="E331" s="8">
        <v>339</v>
      </c>
      <c r="F331" s="24">
        <f t="shared" si="21"/>
        <v>401.05000000000211</v>
      </c>
    </row>
    <row r="332" spans="5:6" x14ac:dyDescent="0.25">
      <c r="E332" s="8">
        <v>340</v>
      </c>
      <c r="F332" s="24">
        <f t="shared" si="21"/>
        <v>402.15000000000214</v>
      </c>
    </row>
    <row r="333" spans="5:6" x14ac:dyDescent="0.25">
      <c r="E333" s="8">
        <v>341</v>
      </c>
      <c r="F333" s="24">
        <f t="shared" si="21"/>
        <v>403.25000000000216</v>
      </c>
    </row>
    <row r="334" spans="5:6" x14ac:dyDescent="0.25">
      <c r="E334" s="8">
        <v>342</v>
      </c>
      <c r="F334" s="24">
        <f t="shared" si="21"/>
        <v>404.35000000000218</v>
      </c>
    </row>
    <row r="335" spans="5:6" x14ac:dyDescent="0.25">
      <c r="E335" s="8">
        <v>343</v>
      </c>
      <c r="F335" s="24">
        <f t="shared" si="21"/>
        <v>405.45000000000221</v>
      </c>
    </row>
    <row r="336" spans="5:6" x14ac:dyDescent="0.25">
      <c r="E336" s="8">
        <v>344</v>
      </c>
      <c r="F336" s="24">
        <f t="shared" si="21"/>
        <v>406.55000000000223</v>
      </c>
    </row>
    <row r="337" spans="5:6" x14ac:dyDescent="0.25">
      <c r="E337" s="8">
        <v>345</v>
      </c>
      <c r="F337" s="24">
        <f t="shared" si="21"/>
        <v>407.65000000000225</v>
      </c>
    </row>
    <row r="338" spans="5:6" x14ac:dyDescent="0.25">
      <c r="E338" s="8">
        <v>346</v>
      </c>
      <c r="F338" s="24">
        <f t="shared" si="21"/>
        <v>408.75000000000227</v>
      </c>
    </row>
    <row r="339" spans="5:6" x14ac:dyDescent="0.25">
      <c r="E339" s="8">
        <v>347</v>
      </c>
      <c r="F339" s="24">
        <f t="shared" si="21"/>
        <v>409.8500000000023</v>
      </c>
    </row>
    <row r="340" spans="5:6" x14ac:dyDescent="0.25">
      <c r="E340" s="8">
        <v>348</v>
      </c>
      <c r="F340" s="24">
        <f t="shared" si="21"/>
        <v>410.95000000000232</v>
      </c>
    </row>
    <row r="341" spans="5:6" x14ac:dyDescent="0.25">
      <c r="E341" s="8">
        <v>349</v>
      </c>
      <c r="F341" s="24">
        <f t="shared" si="21"/>
        <v>412.05000000000234</v>
      </c>
    </row>
    <row r="342" spans="5:6" x14ac:dyDescent="0.25">
      <c r="E342" s="8">
        <v>350</v>
      </c>
      <c r="F342" s="24">
        <f t="shared" si="21"/>
        <v>413.15000000000236</v>
      </c>
    </row>
    <row r="343" spans="5:6" x14ac:dyDescent="0.25">
      <c r="E343" s="8">
        <v>351</v>
      </c>
      <c r="F343" s="24">
        <f t="shared" si="21"/>
        <v>414.25000000000239</v>
      </c>
    </row>
    <row r="344" spans="5:6" x14ac:dyDescent="0.25">
      <c r="E344" s="8">
        <v>352</v>
      </c>
      <c r="F344" s="24">
        <f t="shared" ref="F344:F407" si="22">F343+(E344-E343)*$C$18</f>
        <v>415.35000000000241</v>
      </c>
    </row>
    <row r="345" spans="5:6" x14ac:dyDescent="0.25">
      <c r="E345" s="8">
        <v>353</v>
      </c>
      <c r="F345" s="24">
        <f t="shared" si="22"/>
        <v>416.45000000000243</v>
      </c>
    </row>
    <row r="346" spans="5:6" x14ac:dyDescent="0.25">
      <c r="E346" s="8">
        <v>354</v>
      </c>
      <c r="F346" s="24">
        <f t="shared" si="22"/>
        <v>417.55000000000246</v>
      </c>
    </row>
    <row r="347" spans="5:6" x14ac:dyDescent="0.25">
      <c r="E347" s="8">
        <v>355</v>
      </c>
      <c r="F347" s="24">
        <f t="shared" si="22"/>
        <v>418.65000000000248</v>
      </c>
    </row>
    <row r="348" spans="5:6" x14ac:dyDescent="0.25">
      <c r="E348" s="8">
        <v>356</v>
      </c>
      <c r="F348" s="24">
        <f t="shared" si="22"/>
        <v>419.7500000000025</v>
      </c>
    </row>
    <row r="349" spans="5:6" x14ac:dyDescent="0.25">
      <c r="E349" s="8">
        <v>357</v>
      </c>
      <c r="F349" s="24">
        <f t="shared" si="22"/>
        <v>420.85000000000252</v>
      </c>
    </row>
    <row r="350" spans="5:6" x14ac:dyDescent="0.25">
      <c r="E350" s="8">
        <v>358</v>
      </c>
      <c r="F350" s="24">
        <f t="shared" si="22"/>
        <v>421.95000000000255</v>
      </c>
    </row>
    <row r="351" spans="5:6" x14ac:dyDescent="0.25">
      <c r="E351" s="8">
        <v>359</v>
      </c>
      <c r="F351" s="24">
        <f t="shared" si="22"/>
        <v>423.05000000000257</v>
      </c>
    </row>
    <row r="352" spans="5:6" x14ac:dyDescent="0.25">
      <c r="E352" s="8">
        <v>360</v>
      </c>
      <c r="F352" s="24">
        <f t="shared" si="22"/>
        <v>424.15000000000259</v>
      </c>
    </row>
    <row r="353" spans="5:6" x14ac:dyDescent="0.25">
      <c r="E353" s="8">
        <v>361</v>
      </c>
      <c r="F353" s="24">
        <f t="shared" si="22"/>
        <v>425.25000000000261</v>
      </c>
    </row>
    <row r="354" spans="5:6" x14ac:dyDescent="0.25">
      <c r="E354" s="8">
        <v>362</v>
      </c>
      <c r="F354" s="24">
        <f t="shared" si="22"/>
        <v>426.35000000000264</v>
      </c>
    </row>
    <row r="355" spans="5:6" x14ac:dyDescent="0.25">
      <c r="E355" s="8">
        <v>363</v>
      </c>
      <c r="F355" s="24">
        <f t="shared" si="22"/>
        <v>427.45000000000266</v>
      </c>
    </row>
    <row r="356" spans="5:6" x14ac:dyDescent="0.25">
      <c r="E356" s="8">
        <v>364</v>
      </c>
      <c r="F356" s="24">
        <f t="shared" si="22"/>
        <v>428.55000000000268</v>
      </c>
    </row>
    <row r="357" spans="5:6" x14ac:dyDescent="0.25">
      <c r="E357" s="8">
        <v>365</v>
      </c>
      <c r="F357" s="24">
        <f t="shared" si="22"/>
        <v>429.65000000000271</v>
      </c>
    </row>
    <row r="358" spans="5:6" x14ac:dyDescent="0.25">
      <c r="E358" s="8">
        <v>366</v>
      </c>
      <c r="F358" s="24">
        <f t="shared" si="22"/>
        <v>430.75000000000273</v>
      </c>
    </row>
    <row r="359" spans="5:6" x14ac:dyDescent="0.25">
      <c r="E359" s="8">
        <v>367</v>
      </c>
      <c r="F359" s="24">
        <f t="shared" si="22"/>
        <v>431.85000000000275</v>
      </c>
    </row>
    <row r="360" spans="5:6" x14ac:dyDescent="0.25">
      <c r="E360" s="8">
        <v>368</v>
      </c>
      <c r="F360" s="24">
        <f t="shared" si="22"/>
        <v>432.95000000000277</v>
      </c>
    </row>
    <row r="361" spans="5:6" x14ac:dyDescent="0.25">
      <c r="E361" s="8">
        <v>369</v>
      </c>
      <c r="F361" s="24">
        <f t="shared" si="22"/>
        <v>434.0500000000028</v>
      </c>
    </row>
    <row r="362" spans="5:6" x14ac:dyDescent="0.25">
      <c r="E362" s="8">
        <v>370</v>
      </c>
      <c r="F362" s="24">
        <f t="shared" si="22"/>
        <v>435.15000000000282</v>
      </c>
    </row>
    <row r="363" spans="5:6" x14ac:dyDescent="0.25">
      <c r="E363" s="8">
        <v>371</v>
      </c>
      <c r="F363" s="24">
        <f t="shared" si="22"/>
        <v>436.25000000000284</v>
      </c>
    </row>
    <row r="364" spans="5:6" x14ac:dyDescent="0.25">
      <c r="E364" s="8">
        <v>372</v>
      </c>
      <c r="F364" s="24">
        <f t="shared" si="22"/>
        <v>437.35000000000286</v>
      </c>
    </row>
    <row r="365" spans="5:6" x14ac:dyDescent="0.25">
      <c r="E365" s="8">
        <v>373</v>
      </c>
      <c r="F365" s="24">
        <f t="shared" si="22"/>
        <v>438.45000000000289</v>
      </c>
    </row>
    <row r="366" spans="5:6" x14ac:dyDescent="0.25">
      <c r="E366" s="8">
        <v>374</v>
      </c>
      <c r="F366" s="24">
        <f t="shared" si="22"/>
        <v>439.55000000000291</v>
      </c>
    </row>
    <row r="367" spans="5:6" x14ac:dyDescent="0.25">
      <c r="E367" s="8">
        <v>375</v>
      </c>
      <c r="F367" s="24">
        <f t="shared" si="22"/>
        <v>440.65000000000293</v>
      </c>
    </row>
    <row r="368" spans="5:6" x14ac:dyDescent="0.25">
      <c r="E368" s="8">
        <v>376</v>
      </c>
      <c r="F368" s="24">
        <f t="shared" si="22"/>
        <v>441.75000000000296</v>
      </c>
    </row>
    <row r="369" spans="5:6" x14ac:dyDescent="0.25">
      <c r="E369" s="8">
        <v>377</v>
      </c>
      <c r="F369" s="24">
        <f t="shared" si="22"/>
        <v>442.85000000000298</v>
      </c>
    </row>
    <row r="370" spans="5:6" x14ac:dyDescent="0.25">
      <c r="E370" s="8">
        <v>378</v>
      </c>
      <c r="F370" s="24">
        <f t="shared" si="22"/>
        <v>443.950000000003</v>
      </c>
    </row>
    <row r="371" spans="5:6" x14ac:dyDescent="0.25">
      <c r="E371" s="8">
        <v>379</v>
      </c>
      <c r="F371" s="24">
        <f t="shared" si="22"/>
        <v>445.05000000000302</v>
      </c>
    </row>
    <row r="372" spans="5:6" x14ac:dyDescent="0.25">
      <c r="E372" s="8">
        <v>380</v>
      </c>
      <c r="F372" s="24">
        <f t="shared" si="22"/>
        <v>446.15000000000305</v>
      </c>
    </row>
    <row r="373" spans="5:6" x14ac:dyDescent="0.25">
      <c r="E373" s="8">
        <v>381</v>
      </c>
      <c r="F373" s="24">
        <f t="shared" si="22"/>
        <v>447.25000000000307</v>
      </c>
    </row>
    <row r="374" spans="5:6" x14ac:dyDescent="0.25">
      <c r="E374" s="8">
        <v>382</v>
      </c>
      <c r="F374" s="24">
        <f t="shared" si="22"/>
        <v>448.35000000000309</v>
      </c>
    </row>
    <row r="375" spans="5:6" x14ac:dyDescent="0.25">
      <c r="E375" s="8">
        <v>383</v>
      </c>
      <c r="F375" s="24">
        <f t="shared" si="22"/>
        <v>449.45000000000312</v>
      </c>
    </row>
    <row r="376" spans="5:6" x14ac:dyDescent="0.25">
      <c r="E376" s="8">
        <v>384</v>
      </c>
      <c r="F376" s="24">
        <f t="shared" si="22"/>
        <v>450.55000000000314</v>
      </c>
    </row>
    <row r="377" spans="5:6" x14ac:dyDescent="0.25">
      <c r="E377" s="8">
        <v>385</v>
      </c>
      <c r="F377" s="24">
        <f t="shared" si="22"/>
        <v>451.65000000000316</v>
      </c>
    </row>
    <row r="378" spans="5:6" x14ac:dyDescent="0.25">
      <c r="E378" s="8">
        <v>386</v>
      </c>
      <c r="F378" s="24">
        <f t="shared" si="22"/>
        <v>452.75000000000318</v>
      </c>
    </row>
    <row r="379" spans="5:6" x14ac:dyDescent="0.25">
      <c r="E379" s="8">
        <v>387</v>
      </c>
      <c r="F379" s="24">
        <f t="shared" si="22"/>
        <v>453.85000000000321</v>
      </c>
    </row>
    <row r="380" spans="5:6" x14ac:dyDescent="0.25">
      <c r="E380" s="8">
        <v>388</v>
      </c>
      <c r="F380" s="24">
        <f t="shared" si="22"/>
        <v>454.95000000000323</v>
      </c>
    </row>
    <row r="381" spans="5:6" x14ac:dyDescent="0.25">
      <c r="E381" s="8">
        <v>389</v>
      </c>
      <c r="F381" s="24">
        <f t="shared" si="22"/>
        <v>456.05000000000325</v>
      </c>
    </row>
    <row r="382" spans="5:6" x14ac:dyDescent="0.25">
      <c r="E382" s="8">
        <v>390</v>
      </c>
      <c r="F382" s="24">
        <f t="shared" si="22"/>
        <v>457.15000000000327</v>
      </c>
    </row>
    <row r="383" spans="5:6" x14ac:dyDescent="0.25">
      <c r="E383" s="8">
        <v>391</v>
      </c>
      <c r="F383" s="24">
        <f t="shared" si="22"/>
        <v>458.2500000000033</v>
      </c>
    </row>
    <row r="384" spans="5:6" x14ac:dyDescent="0.25">
      <c r="E384" s="8">
        <v>392</v>
      </c>
      <c r="F384" s="24">
        <f t="shared" si="22"/>
        <v>459.35000000000332</v>
      </c>
    </row>
    <row r="385" spans="5:6" x14ac:dyDescent="0.25">
      <c r="E385" s="8">
        <v>393</v>
      </c>
      <c r="F385" s="24">
        <f t="shared" si="22"/>
        <v>460.45000000000334</v>
      </c>
    </row>
    <row r="386" spans="5:6" x14ac:dyDescent="0.25">
      <c r="E386" s="8">
        <v>394</v>
      </c>
      <c r="F386" s="24">
        <f t="shared" si="22"/>
        <v>461.55000000000337</v>
      </c>
    </row>
    <row r="387" spans="5:6" x14ac:dyDescent="0.25">
      <c r="E387" s="8">
        <v>395</v>
      </c>
      <c r="F387" s="24">
        <f t="shared" si="22"/>
        <v>462.65000000000339</v>
      </c>
    </row>
    <row r="388" spans="5:6" x14ac:dyDescent="0.25">
      <c r="E388" s="8">
        <v>396</v>
      </c>
      <c r="F388" s="24">
        <f t="shared" si="22"/>
        <v>463.75000000000341</v>
      </c>
    </row>
    <row r="389" spans="5:6" x14ac:dyDescent="0.25">
      <c r="E389" s="8">
        <v>397</v>
      </c>
      <c r="F389" s="24">
        <f t="shared" si="22"/>
        <v>464.85000000000343</v>
      </c>
    </row>
    <row r="390" spans="5:6" x14ac:dyDescent="0.25">
      <c r="E390" s="8">
        <v>398</v>
      </c>
      <c r="F390" s="24">
        <f t="shared" si="22"/>
        <v>465.95000000000346</v>
      </c>
    </row>
    <row r="391" spans="5:6" x14ac:dyDescent="0.25">
      <c r="E391" s="8">
        <v>399</v>
      </c>
      <c r="F391" s="24">
        <f t="shared" si="22"/>
        <v>467.05000000000348</v>
      </c>
    </row>
    <row r="392" spans="5:6" x14ac:dyDescent="0.25">
      <c r="E392" s="8">
        <v>400</v>
      </c>
      <c r="F392" s="24">
        <f t="shared" si="22"/>
        <v>468.1500000000035</v>
      </c>
    </row>
    <row r="393" spans="5:6" x14ac:dyDescent="0.25">
      <c r="E393" s="8">
        <v>401</v>
      </c>
      <c r="F393" s="24">
        <f t="shared" si="22"/>
        <v>469.25000000000352</v>
      </c>
    </row>
    <row r="394" spans="5:6" x14ac:dyDescent="0.25">
      <c r="E394" s="8">
        <v>402</v>
      </c>
      <c r="F394" s="24">
        <f t="shared" si="22"/>
        <v>470.35000000000355</v>
      </c>
    </row>
    <row r="395" spans="5:6" x14ac:dyDescent="0.25">
      <c r="E395" s="8">
        <v>403</v>
      </c>
      <c r="F395" s="24">
        <f t="shared" si="22"/>
        <v>471.45000000000357</v>
      </c>
    </row>
    <row r="396" spans="5:6" x14ac:dyDescent="0.25">
      <c r="E396" s="8">
        <v>404</v>
      </c>
      <c r="F396" s="24">
        <f t="shared" si="22"/>
        <v>472.55000000000359</v>
      </c>
    </row>
    <row r="397" spans="5:6" x14ac:dyDescent="0.25">
      <c r="E397" s="8">
        <v>405</v>
      </c>
      <c r="F397" s="24">
        <f t="shared" si="22"/>
        <v>473.65000000000362</v>
      </c>
    </row>
    <row r="398" spans="5:6" x14ac:dyDescent="0.25">
      <c r="E398" s="8">
        <v>406</v>
      </c>
      <c r="F398" s="24">
        <f t="shared" si="22"/>
        <v>474.75000000000364</v>
      </c>
    </row>
    <row r="399" spans="5:6" x14ac:dyDescent="0.25">
      <c r="E399" s="8">
        <v>407</v>
      </c>
      <c r="F399" s="24">
        <f t="shared" si="22"/>
        <v>475.85000000000366</v>
      </c>
    </row>
    <row r="400" spans="5:6" x14ac:dyDescent="0.25">
      <c r="E400" s="8">
        <v>408</v>
      </c>
      <c r="F400" s="24">
        <f t="shared" si="22"/>
        <v>476.95000000000368</v>
      </c>
    </row>
    <row r="401" spans="5:6" x14ac:dyDescent="0.25">
      <c r="E401" s="8">
        <v>409</v>
      </c>
      <c r="F401" s="24">
        <f t="shared" si="22"/>
        <v>478.05000000000371</v>
      </c>
    </row>
    <row r="402" spans="5:6" x14ac:dyDescent="0.25">
      <c r="E402" s="8">
        <v>410</v>
      </c>
      <c r="F402" s="24">
        <f t="shared" si="22"/>
        <v>479.15000000000373</v>
      </c>
    </row>
    <row r="403" spans="5:6" x14ac:dyDescent="0.25">
      <c r="E403" s="8">
        <v>411</v>
      </c>
      <c r="F403" s="24">
        <f t="shared" si="22"/>
        <v>480.25000000000375</v>
      </c>
    </row>
    <row r="404" spans="5:6" x14ac:dyDescent="0.25">
      <c r="E404" s="8">
        <v>412</v>
      </c>
      <c r="F404" s="24">
        <f t="shared" si="22"/>
        <v>481.35000000000377</v>
      </c>
    </row>
    <row r="405" spans="5:6" x14ac:dyDescent="0.25">
      <c r="E405" s="8">
        <v>413</v>
      </c>
      <c r="F405" s="24">
        <f t="shared" si="22"/>
        <v>482.4500000000038</v>
      </c>
    </row>
    <row r="406" spans="5:6" x14ac:dyDescent="0.25">
      <c r="E406" s="8">
        <v>414</v>
      </c>
      <c r="F406" s="24">
        <f t="shared" si="22"/>
        <v>483.55000000000382</v>
      </c>
    </row>
    <row r="407" spans="5:6" x14ac:dyDescent="0.25">
      <c r="E407" s="8">
        <v>415</v>
      </c>
      <c r="F407" s="24">
        <f t="shared" si="22"/>
        <v>484.65000000000384</v>
      </c>
    </row>
    <row r="408" spans="5:6" x14ac:dyDescent="0.25">
      <c r="E408" s="8">
        <v>416</v>
      </c>
      <c r="F408" s="24">
        <f t="shared" ref="F408:F470" si="23">F407+(E408-E407)*$C$18</f>
        <v>485.75000000000387</v>
      </c>
    </row>
    <row r="409" spans="5:6" x14ac:dyDescent="0.25">
      <c r="E409" s="8">
        <v>417</v>
      </c>
      <c r="F409" s="24">
        <f t="shared" si="23"/>
        <v>486.85000000000389</v>
      </c>
    </row>
    <row r="410" spans="5:6" x14ac:dyDescent="0.25">
      <c r="E410" s="8">
        <v>418</v>
      </c>
      <c r="F410" s="24">
        <f t="shared" si="23"/>
        <v>487.95000000000391</v>
      </c>
    </row>
    <row r="411" spans="5:6" x14ac:dyDescent="0.25">
      <c r="E411" s="8">
        <v>419</v>
      </c>
      <c r="F411" s="24">
        <f t="shared" si="23"/>
        <v>489.05000000000393</v>
      </c>
    </row>
    <row r="412" spans="5:6" x14ac:dyDescent="0.25">
      <c r="E412" s="8">
        <v>420</v>
      </c>
      <c r="F412" s="24">
        <f t="shared" si="23"/>
        <v>490.15000000000396</v>
      </c>
    </row>
    <row r="413" spans="5:6" x14ac:dyDescent="0.25">
      <c r="E413" s="8">
        <v>421</v>
      </c>
      <c r="F413" s="24">
        <f t="shared" si="23"/>
        <v>491.25000000000398</v>
      </c>
    </row>
    <row r="414" spans="5:6" x14ac:dyDescent="0.25">
      <c r="E414" s="8">
        <v>422</v>
      </c>
      <c r="F414" s="24">
        <f t="shared" si="23"/>
        <v>492.350000000004</v>
      </c>
    </row>
    <row r="415" spans="5:6" x14ac:dyDescent="0.25">
      <c r="E415" s="8">
        <v>423</v>
      </c>
      <c r="F415" s="24">
        <f t="shared" si="23"/>
        <v>493.45000000000402</v>
      </c>
    </row>
    <row r="416" spans="5:6" x14ac:dyDescent="0.25">
      <c r="E416" s="8">
        <v>424</v>
      </c>
      <c r="F416" s="24">
        <f t="shared" si="23"/>
        <v>494.55000000000405</v>
      </c>
    </row>
    <row r="417" spans="5:6" x14ac:dyDescent="0.25">
      <c r="E417" s="8">
        <v>425</v>
      </c>
      <c r="F417" s="24">
        <f t="shared" si="23"/>
        <v>495.65000000000407</v>
      </c>
    </row>
    <row r="418" spans="5:6" x14ac:dyDescent="0.25">
      <c r="E418" s="8">
        <v>426</v>
      </c>
      <c r="F418" s="24">
        <f t="shared" si="23"/>
        <v>496.75000000000409</v>
      </c>
    </row>
    <row r="419" spans="5:6" x14ac:dyDescent="0.25">
      <c r="E419" s="8">
        <v>427</v>
      </c>
      <c r="F419" s="24">
        <f t="shared" si="23"/>
        <v>497.85000000000412</v>
      </c>
    </row>
    <row r="420" spans="5:6" x14ac:dyDescent="0.25">
      <c r="E420" s="8">
        <v>428</v>
      </c>
      <c r="F420" s="24">
        <f t="shared" si="23"/>
        <v>498.95000000000414</v>
      </c>
    </row>
    <row r="421" spans="5:6" x14ac:dyDescent="0.25">
      <c r="E421" s="8">
        <v>429</v>
      </c>
      <c r="F421" s="24">
        <f t="shared" si="23"/>
        <v>500.05000000000416</v>
      </c>
    </row>
    <row r="422" spans="5:6" x14ac:dyDescent="0.25">
      <c r="E422" s="8">
        <v>430</v>
      </c>
      <c r="F422" s="24">
        <f t="shared" si="23"/>
        <v>501.15000000000418</v>
      </c>
    </row>
    <row r="423" spans="5:6" x14ac:dyDescent="0.25">
      <c r="E423" s="8">
        <v>431</v>
      </c>
      <c r="F423" s="24">
        <f t="shared" si="23"/>
        <v>502.25000000000421</v>
      </c>
    </row>
    <row r="424" spans="5:6" x14ac:dyDescent="0.25">
      <c r="E424" s="8">
        <v>432</v>
      </c>
      <c r="F424" s="24">
        <f t="shared" si="23"/>
        <v>503.35000000000423</v>
      </c>
    </row>
    <row r="425" spans="5:6" x14ac:dyDescent="0.25">
      <c r="E425" s="8">
        <v>433</v>
      </c>
      <c r="F425" s="24">
        <f t="shared" si="23"/>
        <v>504.45000000000425</v>
      </c>
    </row>
    <row r="426" spans="5:6" x14ac:dyDescent="0.25">
      <c r="E426" s="8">
        <v>434</v>
      </c>
      <c r="F426" s="24">
        <f t="shared" si="23"/>
        <v>505.55000000000427</v>
      </c>
    </row>
    <row r="427" spans="5:6" x14ac:dyDescent="0.25">
      <c r="E427" s="8">
        <v>435</v>
      </c>
      <c r="F427" s="24">
        <f t="shared" si="23"/>
        <v>506.6500000000043</v>
      </c>
    </row>
    <row r="428" spans="5:6" x14ac:dyDescent="0.25">
      <c r="E428" s="8">
        <v>436</v>
      </c>
      <c r="F428" s="24">
        <f t="shared" si="23"/>
        <v>507.75000000000432</v>
      </c>
    </row>
    <row r="429" spans="5:6" x14ac:dyDescent="0.25">
      <c r="E429" s="8">
        <v>437</v>
      </c>
      <c r="F429" s="24">
        <f t="shared" si="23"/>
        <v>508.85000000000434</v>
      </c>
    </row>
    <row r="430" spans="5:6" x14ac:dyDescent="0.25">
      <c r="E430" s="8">
        <v>438</v>
      </c>
      <c r="F430" s="24">
        <f t="shared" si="23"/>
        <v>509.95000000000437</v>
      </c>
    </row>
    <row r="431" spans="5:6" x14ac:dyDescent="0.25">
      <c r="E431" s="8">
        <v>439</v>
      </c>
      <c r="F431" s="24">
        <f t="shared" si="23"/>
        <v>511.05000000000439</v>
      </c>
    </row>
    <row r="432" spans="5:6" x14ac:dyDescent="0.25">
      <c r="E432" s="8">
        <v>440</v>
      </c>
      <c r="F432" s="24">
        <f t="shared" si="23"/>
        <v>512.15000000000441</v>
      </c>
    </row>
    <row r="433" spans="5:6" x14ac:dyDescent="0.25">
      <c r="E433" s="8">
        <v>441</v>
      </c>
      <c r="F433" s="24">
        <f t="shared" si="23"/>
        <v>513.25000000000443</v>
      </c>
    </row>
    <row r="434" spans="5:6" x14ac:dyDescent="0.25">
      <c r="E434" s="8">
        <v>442</v>
      </c>
      <c r="F434" s="24">
        <f t="shared" si="23"/>
        <v>514.35000000000446</v>
      </c>
    </row>
    <row r="435" spans="5:6" x14ac:dyDescent="0.25">
      <c r="E435" s="8">
        <v>443</v>
      </c>
      <c r="F435" s="24">
        <f t="shared" si="23"/>
        <v>515.45000000000448</v>
      </c>
    </row>
    <row r="436" spans="5:6" x14ac:dyDescent="0.25">
      <c r="E436" s="8">
        <v>444</v>
      </c>
      <c r="F436" s="24">
        <f t="shared" si="23"/>
        <v>516.5500000000045</v>
      </c>
    </row>
    <row r="437" spans="5:6" x14ac:dyDescent="0.25">
      <c r="E437" s="8">
        <v>445</v>
      </c>
      <c r="F437" s="24">
        <f t="shared" si="23"/>
        <v>517.65000000000452</v>
      </c>
    </row>
    <row r="438" spans="5:6" x14ac:dyDescent="0.25">
      <c r="E438" s="8">
        <v>446</v>
      </c>
      <c r="F438" s="24">
        <f t="shared" si="23"/>
        <v>518.75000000000455</v>
      </c>
    </row>
    <row r="439" spans="5:6" x14ac:dyDescent="0.25">
      <c r="E439" s="8">
        <v>447</v>
      </c>
      <c r="F439" s="24">
        <f t="shared" si="23"/>
        <v>519.85000000000457</v>
      </c>
    </row>
    <row r="440" spans="5:6" x14ac:dyDescent="0.25">
      <c r="E440" s="8">
        <v>448</v>
      </c>
      <c r="F440" s="24">
        <f t="shared" si="23"/>
        <v>520.95000000000459</v>
      </c>
    </row>
    <row r="441" spans="5:6" x14ac:dyDescent="0.25">
      <c r="E441" s="8">
        <v>449</v>
      </c>
      <c r="F441" s="24">
        <f t="shared" si="23"/>
        <v>522.05000000000462</v>
      </c>
    </row>
    <row r="442" spans="5:6" x14ac:dyDescent="0.25">
      <c r="E442" s="8">
        <v>450</v>
      </c>
      <c r="F442" s="24">
        <f t="shared" si="23"/>
        <v>523.15000000000464</v>
      </c>
    </row>
    <row r="443" spans="5:6" x14ac:dyDescent="0.25">
      <c r="E443" s="8">
        <v>451</v>
      </c>
      <c r="F443" s="24">
        <f t="shared" si="23"/>
        <v>524.25000000000466</v>
      </c>
    </row>
    <row r="444" spans="5:6" x14ac:dyDescent="0.25">
      <c r="E444" s="8">
        <v>452</v>
      </c>
      <c r="F444" s="24">
        <f t="shared" si="23"/>
        <v>525.35000000000468</v>
      </c>
    </row>
    <row r="445" spans="5:6" x14ac:dyDescent="0.25">
      <c r="E445" s="8">
        <v>453</v>
      </c>
      <c r="F445" s="24">
        <f t="shared" si="23"/>
        <v>526.45000000000471</v>
      </c>
    </row>
    <row r="446" spans="5:6" x14ac:dyDescent="0.25">
      <c r="E446" s="8">
        <v>454</v>
      </c>
      <c r="F446" s="24">
        <f t="shared" si="23"/>
        <v>527.55000000000473</v>
      </c>
    </row>
    <row r="447" spans="5:6" x14ac:dyDescent="0.25">
      <c r="E447" s="8">
        <v>455</v>
      </c>
      <c r="F447" s="24">
        <f t="shared" si="23"/>
        <v>528.65000000000475</v>
      </c>
    </row>
    <row r="448" spans="5:6" x14ac:dyDescent="0.25">
      <c r="E448" s="8">
        <v>456</v>
      </c>
      <c r="F448" s="24">
        <f t="shared" si="23"/>
        <v>529.75000000000477</v>
      </c>
    </row>
    <row r="449" spans="5:6" x14ac:dyDescent="0.25">
      <c r="E449" s="8">
        <v>457</v>
      </c>
      <c r="F449" s="24">
        <f t="shared" si="23"/>
        <v>530.8500000000048</v>
      </c>
    </row>
    <row r="450" spans="5:6" x14ac:dyDescent="0.25">
      <c r="E450" s="8">
        <v>458</v>
      </c>
      <c r="F450" s="24">
        <f t="shared" si="23"/>
        <v>531.95000000000482</v>
      </c>
    </row>
    <row r="451" spans="5:6" x14ac:dyDescent="0.25">
      <c r="E451" s="8">
        <v>459</v>
      </c>
      <c r="F451" s="24">
        <f t="shared" si="23"/>
        <v>533.05000000000484</v>
      </c>
    </row>
    <row r="452" spans="5:6" x14ac:dyDescent="0.25">
      <c r="E452" s="8">
        <v>460</v>
      </c>
      <c r="F452" s="24">
        <f t="shared" si="23"/>
        <v>534.15000000000487</v>
      </c>
    </row>
    <row r="453" spans="5:6" x14ac:dyDescent="0.25">
      <c r="E453" s="8">
        <v>461</v>
      </c>
      <c r="F453" s="24">
        <f t="shared" si="23"/>
        <v>535.25000000000489</v>
      </c>
    </row>
    <row r="454" spans="5:6" x14ac:dyDescent="0.25">
      <c r="E454" s="8">
        <v>462</v>
      </c>
      <c r="F454" s="24">
        <f t="shared" si="23"/>
        <v>536.35000000000491</v>
      </c>
    </row>
    <row r="455" spans="5:6" x14ac:dyDescent="0.25">
      <c r="E455" s="8">
        <v>463</v>
      </c>
      <c r="F455" s="24">
        <f t="shared" si="23"/>
        <v>537.45000000000493</v>
      </c>
    </row>
    <row r="456" spans="5:6" x14ac:dyDescent="0.25">
      <c r="E456" s="8">
        <v>464</v>
      </c>
      <c r="F456" s="24">
        <f t="shared" si="23"/>
        <v>538.55000000000496</v>
      </c>
    </row>
    <row r="457" spans="5:6" x14ac:dyDescent="0.25">
      <c r="E457" s="8">
        <v>465</v>
      </c>
      <c r="F457" s="24">
        <f t="shared" si="23"/>
        <v>539.65000000000498</v>
      </c>
    </row>
    <row r="458" spans="5:6" x14ac:dyDescent="0.25">
      <c r="E458" s="8">
        <v>466</v>
      </c>
      <c r="F458" s="24">
        <f t="shared" si="23"/>
        <v>540.750000000005</v>
      </c>
    </row>
    <row r="459" spans="5:6" x14ac:dyDescent="0.25">
      <c r="E459" s="8">
        <v>467</v>
      </c>
      <c r="F459" s="24">
        <f t="shared" si="23"/>
        <v>541.85000000000502</v>
      </c>
    </row>
    <row r="460" spans="5:6" x14ac:dyDescent="0.25">
      <c r="E460" s="8">
        <v>468</v>
      </c>
      <c r="F460" s="24">
        <f t="shared" si="23"/>
        <v>542.95000000000505</v>
      </c>
    </row>
    <row r="461" spans="5:6" x14ac:dyDescent="0.25">
      <c r="E461" s="8">
        <v>469</v>
      </c>
      <c r="F461" s="24">
        <f t="shared" si="23"/>
        <v>544.05000000000507</v>
      </c>
    </row>
    <row r="462" spans="5:6" x14ac:dyDescent="0.25">
      <c r="E462" s="8">
        <v>470</v>
      </c>
      <c r="F462" s="24">
        <f t="shared" si="23"/>
        <v>545.15000000000509</v>
      </c>
    </row>
    <row r="463" spans="5:6" x14ac:dyDescent="0.25">
      <c r="E463" s="8">
        <v>471</v>
      </c>
      <c r="F463" s="24">
        <f t="shared" si="23"/>
        <v>546.25000000000512</v>
      </c>
    </row>
    <row r="464" spans="5:6" x14ac:dyDescent="0.25">
      <c r="E464" s="8">
        <v>472</v>
      </c>
      <c r="F464" s="24">
        <f t="shared" si="23"/>
        <v>547.35000000000514</v>
      </c>
    </row>
    <row r="465" spans="5:6" x14ac:dyDescent="0.25">
      <c r="E465" s="8">
        <v>473</v>
      </c>
      <c r="F465" s="24">
        <f t="shared" si="23"/>
        <v>548.45000000000516</v>
      </c>
    </row>
    <row r="466" spans="5:6" x14ac:dyDescent="0.25">
      <c r="E466" s="8">
        <v>474</v>
      </c>
      <c r="F466" s="24">
        <f t="shared" si="23"/>
        <v>549.55000000000518</v>
      </c>
    </row>
    <row r="467" spans="5:6" x14ac:dyDescent="0.25">
      <c r="E467" s="8">
        <v>475</v>
      </c>
      <c r="F467" s="24">
        <f t="shared" si="23"/>
        <v>550.65000000000521</v>
      </c>
    </row>
    <row r="468" spans="5:6" x14ac:dyDescent="0.25">
      <c r="E468" s="8">
        <v>476</v>
      </c>
      <c r="F468" s="24">
        <f t="shared" si="23"/>
        <v>551.75000000000523</v>
      </c>
    </row>
    <row r="469" spans="5:6" x14ac:dyDescent="0.25">
      <c r="E469" s="8">
        <v>477</v>
      </c>
      <c r="F469" s="24">
        <f t="shared" si="23"/>
        <v>552.85000000000525</v>
      </c>
    </row>
    <row r="470" spans="5:6" x14ac:dyDescent="0.25">
      <c r="E470" s="8">
        <v>478</v>
      </c>
      <c r="F470" s="24">
        <f t="shared" si="23"/>
        <v>553.95000000000528</v>
      </c>
    </row>
  </sheetData>
  <sheetProtection algorithmName="SHA-512" hashValue="wCH5wNpYbFZ+KFZ+OeFRWAwiUeFS509rfF2hBltPiGOVol2ImkZdth4UX22e2ogA7tv4+1CnKy7V5pZGwOFV7g==" saltValue="VfEkRur7tKTxZYRlBG9rvQ==" spinCount="100000" sheet="1" formatRows="0"/>
  <mergeCells count="1">
    <mergeCell ref="R3:S3"/>
  </mergeCells>
  <pageMargins left="0.70866141732283472" right="0.59055118110236227" top="0.6692913385826772" bottom="0.6692913385826772" header="0.31496062992125984" footer="0.31496062992125984"/>
  <pageSetup paperSize="9" scale="76" fitToHeight="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03"/>
  <dimension ref="A1:S109"/>
  <sheetViews>
    <sheetView showGridLines="0" showZeros="0" zoomScaleNormal="100" workbookViewId="0">
      <selection activeCell="B7" sqref="B7"/>
    </sheetView>
  </sheetViews>
  <sheetFormatPr baseColWidth="10" defaultRowHeight="15" zeroHeight="1" x14ac:dyDescent="0.25"/>
  <cols>
    <col min="1" max="1" width="1.28515625" customWidth="1"/>
    <col min="3" max="3" width="11.7109375" bestFit="1" customWidth="1"/>
    <col min="4" max="5" width="10.140625" customWidth="1"/>
    <col min="6" max="6" width="8.5703125" customWidth="1"/>
    <col min="7" max="7" width="10" customWidth="1"/>
    <col min="8" max="8" width="5.85546875" customWidth="1"/>
    <col min="9" max="9" width="5" customWidth="1"/>
    <col min="10" max="10" width="9.28515625" customWidth="1"/>
    <col min="11" max="11" width="3.28515625" customWidth="1"/>
    <col min="12" max="12" width="11.28515625" customWidth="1"/>
    <col min="13" max="15" width="5.85546875" customWidth="1"/>
  </cols>
  <sheetData>
    <row r="1" spans="1:19" ht="23.25" x14ac:dyDescent="0.35">
      <c r="A1" s="491"/>
      <c r="B1" s="492" t="s">
        <v>729</v>
      </c>
      <c r="C1" s="70"/>
      <c r="D1" s="70"/>
      <c r="E1" s="70"/>
      <c r="F1" s="70"/>
      <c r="G1" s="70"/>
      <c r="H1" s="898" t="s">
        <v>804</v>
      </c>
      <c r="I1" s="898"/>
      <c r="J1" s="898"/>
      <c r="K1" s="425"/>
      <c r="S1" s="125"/>
    </row>
    <row r="2" spans="1:19" ht="21" x14ac:dyDescent="0.35">
      <c r="A2" s="27"/>
      <c r="B2" s="357" t="s">
        <v>440</v>
      </c>
      <c r="K2" s="425"/>
    </row>
    <row r="3" spans="1:19" ht="17.25" x14ac:dyDescent="0.3">
      <c r="B3" s="355" t="s">
        <v>594</v>
      </c>
      <c r="E3" s="356" t="str">
        <f>" .. ab dem Frühjahr 202"&amp;RIGHT(H1,1)-1</f>
        <v xml:space="preserve"> .. ab dem Frühjahr 2024</v>
      </c>
      <c r="H3" s="2"/>
      <c r="K3" s="425"/>
    </row>
    <row r="4" spans="1:19" ht="7.5" customHeight="1" x14ac:dyDescent="0.25">
      <c r="K4" s="425"/>
    </row>
    <row r="5" spans="1:19" x14ac:dyDescent="0.25">
      <c r="I5" s="51" t="str">
        <f>IF(L5&lt;&gt;C7,L5,"")</f>
        <v/>
      </c>
      <c r="K5" s="425"/>
      <c r="L5" s="50" t="str">
        <f>LOOKUP(B7,CI!C242:C407,CI!D242:D407)</f>
        <v>VS  . . .</v>
      </c>
    </row>
    <row r="6" spans="1:19" ht="18.75" x14ac:dyDescent="0.3">
      <c r="A6" s="5"/>
      <c r="B6" s="29" t="s">
        <v>0</v>
      </c>
      <c r="C6" s="116" t="s">
        <v>1</v>
      </c>
      <c r="D6" s="6"/>
      <c r="G6" s="49" t="s">
        <v>274</v>
      </c>
      <c r="H6" s="37" t="s">
        <v>3</v>
      </c>
      <c r="K6" s="425"/>
    </row>
    <row r="7" spans="1:19" ht="15.75" x14ac:dyDescent="0.25">
      <c r="A7" s="4"/>
      <c r="B7" s="115"/>
      <c r="C7" s="117" t="str">
        <f>L5</f>
        <v>VS  . . .</v>
      </c>
      <c r="G7" s="39">
        <f>LOOKUP(B7,CI!C3:C223,CI!F3:F223)</f>
        <v>0</v>
      </c>
      <c r="H7" s="94">
        <f>LOOKUP(B7,CI!C3:C223,CI!G3:G223)</f>
        <v>0</v>
      </c>
      <c r="I7" s="95"/>
      <c r="J7" s="127">
        <v>2</v>
      </c>
      <c r="K7" s="425"/>
    </row>
    <row r="8" spans="1:19" ht="18.75" x14ac:dyDescent="0.3">
      <c r="A8" s="5"/>
      <c r="C8" s="905">
        <f>IF(AND(B7=804441,C17=0),"..Mehrstunden für die Oberstufe:  siehe Zeilen 32 u. 33",IF(AND(B7=804411,C17=0),"..Mehrstunden für die MS-Klassen:  siehe Zeile 38",IF(AND(L9&gt;0,C17=0),"..für eine Sprach- &amp; Beweg.-KL ist die Zeile 19 einzublenden!",IF(AND(M9="Spre",C17=0),"..zum Std-Ausgleich im Sprengel ist Zeile 46 einzublenden!",))))</f>
        <v>0</v>
      </c>
      <c r="D8" s="905"/>
      <c r="E8" s="905"/>
      <c r="F8" s="905"/>
      <c r="G8" s="905"/>
      <c r="H8" s="905"/>
      <c r="I8" s="905"/>
      <c r="J8" s="905"/>
      <c r="K8" s="425"/>
      <c r="O8" s="139" t="str">
        <f>"&gt;&gt; links draußen die Zeilen "&amp;IF(L9&gt;0,"18 bis 20 ",IF(M9="Spre","44 bis 47 ","18 bis 20 "))</f>
        <v xml:space="preserve">&gt;&gt; links draußen die Zeilen 18 bis 20 </v>
      </c>
      <c r="P8" s="136" t="s">
        <v>471</v>
      </c>
    </row>
    <row r="9" spans="1:19" x14ac:dyDescent="0.25">
      <c r="G9" s="903" t="s">
        <v>450</v>
      </c>
      <c r="H9" s="903"/>
      <c r="I9" s="904" t="s">
        <v>452</v>
      </c>
      <c r="J9" s="904"/>
      <c r="K9" s="425"/>
      <c r="L9" s="124">
        <f>IF(OR(B7=802421,B7=803251,B7=804261,B7=801551),1,)+IF(OR(B7=803211,B7=804171,B7=801071),1,)</f>
        <v>0</v>
      </c>
      <c r="M9" s="138">
        <f>IF(OR(B7=803181,B7=803191,B7=803201,B7=803211),"Spre",)</f>
        <v>0</v>
      </c>
      <c r="P9" s="137" t="s">
        <v>470</v>
      </c>
    </row>
    <row r="10" spans="1:19" ht="15.75" customHeight="1" x14ac:dyDescent="0.25">
      <c r="B10" s="28" t="s">
        <v>263</v>
      </c>
      <c r="C10" s="1" t="s">
        <v>264</v>
      </c>
      <c r="G10" s="903"/>
      <c r="H10" s="903"/>
      <c r="I10" s="904"/>
      <c r="J10" s="904"/>
      <c r="K10" s="425"/>
    </row>
    <row r="11" spans="1:19" ht="18.75" customHeight="1" x14ac:dyDescent="0.3">
      <c r="A11" s="5"/>
      <c r="B11" s="6" t="s">
        <v>4</v>
      </c>
      <c r="C11" s="7" t="s">
        <v>6</v>
      </c>
      <c r="D11" s="7" t="s">
        <v>7</v>
      </c>
      <c r="E11" s="7" t="s">
        <v>8</v>
      </c>
      <c r="F11" s="7" t="s">
        <v>9</v>
      </c>
      <c r="G11" s="903"/>
      <c r="H11" s="903"/>
      <c r="I11" s="904"/>
      <c r="J11" s="904"/>
      <c r="K11" s="425"/>
      <c r="M11" s="74" t="s">
        <v>461</v>
      </c>
    </row>
    <row r="12" spans="1:19" x14ac:dyDescent="0.25">
      <c r="B12" s="2" t="s">
        <v>441</v>
      </c>
      <c r="C12" s="40"/>
      <c r="D12" s="41"/>
      <c r="E12" s="41"/>
      <c r="F12" s="41"/>
      <c r="G12" s="78"/>
      <c r="J12" s="96"/>
      <c r="K12" s="425"/>
      <c r="L12" s="74" t="s">
        <v>446</v>
      </c>
      <c r="M12" s="74" t="s">
        <v>448</v>
      </c>
      <c r="N12" s="74" t="s">
        <v>462</v>
      </c>
      <c r="O12" s="75" t="s">
        <v>447</v>
      </c>
    </row>
    <row r="13" spans="1:19" x14ac:dyDescent="0.25">
      <c r="B13" s="126" t="str">
        <f>IF(OR(B7=804411,B7=804441),"Stufen 1. u 2. ","in Stufe 1. ")</f>
        <v xml:space="preserve">in Stufe 1. </v>
      </c>
      <c r="C13" s="40"/>
      <c r="D13" s="41"/>
      <c r="E13" s="41"/>
      <c r="F13" s="41"/>
      <c r="J13" s="96"/>
      <c r="K13" s="425"/>
      <c r="L13" s="102">
        <f>SUM(C12,C13)+(SUM(F12:F13)*F$18)</f>
        <v>0</v>
      </c>
      <c r="M13" s="73">
        <f>SUM(L13:L14)</f>
        <v>0</v>
      </c>
      <c r="N13" s="73">
        <f>IF(L13=0,0,
IF(AND(L17&lt;=20,L13=L17),1,
IF(AND(L17&lt;=20,OR(L14=0,M15=0)),0.5,
IF(L17&lt;=20,0.25,
IF(AND(M13&lt;=20,L14=0),1,
IF(OR(M13&lt;=20,AND(M13&lt;=23,L13&gt;0,L14&gt;0)),0.5,
ROUNDUP(L13/25,0)))))))</f>
        <v>0</v>
      </c>
      <c r="O13" s="73">
        <f>IF(AND(L13&gt;0,L13&lt;10,L14&gt;25,M13&lt;=46),-1,)</f>
        <v>0</v>
      </c>
    </row>
    <row r="14" spans="1:19" x14ac:dyDescent="0.25">
      <c r="B14" s="126" t="str">
        <f>IF(OR(B7=804411,B7=804441),"Stufen 3. u 4. ","in Stufe 2. ")</f>
        <v xml:space="preserve">in Stufe 2. </v>
      </c>
      <c r="C14" s="40"/>
      <c r="D14" s="41"/>
      <c r="E14" s="41"/>
      <c r="F14" s="41"/>
      <c r="J14" s="96"/>
      <c r="K14" s="425"/>
      <c r="L14" s="102">
        <f>C14+(F14*F$18)</f>
        <v>0</v>
      </c>
      <c r="M14" s="73">
        <f>SUM(C12:C14)</f>
        <v>0</v>
      </c>
      <c r="N14" s="73">
        <f>IF(L14=0,0,
IF(AND(L17&lt;=20,L14=L17),1,
IF(AND(L17&lt;=20,OR(L13=0,M15=0)),0.5,
IF(L17&lt;=20,0.25,
IF(AND(M13&lt;=20,L13=0),1,
IF(OR(M13&lt;=20,AND(M13&lt;=23,L14&gt;0,L13&gt;0)),0.5,
ROUNDUP(L14/25,0)))))))</f>
        <v>0</v>
      </c>
      <c r="O14" s="73">
        <f>IF(AND(L14&gt;0,L14&lt;10,L13&gt;25,M13&lt;=46),-1,)</f>
        <v>0</v>
      </c>
    </row>
    <row r="15" spans="1:19" x14ac:dyDescent="0.25">
      <c r="B15" s="126" t="str">
        <f>IF(OR(B7=804411,B7=804441),"Stufen 5. u 6. ","in Stufe 3. ")</f>
        <v xml:space="preserve">in Stufe 3. </v>
      </c>
      <c r="C15" s="40"/>
      <c r="D15" s="41"/>
      <c r="E15" s="41"/>
      <c r="F15" s="41"/>
      <c r="J15" s="96"/>
      <c r="K15" s="425"/>
      <c r="L15" s="102">
        <f>C15+(F15*F$18)</f>
        <v>0</v>
      </c>
      <c r="M15" s="73">
        <f>SUM(L15:L16)</f>
        <v>0</v>
      </c>
      <c r="N15" s="73">
        <f>IF(L15=0,0,
IF(AND(L17&lt;=20,L15=L17),1,
IF(AND(L17&lt;=20,OR(L16=0,M13=0)),0.5,
IF(L17&lt;=20,0.25,
IF(AND(M15&lt;=20,L16=0),1,
IF(OR(M15&lt;=20,AND(M15&lt;=23,L15&gt;0,L16&gt;0)),0.5,
ROUNDUP(L15/25,0)))))))</f>
        <v>0</v>
      </c>
      <c r="O15" s="73">
        <f>IF(AND(L15&gt;0,L15&lt;10,L16&gt;25,M15&lt;=46),-1,)</f>
        <v>0</v>
      </c>
    </row>
    <row r="16" spans="1:19" x14ac:dyDescent="0.25">
      <c r="B16" s="126" t="str">
        <f>IF(OR(B7=804411,B7=804441),"Stufen 7. u 8. ","in Stufe 4. ")</f>
        <v xml:space="preserve">in Stufe 4. </v>
      </c>
      <c r="C16" s="40"/>
      <c r="D16" s="41"/>
      <c r="E16" s="41"/>
      <c r="F16" s="41"/>
      <c r="J16" s="96"/>
      <c r="K16" s="425"/>
      <c r="L16" s="102">
        <f>C16+(F16*F$18)</f>
        <v>0</v>
      </c>
      <c r="M16" s="73">
        <f>SUM(C15:C16)</f>
        <v>0</v>
      </c>
      <c r="N16" s="73">
        <f>IF(L16=0,0,
IF(AND(L17&lt;=20,L16=L17),1,
IF(AND(L17&lt;=20,OR(L15=0,M13=0)),0.5,
IF(L17&lt;=20,0.25,
IF(AND(M15&lt;=20,L15=0),1,
IF(OR(M15&lt;=20,AND(M15&lt;=23,L16&gt;0,L15&gt;0)),0.5,
ROUNDUP(L16/25,0)))))))</f>
        <v>0</v>
      </c>
      <c r="O16" s="73">
        <f>IF(AND(L16&gt;0,L16&lt;10,L15&gt;25,M15&lt;=46),-1,)</f>
        <v>0</v>
      </c>
    </row>
    <row r="17" spans="1:15" ht="15.75" x14ac:dyDescent="0.25">
      <c r="A17" s="4"/>
      <c r="B17" s="3" t="s">
        <v>5</v>
      </c>
      <c r="C17" s="3">
        <f t="shared" ref="C17:J17" si="0">SUM(C12:C16)</f>
        <v>0</v>
      </c>
      <c r="D17" s="3">
        <f t="shared" si="0"/>
        <v>0</v>
      </c>
      <c r="E17" s="3">
        <f t="shared" si="0"/>
        <v>0</v>
      </c>
      <c r="F17" s="3">
        <f t="shared" si="0"/>
        <v>0</v>
      </c>
      <c r="G17" s="76">
        <f>SUM(G12:G16)</f>
        <v>0</v>
      </c>
      <c r="J17" s="97">
        <f t="shared" si="0"/>
        <v>0</v>
      </c>
      <c r="K17" s="425"/>
      <c r="L17" s="102">
        <f>C17+(F17*F$18)</f>
        <v>0</v>
      </c>
      <c r="M17" s="73"/>
      <c r="N17" s="103"/>
      <c r="O17" s="103"/>
    </row>
    <row r="18" spans="1:15" x14ac:dyDescent="0.25">
      <c r="F18" s="71">
        <v>0.3</v>
      </c>
      <c r="K18" s="425"/>
    </row>
    <row r="19" spans="1:15" hidden="1" x14ac:dyDescent="0.25">
      <c r="B19" s="2" t="s">
        <v>451</v>
      </c>
      <c r="C19" s="40"/>
      <c r="D19" s="106"/>
      <c r="E19" s="106"/>
      <c r="F19" s="106"/>
      <c r="G19" s="107"/>
      <c r="K19" s="425"/>
      <c r="L19" s="58">
        <f>IF(C19&gt;13,M19,IF(C19&gt;=10,M19+C19-14,IF(C19&gt;0,"? ? ",)))</f>
        <v>0</v>
      </c>
      <c r="M19" s="58">
        <v>30</v>
      </c>
      <c r="N19" s="108" t="s">
        <v>469</v>
      </c>
    </row>
    <row r="20" spans="1:15" x14ac:dyDescent="0.25">
      <c r="K20" s="425"/>
    </row>
    <row r="21" spans="1:15" ht="18.75" x14ac:dyDescent="0.3">
      <c r="A21" s="5"/>
      <c r="B21" s="30" t="s">
        <v>278</v>
      </c>
      <c r="G21" s="80" t="s">
        <v>449</v>
      </c>
      <c r="H21" s="81">
        <v>25</v>
      </c>
      <c r="K21" s="425"/>
    </row>
    <row r="22" spans="1:15" s="55" customFormat="1" ht="12.75" x14ac:dyDescent="0.2">
      <c r="C22" s="82">
        <f>IF(OR(G12&lt;5,L13&lt;23.1),,1)</f>
        <v>0</v>
      </c>
      <c r="F22" s="901">
        <f>LOOKUP(SUM(F12,F13),BasisV!H1:H21,BasisV!J1:J21)</f>
        <v>0</v>
      </c>
      <c r="K22" s="426"/>
    </row>
    <row r="23" spans="1:15" s="55" customFormat="1" ht="12.75" x14ac:dyDescent="0.2">
      <c r="B23" s="77" t="str">
        <f>IF(OR(B7=804411,B7=804441),"0 bis 2. ","0 + 1. ")</f>
        <v xml:space="preserve">0 + 1. </v>
      </c>
      <c r="C23" s="79">
        <f>IF(SUM(C13,C12)=0,,IF(M14&lt;30,N13+O13,ROUNDUP((SUM(C13,C12)+(SUM(F13,F12)*F$18))/H$21,0))-IF(OR(G12&lt;10,AND(G12&gt;=10,L13&lt;48),AND(G12&gt;=10,C13&lt;=50),AND(G12&gt;=10,L13&gt;75)),C22,))</f>
        <v>0</v>
      </c>
      <c r="F23" s="902"/>
      <c r="K23" s="426"/>
      <c r="L23" s="121" t="s">
        <v>625</v>
      </c>
    </row>
    <row r="24" spans="1:15" s="55" customFormat="1" ht="12.75" x14ac:dyDescent="0.2">
      <c r="B24" s="77" t="str">
        <f>IF(OR(B7=804411,B7=804441),"3. u 4. ","2. ")</f>
        <v xml:space="preserve">2. </v>
      </c>
      <c r="C24" s="56">
        <f>IF(C14=0,,IF(M14&lt;30,N14+O14,ROUNDUP((C14+(F14*F$18))/H$21,0)))</f>
        <v>0</v>
      </c>
      <c r="F24" s="57">
        <f>LOOKUP(F14,BasisV!H1:H21,BasisV!J1:J21)</f>
        <v>0</v>
      </c>
      <c r="K24" s="426"/>
    </row>
    <row r="25" spans="1:15" s="55" customFormat="1" ht="12.75" x14ac:dyDescent="0.2">
      <c r="B25" s="77" t="str">
        <f>IF(OR(B7=804411,B7=804441),"5. u 6. ","3. ")</f>
        <v xml:space="preserve">3. </v>
      </c>
      <c r="C25" s="56">
        <f>IF(C15=0,,IF(M16&lt;30,N15+O15,ROUNDUP((C15+(F15*F$18))/H$21,0)))</f>
        <v>0</v>
      </c>
      <c r="F25" s="57">
        <f>LOOKUP(F15,BasisV!H1:H21,BasisV!J1:J21)</f>
        <v>0</v>
      </c>
      <c r="K25" s="426"/>
    </row>
    <row r="26" spans="1:15" s="55" customFormat="1" ht="12.75" x14ac:dyDescent="0.2">
      <c r="B26" s="77" t="str">
        <f>IF(OR(B7=804411,B7=804441),"7. u 8. ","4. ")</f>
        <v xml:space="preserve">4. </v>
      </c>
      <c r="C26" s="56">
        <f>IF(C16=0,,IF(M16&lt;30,N16+O16,ROUNDUP((C16+(F16*F$18))/H$21,0)))</f>
        <v>0</v>
      </c>
      <c r="F26" s="57">
        <f>LOOKUP(F16,BasisV!H1:H21,BasisV!J1:J21)</f>
        <v>0</v>
      </c>
      <c r="K26" s="426"/>
    </row>
    <row r="27" spans="1:15" ht="4.5" customHeight="1" x14ac:dyDescent="0.25">
      <c r="K27" s="425"/>
    </row>
    <row r="28" spans="1:15" x14ac:dyDescent="0.25">
      <c r="B28" s="53" t="s">
        <v>276</v>
      </c>
      <c r="C28" s="52">
        <f>SUM(C22:C26,L38)</f>
        <v>0</v>
      </c>
      <c r="D28" s="2" t="s">
        <v>277</v>
      </c>
      <c r="E28" s="84">
        <f>IF(K56=0,,".. und ")</f>
        <v>0</v>
      </c>
      <c r="F28" s="85">
        <f>K56</f>
        <v>0</v>
      </c>
      <c r="G28" s="99">
        <f>IF(K56=0,,IF(K56&lt;0," WENIGER in Absprache mit Präs/3"," ZUSÄTZLICH laut Genehmigung von"))</f>
        <v>0</v>
      </c>
      <c r="H28" s="100"/>
      <c r="I28" s="100"/>
      <c r="J28" s="100"/>
      <c r="K28" s="425"/>
      <c r="L28" s="92">
        <f>IF(C28&gt;0,C28+K56,)</f>
        <v>0</v>
      </c>
      <c r="M28" s="92" t="b">
        <f>IF(AND(G12&gt;=5,G12&lt;10),1)</f>
        <v>0</v>
      </c>
    </row>
    <row r="29" spans="1:15" x14ac:dyDescent="0.25">
      <c r="C29" s="26" t="str">
        <f>IF(D29&lt;&gt;L28,"..und schulautonom: ","..und tatsächlich: ")</f>
        <v xml:space="preserve">..und tatsächlich: </v>
      </c>
      <c r="D29" s="47">
        <f>L28</f>
        <v>0</v>
      </c>
      <c r="E29" s="54" t="s">
        <v>456</v>
      </c>
      <c r="G29" s="100"/>
      <c r="H29" s="100"/>
      <c r="I29" s="100"/>
      <c r="J29" s="84">
        <f>IF(K56&gt;0," Präs/3",)</f>
        <v>0</v>
      </c>
      <c r="K29" s="425"/>
      <c r="L29" s="92">
        <f>SUM(L28,M28)</f>
        <v>0</v>
      </c>
      <c r="M29" s="92">
        <f>SUM(D29,M28)</f>
        <v>0</v>
      </c>
    </row>
    <row r="30" spans="1:15" ht="18.75" x14ac:dyDescent="0.3">
      <c r="A30" s="5"/>
      <c r="E30" s="128">
        <f>IF(C17&gt;0,SUM(C17,C19)/D29,)</f>
        <v>0</v>
      </c>
      <c r="F30" s="129">
        <f>IF(C17&gt;0,"SuS im Durchschnitt",)</f>
        <v>0</v>
      </c>
      <c r="K30" s="425"/>
    </row>
    <row r="31" spans="1:15" ht="18.75" x14ac:dyDescent="0.3">
      <c r="A31" s="301"/>
      <c r="B31" s="302" t="s">
        <v>262</v>
      </c>
      <c r="C31" s="303"/>
      <c r="D31" s="304" t="s">
        <v>574</v>
      </c>
      <c r="E31" s="303"/>
      <c r="F31" s="303"/>
      <c r="G31" s="303"/>
      <c r="H31" s="303"/>
      <c r="I31" s="303"/>
      <c r="J31" s="303"/>
      <c r="K31" s="425"/>
    </row>
    <row r="32" spans="1:15" ht="18.75" x14ac:dyDescent="0.3">
      <c r="A32" s="5"/>
      <c r="B32" s="6"/>
      <c r="C32" s="31" t="s">
        <v>265</v>
      </c>
      <c r="D32" s="7" t="s">
        <v>7</v>
      </c>
      <c r="E32" s="7" t="s">
        <v>8</v>
      </c>
      <c r="H32" s="131">
        <f>IF(B7=804441,"davon für Oberstufe:  ",IF(L62&lt;&gt;0,"Abzug wg IT-Einrechnung",))</f>
        <v>0</v>
      </c>
      <c r="K32" s="425"/>
      <c r="L32" s="294" t="s">
        <v>624</v>
      </c>
    </row>
    <row r="33" spans="1:14" x14ac:dyDescent="0.25">
      <c r="B33" s="61"/>
      <c r="C33" s="86">
        <f>LOOKUP(L33,BasisV!E1:E470,BasisV!F1:F470)+H33</f>
        <v>0</v>
      </c>
      <c r="D33" s="32">
        <f>IF(D17&gt;25,30,IF(D17&gt;7,15,IF(D17&gt;0,6,)))</f>
        <v>0</v>
      </c>
      <c r="E33" s="32">
        <f>IF(AND(E17&gt;0,E17&lt;8),"(0,0)",ROUNDDOWN(E17/8,0)*6)</f>
        <v>0</v>
      </c>
      <c r="G33" s="295">
        <f>IF(L62&gt;0,-L62,)</f>
        <v>0</v>
      </c>
      <c r="H33" s="906">
        <f>IF(B7=804441,LOOKUP(SUM(C15:C16),BasisV!R4:R74,BasisV!S4:S74),)</f>
        <v>0</v>
      </c>
      <c r="I33" s="906"/>
      <c r="J33" s="3"/>
      <c r="K33" s="425"/>
      <c r="L33" s="132">
        <f>IF(B7=804441,SUM(C12:C14),C17)</f>
        <v>0</v>
      </c>
    </row>
    <row r="34" spans="1:14" ht="15" customHeight="1" x14ac:dyDescent="0.25">
      <c r="B34" s="899" t="str">
        <f>IF(C33&gt;0,"von 2,2 beginnend 
degressiv bis "&amp;L35,"")</f>
        <v/>
      </c>
      <c r="C34" s="900"/>
      <c r="D34" s="91" t="str">
        <f>IF(D33&gt;14,"DFöKL !",IF(D33=6,"DFöKurs"," "))</f>
        <v xml:space="preserve"> </v>
      </c>
      <c r="E34" s="62" t="str">
        <f>IF(AND(E33&gt;0,E33&lt;99),"für DFörderung","")</f>
        <v/>
      </c>
      <c r="K34" s="425"/>
      <c r="L34" s="104" t="s">
        <v>692</v>
      </c>
    </row>
    <row r="35" spans="1:14" x14ac:dyDescent="0.25">
      <c r="B35" s="899"/>
      <c r="C35" s="899"/>
      <c r="K35" s="425"/>
      <c r="L35" s="90">
        <f>LOOKUP(L33,BasisV!A1:A18,BasisV!C1:C18)</f>
        <v>2.2000000000000002</v>
      </c>
    </row>
    <row r="36" spans="1:14" x14ac:dyDescent="0.25">
      <c r="D36" s="31" t="s">
        <v>275</v>
      </c>
      <c r="E36" s="87">
        <f>ROUND(SUM(C33:G33),2)</f>
        <v>0</v>
      </c>
      <c r="F36" s="110" t="s">
        <v>457</v>
      </c>
      <c r="K36" s="425"/>
    </row>
    <row r="37" spans="1:14" x14ac:dyDescent="0.25">
      <c r="D37" s="44" t="s">
        <v>445</v>
      </c>
      <c r="E37" s="89">
        <f>ROUND(L33/2/18.3*3,2)</f>
        <v>0</v>
      </c>
      <c r="F37" s="72" t="s">
        <v>444</v>
      </c>
      <c r="J37" s="109" t="s">
        <v>464</v>
      </c>
      <c r="K37" s="425"/>
    </row>
    <row r="38" spans="1:14" x14ac:dyDescent="0.25">
      <c r="D38" s="556" t="str">
        <f>IF(B7=804411,"Mehrstunden für die MS-Kassen:",IF(C19&gt;0,"Sprach- und Bewegungs-KL",))&amp;IF(GTS!A30&gt;0," Abzug für GTS Überschreitung",)</f>
        <v/>
      </c>
      <c r="E38" s="133">
        <f>IF(B7=804411,30,IF(C19&gt;0,L19,))-GTS!A30</f>
        <v>0</v>
      </c>
      <c r="F38" s="134">
        <f>IF(B7=804411,"Wochenstunden lt Absprache mit Präs/3",IF(E38&gt;0,"Wochenstunden für den Klassen-Unterricht",))</f>
        <v>0</v>
      </c>
      <c r="K38" s="425"/>
      <c r="L38" s="93">
        <f>IF(AND(E38&gt;0,E38&lt;99,B7&lt;&gt;804411),1,)</f>
        <v>0</v>
      </c>
      <c r="M38" s="105" t="s">
        <v>463</v>
      </c>
      <c r="N38" s="104"/>
    </row>
    <row r="39" spans="1:14" x14ac:dyDescent="0.25">
      <c r="D39" s="38" t="s">
        <v>269</v>
      </c>
      <c r="E39" s="88">
        <f>IF(C17=0,,IF(G7&lt;CI!R1,"(0,0)",ROUND((G7-CI!R1)*C17*CI!R2,2)))</f>
        <v>0</v>
      </c>
      <c r="F39" s="37" t="s">
        <v>270</v>
      </c>
      <c r="K39" s="425"/>
      <c r="L39" s="135" t="str">
        <f>" ab CI von "&amp;TEXT(CI!R1,"0,0")</f>
        <v xml:space="preserve"> ab CI von 105,0</v>
      </c>
    </row>
    <row r="40" spans="1:14" x14ac:dyDescent="0.25">
      <c r="D40" s="45" t="s">
        <v>271</v>
      </c>
      <c r="E40" s="63">
        <f>ROUNDUP(SUM(E36:E39),1)</f>
        <v>0</v>
      </c>
      <c r="K40" s="425"/>
    </row>
    <row r="41" spans="1:14" x14ac:dyDescent="0.25">
      <c r="D41" s="31" t="s">
        <v>460</v>
      </c>
      <c r="E41" s="64">
        <f>CEILING(SUM(F22:F26),0.5)</f>
        <v>0</v>
      </c>
      <c r="F41" s="68" t="str">
        <f>IF(E41&gt;0," ohne Stunden der schulischen Assistenz","")</f>
        <v/>
      </c>
      <c r="K41" s="425"/>
    </row>
    <row r="42" spans="1:14" hidden="1" x14ac:dyDescent="0.25">
      <c r="D42" s="31"/>
      <c r="E42" s="824"/>
      <c r="F42" s="68" t="s">
        <v>748</v>
      </c>
      <c r="K42" s="425"/>
    </row>
    <row r="43" spans="1:14" ht="5.25" customHeight="1" thickBot="1" x14ac:dyDescent="0.3">
      <c r="K43" s="425"/>
    </row>
    <row r="44" spans="1:14" ht="17.25" thickTop="1" thickBot="1" x14ac:dyDescent="0.3">
      <c r="A44" s="4"/>
      <c r="D44" s="43" t="s">
        <v>273</v>
      </c>
      <c r="E44" s="66">
        <f>SUM(E40:E42)</f>
        <v>0</v>
      </c>
      <c r="F44" s="42" t="s">
        <v>458</v>
      </c>
      <c r="K44" s="425"/>
    </row>
    <row r="45" spans="1:14" ht="5.25" customHeight="1" thickTop="1" x14ac:dyDescent="0.25">
      <c r="K45" s="425"/>
    </row>
    <row r="46" spans="1:14" x14ac:dyDescent="0.25">
      <c r="E46" s="44" t="s">
        <v>466</v>
      </c>
      <c r="F46" s="118"/>
      <c r="G46" s="119" t="str">
        <f>IF(F46&gt;0,"kommen von einer Sprengelschule","gehen an eine Sprengelschule")</f>
        <v>gehen an eine Sprengelschule</v>
      </c>
      <c r="K46" s="425"/>
      <c r="L46" s="122" t="s">
        <v>465</v>
      </c>
    </row>
    <row r="47" spans="1:14" x14ac:dyDescent="0.25">
      <c r="E47" s="120">
        <f>IF(F47&lt;&gt;0,"Weiters wegen geänderter Klassenzahl:",)</f>
        <v>0</v>
      </c>
      <c r="F47" s="350">
        <f>IF(L69="b",,L48)</f>
        <v>0</v>
      </c>
      <c r="G47" s="896">
        <f>IF(AND(L69&lt;&gt;"b",L48&lt;0),"..als Reduktion wegen eingerichteter Mehrklassen",IF(AND(L69&lt;&gt;"b",L48&gt;0),"..wegen Unterschreitung der möglichen Klassenzahl",))</f>
        <v>0</v>
      </c>
      <c r="H47" s="896"/>
      <c r="I47" s="896"/>
      <c r="J47" s="896"/>
      <c r="K47" s="425"/>
      <c r="L47" s="104"/>
    </row>
    <row r="48" spans="1:14" x14ac:dyDescent="0.25">
      <c r="F48" s="59">
        <f>IF(OR(F46&lt;&gt;0,F47&lt;&gt;0),SUM(E44,F46,F47),)</f>
        <v>0</v>
      </c>
      <c r="G48" s="896"/>
      <c r="H48" s="896"/>
      <c r="I48" s="896"/>
      <c r="J48" s="896"/>
      <c r="K48" s="425"/>
      <c r="L48" s="58">
        <f>IF(AND(L29&lt;8,SUM(D29,M28)&gt;7),(L29*1)-19,IF(AND(M29&lt;&gt;L29,MIN(M29,L29)&lt;M48),(MIN(M29,M48)-MIN(L29,M48))*-1,))</f>
        <v>0</v>
      </c>
      <c r="M48" s="69">
        <v>19</v>
      </c>
    </row>
    <row r="49" spans="1:13" ht="18.75" x14ac:dyDescent="0.3">
      <c r="A49" s="322"/>
      <c r="B49" s="323" t="s">
        <v>572</v>
      </c>
      <c r="C49" s="305" t="s">
        <v>472</v>
      </c>
      <c r="D49" s="306"/>
      <c r="E49" s="306"/>
      <c r="F49" s="324"/>
      <c r="G49" s="325" t="s">
        <v>573</v>
      </c>
      <c r="H49" s="324"/>
      <c r="I49" s="321"/>
      <c r="J49" s="354">
        <f>SUM(E51:E52)</f>
        <v>0</v>
      </c>
      <c r="K49" s="425"/>
    </row>
    <row r="50" spans="1:13" ht="6" customHeight="1" x14ac:dyDescent="0.25">
      <c r="A50" s="104"/>
      <c r="B50" s="104"/>
      <c r="K50" s="425"/>
    </row>
    <row r="51" spans="1:13" x14ac:dyDescent="0.25">
      <c r="D51" s="48" t="s">
        <v>459</v>
      </c>
      <c r="E51" s="98">
        <f>IF(J17&gt;0,J17*5,)</f>
        <v>0</v>
      </c>
      <c r="F51" s="111">
        <f>IF(E51=0,,"..berechnet aus KL *5,0 für GLZ u. 1/2-ILZ")</f>
        <v>0</v>
      </c>
      <c r="G51" s="112"/>
      <c r="K51" s="425"/>
    </row>
    <row r="52" spans="1:13" x14ac:dyDescent="0.25">
      <c r="D52" s="48" t="s">
        <v>455</v>
      </c>
      <c r="E52" s="98">
        <f>IF(GTS!A30&gt;0,GTS!A29,GTS!A28)</f>
        <v>0</v>
      </c>
      <c r="F52" s="112"/>
      <c r="G52" s="113" t="s">
        <v>454</v>
      </c>
      <c r="H52" s="352">
        <f>GTS!C6+GTS!M5</f>
        <v>0</v>
      </c>
      <c r="I52" s="101" t="s">
        <v>453</v>
      </c>
      <c r="K52" s="425"/>
      <c r="L52" s="123">
        <f>IF(E52=0,,"..die ILZ-Stunden sind *0,5 einbezogen")</f>
        <v>0</v>
      </c>
    </row>
    <row r="53" spans="1:13" ht="18.75" x14ac:dyDescent="0.3">
      <c r="A53" s="5"/>
      <c r="B53" s="46" t="s">
        <v>740</v>
      </c>
      <c r="E53" s="897">
        <f>IF(SUM(E51:E52)=0,,SUM(E51:E52,E44:F47))</f>
        <v>0</v>
      </c>
      <c r="F53" s="897"/>
      <c r="G53" s="114"/>
      <c r="H53" s="114"/>
      <c r="I53" s="114"/>
      <c r="J53" s="114"/>
      <c r="K53" s="427"/>
    </row>
    <row r="54" spans="1:13" ht="15" customHeight="1" x14ac:dyDescent="0.25">
      <c r="B54" s="895"/>
      <c r="C54" s="895"/>
      <c r="D54" s="895"/>
      <c r="E54" s="895"/>
      <c r="F54" s="895"/>
      <c r="G54" s="895"/>
      <c r="H54" s="895"/>
      <c r="I54" s="895"/>
      <c r="J54" s="895"/>
      <c r="K54" s="425"/>
    </row>
    <row r="55" spans="1:13" ht="15" customHeight="1" x14ac:dyDescent="0.25">
      <c r="B55" s="895"/>
      <c r="C55" s="895"/>
      <c r="D55" s="895"/>
      <c r="E55" s="895"/>
      <c r="F55" s="895"/>
      <c r="G55" s="895"/>
      <c r="H55" s="895"/>
      <c r="I55" s="895"/>
      <c r="J55" s="895"/>
      <c r="K55" s="425"/>
    </row>
    <row r="56" spans="1:13" ht="15" customHeight="1" x14ac:dyDescent="0.25">
      <c r="B56" s="895"/>
      <c r="C56" s="895"/>
      <c r="D56" s="895"/>
      <c r="E56" s="895"/>
      <c r="F56" s="895"/>
      <c r="G56" s="895"/>
      <c r="H56" s="895"/>
      <c r="I56" s="895"/>
      <c r="J56" s="895"/>
      <c r="K56" s="428"/>
      <c r="L56" s="83">
        <f>IF(K56&lt;&gt;0," KL genehmigt durch BilDi",)</f>
        <v>0</v>
      </c>
    </row>
    <row r="57" spans="1:13" ht="10.5" customHeight="1" x14ac:dyDescent="0.25">
      <c r="K57" s="425"/>
    </row>
    <row r="58" spans="1:13" ht="18.75" x14ac:dyDescent="0.3">
      <c r="A58" s="301"/>
      <c r="B58" s="305" t="s">
        <v>534</v>
      </c>
      <c r="C58" s="303"/>
      <c r="D58" s="306" t="s">
        <v>538</v>
      </c>
      <c r="E58" s="303"/>
      <c r="F58" s="303"/>
      <c r="G58" s="303"/>
      <c r="H58" s="303"/>
      <c r="I58" s="303"/>
      <c r="J58" s="303"/>
      <c r="K58" s="425"/>
    </row>
    <row r="59" spans="1:13" ht="6" customHeight="1" x14ac:dyDescent="0.25">
      <c r="A59" s="104"/>
      <c r="B59" s="104"/>
      <c r="K59" s="425"/>
    </row>
    <row r="60" spans="1:13" ht="15.75" x14ac:dyDescent="0.25">
      <c r="A60" s="318"/>
      <c r="B60" s="104"/>
      <c r="D60" s="278" t="s">
        <v>535</v>
      </c>
      <c r="E60" s="279"/>
      <c r="F60" s="280" t="s">
        <v>536</v>
      </c>
      <c r="G60" s="281"/>
      <c r="H60" s="227"/>
      <c r="I60" s="227"/>
      <c r="J60" s="227"/>
      <c r="K60" s="375"/>
      <c r="L60" s="282">
        <f>LOOKUP(E60,BasisV!L10:L24,BasisV!M10:M24)+L63</f>
        <v>0</v>
      </c>
      <c r="M60" s="227"/>
    </row>
    <row r="61" spans="1:13" ht="15.75" x14ac:dyDescent="0.25">
      <c r="A61" s="318"/>
      <c r="B61" s="104"/>
      <c r="D61" s="283"/>
      <c r="E61" s="284" t="str">
        <f>IF(E60&gt;0,"Das mögliche Ausmaß beträgt: "," ")</f>
        <v xml:space="preserve"> </v>
      </c>
      <c r="F61" s="289" t="str">
        <f>IF(E60&gt;5," maximal  "&amp;TEXT(L60,"0,0")&amp;"  für die umfassende Betreuung",IF(E60&gt;0,"nichts möglich"," "))</f>
        <v xml:space="preserve"> </v>
      </c>
      <c r="G61" s="290"/>
      <c r="H61" s="283"/>
      <c r="I61" s="283"/>
      <c r="K61" s="425"/>
      <c r="L61" s="281">
        <f>IF(L60&gt;=2.5,0.1,)+L60</f>
        <v>0</v>
      </c>
    </row>
    <row r="62" spans="1:13" ht="15.75" x14ac:dyDescent="0.25">
      <c r="A62" s="318"/>
      <c r="B62" s="104"/>
      <c r="D62" s="285"/>
      <c r="E62" s="286"/>
      <c r="F62" s="227"/>
      <c r="G62" s="287" t="str">
        <f>IF(L60&gt;0,"Die tatsächl. Betreuung berechtigt als LV-Einrechnung: ","")</f>
        <v/>
      </c>
      <c r="H62" s="288" t="str">
        <f>IF(L60&gt;0,L60," ")</f>
        <v xml:space="preserve"> </v>
      </c>
      <c r="I62" s="281" t="str">
        <f>IF(H62&lt;&gt;" ","  wöchentlich","")</f>
        <v/>
      </c>
      <c r="K62" s="425"/>
      <c r="L62" s="104">
        <f>IF(AND(H62&lt;&gt;" ",H62&gt;L60),H62-L60,)</f>
        <v>0</v>
      </c>
      <c r="M62" s="55">
        <f>IF(L61&gt;L60," um max. 0,1 darf erhöht werden ..zulasten des Unterr.-Kontingentes",)</f>
        <v>0</v>
      </c>
    </row>
    <row r="63" spans="1:13" ht="11.25" customHeight="1" x14ac:dyDescent="0.25">
      <c r="A63" s="104"/>
      <c r="B63" s="321"/>
      <c r="K63" s="425"/>
      <c r="L63" s="761">
        <f>IF(B7=0,,LOOKUP(B7,CI!C3:C224,CI!N3:N224))</f>
        <v>0</v>
      </c>
      <c r="M63" s="761">
        <f>IF(L63&lt;0,"IT Aufgaben teilweise übertragen. Daher Kürzung der Einrechnung für die IT-Betreuung um 0,5 Stunden.",)</f>
        <v>0</v>
      </c>
    </row>
    <row r="64" spans="1:13" ht="15.75" x14ac:dyDescent="0.25">
      <c r="A64" s="318"/>
      <c r="B64" s="319"/>
      <c r="C64" s="293" t="str">
        <f>IF(AND(D64&gt;0,H64=L64),"Ab mind. "&amp;LOOKUP(L64,BasisV!P9:P24,BasisV!O9:O24)&amp;" SuS ","")&amp;IF(D64&gt;0," ..für die ","für Biblio. eingeben:  'X' ")</f>
        <v xml:space="preserve">für Biblio. eingeben:  'X' </v>
      </c>
      <c r="D64" s="291"/>
      <c r="F64" s="286"/>
      <c r="G64" s="293" t="str">
        <f>IF(D64&gt;0,"genehmigte 'Schulbibliothek': ","falls 'Schulbibliothek' genehmigt ist")</f>
        <v>falls 'Schulbibliothek' genehmigt ist</v>
      </c>
      <c r="H64" s="292">
        <f>IF(D64&gt;0,L64,0)</f>
        <v>0</v>
      </c>
      <c r="I64" s="281" t="str">
        <f>IF(H64&gt;0,"  wöchentlich","")</f>
        <v/>
      </c>
      <c r="J64" s="227"/>
      <c r="K64" s="375"/>
      <c r="L64" s="282">
        <f>LOOKUP(C17,BasisV!O9:O24,BasisV!P9:P24)</f>
        <v>0</v>
      </c>
    </row>
    <row r="65" spans="1:18" ht="6" customHeight="1" x14ac:dyDescent="0.25">
      <c r="K65" s="425"/>
    </row>
    <row r="66" spans="1:18" ht="15.75" x14ac:dyDescent="0.25">
      <c r="A66" s="318"/>
      <c r="B66" s="319"/>
      <c r="C66" s="293" t="s">
        <v>595</v>
      </c>
      <c r="D66" s="358" t="s">
        <v>596</v>
      </c>
      <c r="F66" s="286"/>
      <c r="G66" s="286"/>
      <c r="H66" s="359"/>
      <c r="I66" s="281" t="str">
        <f>IF(H66&gt;0,"  wöchentlich","")</f>
        <v/>
      </c>
      <c r="K66" s="425"/>
      <c r="L66" s="104" t="s">
        <v>730</v>
      </c>
    </row>
    <row r="67" spans="1:18" x14ac:dyDescent="0.25">
      <c r="A67" s="104"/>
      <c r="B67" s="321"/>
      <c r="I67" s="360">
        <f>IF(L67=0,,TEXT(L67,"0,0")&amp;" in Summe")</f>
        <v>0</v>
      </c>
      <c r="K67" s="425"/>
      <c r="L67" s="361">
        <f>SUM(H62:H66)</f>
        <v>0</v>
      </c>
      <c r="M67" s="314" t="str">
        <f>LOOKUP(B7,CI!C242:C407,CI!F242:F407)</f>
        <v>Altr.</v>
      </c>
      <c r="N67" s="314" t="str">
        <f>LEFT(O67,2)</f>
        <v>0</v>
      </c>
      <c r="O67" s="299">
        <f>LOOKUP(B7,CI!C242:C407,CI!H242:H407)</f>
        <v>0</v>
      </c>
    </row>
    <row r="68" spans="1:18" ht="6" customHeight="1" x14ac:dyDescent="0.25">
      <c r="K68" s="425"/>
    </row>
    <row r="69" spans="1:18" ht="15.75" x14ac:dyDescent="0.25">
      <c r="A69" s="104"/>
      <c r="B69" s="320" t="s">
        <v>537</v>
      </c>
      <c r="E69" s="296" t="s">
        <v>545</v>
      </c>
      <c r="F69" s="887" t="str">
        <f>IF(N67="gL",M71,IF(M67="PD",M70,M69))</f>
        <v xml:space="preserve"> ist im Altrecht angestellt (meist L2a2)</v>
      </c>
      <c r="G69" s="888"/>
      <c r="H69" s="888"/>
      <c r="I69" s="888"/>
      <c r="J69" s="889"/>
      <c r="K69" s="425"/>
      <c r="L69" s="424" t="str">
        <f>LOOKUP(F69,M69:M71,N69:N71)</f>
        <v>a</v>
      </c>
      <c r="M69" s="299" t="s">
        <v>540</v>
      </c>
      <c r="N69" s="299" t="s">
        <v>542</v>
      </c>
      <c r="O69" s="313">
        <f>LOOKUP(B7,CI!C242:C407,CI!G242:G407)</f>
        <v>0</v>
      </c>
    </row>
    <row r="70" spans="1:18" x14ac:dyDescent="0.25">
      <c r="A70" s="104"/>
      <c r="B70" s="104"/>
      <c r="D70" s="316">
        <f>IF(OR(N67="Mb",E70&gt;0),"..und führt weitere ",)</f>
        <v>0</v>
      </c>
      <c r="E70" s="315">
        <f>IF(O69&gt;0,O69,)</f>
        <v>0</v>
      </c>
      <c r="F70" s="104">
        <f>IF(N67="SO"," angeschlossene Klassen der Sonderschule",IF(OR(N67="Mb",E70&gt;0)," Klassen an anderem Standort in Mitbetrauung",))</f>
        <v>0</v>
      </c>
      <c r="K70" s="425"/>
      <c r="L70" s="317">
        <f>D29+E70</f>
        <v>0</v>
      </c>
      <c r="M70" s="299" t="s">
        <v>539</v>
      </c>
      <c r="N70" s="299" t="s">
        <v>543</v>
      </c>
    </row>
    <row r="71" spans="1:18" x14ac:dyDescent="0.25">
      <c r="A71" s="104"/>
      <c r="B71" s="104"/>
      <c r="K71" s="425"/>
      <c r="M71" s="299" t="s">
        <v>571</v>
      </c>
      <c r="N71" s="299" t="s">
        <v>544</v>
      </c>
      <c r="O71" s="351" t="s">
        <v>541</v>
      </c>
    </row>
    <row r="72" spans="1:18" x14ac:dyDescent="0.25">
      <c r="A72" s="104"/>
      <c r="B72" s="104"/>
      <c r="C72" s="2" t="s">
        <v>547</v>
      </c>
      <c r="D72" s="3" t="s">
        <v>546</v>
      </c>
      <c r="E72" s="3" t="s">
        <v>549</v>
      </c>
      <c r="F72" s="3" t="str">
        <f>IF(N67="SO","angeschl.","Mitbetr.")</f>
        <v>Mitbetr.</v>
      </c>
      <c r="G72" s="3" t="s">
        <v>550</v>
      </c>
      <c r="H72" s="890" t="s">
        <v>551</v>
      </c>
      <c r="I72" s="890"/>
      <c r="J72" s="3" t="s">
        <v>9</v>
      </c>
      <c r="K72" s="425"/>
    </row>
    <row r="73" spans="1:18" x14ac:dyDescent="0.25">
      <c r="A73" s="104"/>
      <c r="B73" s="104"/>
      <c r="C73" s="2" t="s">
        <v>548</v>
      </c>
      <c r="D73" s="297">
        <f>IF(AND(L69="a",C17&gt;0),-1,)</f>
        <v>0</v>
      </c>
      <c r="E73" s="297">
        <f>-D29</f>
        <v>0</v>
      </c>
      <c r="F73" s="298">
        <f>-E70*IF(N67="SO",1.5,1)</f>
        <v>0</v>
      </c>
      <c r="G73" s="298">
        <f>IF(OR(G12&lt;5,M67="PD",L69="b"),,IF(C12&lt;10,-1,"? -1 ?"))</f>
        <v>0</v>
      </c>
      <c r="H73" s="891">
        <f>IF(OR(GTS!BD30=0,M67="PD",L69="b"),,-GTS!BD30*0.5)</f>
        <v>0</v>
      </c>
      <c r="I73" s="892"/>
      <c r="J73" s="300">
        <f>-IF(OR(M67="PD",L69="b"),,IF(F17&gt;10,ROUNDUP((F17-10)/5,0)/2+1,IF(F17&gt;4,1,)))</f>
        <v>0</v>
      </c>
      <c r="K73" s="425"/>
      <c r="R73">
        <f>SUM(E73:E73+F73+H73)</f>
        <v>0</v>
      </c>
    </row>
    <row r="74" spans="1:18" x14ac:dyDescent="0.25">
      <c r="A74" s="104"/>
      <c r="B74" s="104"/>
      <c r="C74" s="362" t="str">
        <f>IF(OR(M67&lt;&gt;"Altr.",L69="b",N67="gL"),,IF(SUM(L70,H73*-1,IF(G73&lt;0,-G73,))&gt;=8,"SchulleiterIn ist freigestellt!","Schulleit. mit Unterr.Verpflicht"&amp;IF(AND(SUM(L70,H73*-1)=7,G73&gt;0),".. ??","ung")))</f>
        <v>Schulleit. mit Unterr.Verpflichtung</v>
      </c>
      <c r="G74" s="326">
        <f>IF(LEFT(G73,1)="?","siehe SOK",)</f>
        <v>0</v>
      </c>
      <c r="H74" s="893">
        <f>IF(LEFT(H73,1)="?","siehe SOK",)</f>
        <v>0</v>
      </c>
      <c r="I74" s="893"/>
      <c r="J74" s="381">
        <f>IF(OR(M67="PD",L69="b"),,IF(SUM(D73:J73)&lt;-20,"-20 max.",SUM(D73:J73)))</f>
        <v>0</v>
      </c>
      <c r="K74" s="425"/>
    </row>
    <row r="75" spans="1:18" ht="12" customHeight="1" x14ac:dyDescent="0.25">
      <c r="J75" s="382">
        <f>IF(AND(OR(G74&gt;0,H74&gt;0),SUM(D73:J73)&gt;-20),"noch ohne '? ..'",)</f>
        <v>0</v>
      </c>
      <c r="K75" s="425"/>
    </row>
    <row r="76" spans="1:18" ht="13.5" customHeight="1" x14ac:dyDescent="0.25">
      <c r="J76" s="382" t="str">
        <f>IF(LEFT(C74,14)="Schulleit. mit",IF(OR(G74&gt;0,H74&gt;0)," somit max. "," somit verbleiben ")&amp;20+J74&amp;" an wöch. Unterr.Verpfli ",)</f>
        <v xml:space="preserve"> somit verbleiben 20 an wöch. Unterr.Verpfli </v>
      </c>
      <c r="K76" s="425"/>
    </row>
    <row r="77" spans="1:18" x14ac:dyDescent="0.25">
      <c r="A77" s="104"/>
      <c r="B77" s="104"/>
      <c r="C77" s="473" t="s">
        <v>552</v>
      </c>
      <c r="D77" s="472" t="s">
        <v>554</v>
      </c>
      <c r="K77" s="425"/>
      <c r="L77" s="314" t="s">
        <v>623</v>
      </c>
    </row>
    <row r="78" spans="1:18" ht="15.75" x14ac:dyDescent="0.25">
      <c r="A78" s="318"/>
      <c r="B78" s="104"/>
      <c r="J78" s="474" t="s">
        <v>553</v>
      </c>
      <c r="K78" s="425"/>
    </row>
    <row r="79" spans="1:18" ht="10.5" customHeight="1" x14ac:dyDescent="0.25">
      <c r="K79" s="425"/>
    </row>
    <row r="80" spans="1:18" ht="18.75" x14ac:dyDescent="0.3">
      <c r="A80" s="301"/>
      <c r="B80" s="305" t="s">
        <v>776</v>
      </c>
      <c r="C80" s="327"/>
      <c r="D80" s="306"/>
      <c r="E80" s="303"/>
      <c r="F80" s="303"/>
      <c r="G80" s="303"/>
      <c r="H80" s="303"/>
      <c r="I80" s="303"/>
      <c r="J80" s="303"/>
      <c r="K80" s="425"/>
    </row>
    <row r="81" spans="1:16" ht="10.5" customHeight="1" x14ac:dyDescent="0.25">
      <c r="K81" s="425"/>
    </row>
    <row r="82" spans="1:16" x14ac:dyDescent="0.25">
      <c r="B82" s="65"/>
      <c r="C82" s="67" t="s">
        <v>741</v>
      </c>
      <c r="I82" s="894">
        <f>IF(B82=0,,SUM(E51:E52,E44:F47,B82))</f>
        <v>0</v>
      </c>
      <c r="J82" s="894"/>
      <c r="K82" s="425"/>
    </row>
    <row r="83" spans="1:16" ht="10.5" customHeight="1" x14ac:dyDescent="0.25">
      <c r="K83" s="425"/>
    </row>
    <row r="84" spans="1:16" ht="18" customHeight="1" x14ac:dyDescent="0.25">
      <c r="B84" s="886" t="s">
        <v>777</v>
      </c>
      <c r="C84" s="886"/>
      <c r="D84" s="886"/>
      <c r="E84" s="886"/>
      <c r="F84" s="886"/>
      <c r="G84" s="886"/>
      <c r="H84" s="886"/>
      <c r="I84" s="886"/>
      <c r="J84" s="886"/>
      <c r="K84" s="425"/>
    </row>
    <row r="85" spans="1:16" ht="18" customHeight="1" x14ac:dyDescent="0.25">
      <c r="B85" s="886"/>
      <c r="C85" s="886"/>
      <c r="D85" s="886"/>
      <c r="E85" s="886"/>
      <c r="F85" s="886"/>
      <c r="G85" s="886"/>
      <c r="H85" s="886"/>
      <c r="I85" s="886"/>
      <c r="J85" s="886"/>
      <c r="K85" s="425"/>
    </row>
    <row r="86" spans="1:16" ht="18" customHeight="1" x14ac:dyDescent="0.25">
      <c r="B86" s="886"/>
      <c r="C86" s="886"/>
      <c r="D86" s="886"/>
      <c r="E86" s="886"/>
      <c r="F86" s="886"/>
      <c r="G86" s="886"/>
      <c r="H86" s="886"/>
      <c r="I86" s="886"/>
      <c r="J86" s="886"/>
      <c r="K86" s="428"/>
      <c r="L86" s="83"/>
    </row>
    <row r="87" spans="1:16" ht="10.5" customHeight="1" x14ac:dyDescent="0.25">
      <c r="K87" s="425"/>
    </row>
    <row r="88" spans="1:16" ht="18.75" x14ac:dyDescent="0.3">
      <c r="A88" s="496"/>
      <c r="B88" s="497" t="s">
        <v>575</v>
      </c>
      <c r="C88" s="498" t="s">
        <v>577</v>
      </c>
      <c r="D88" s="499"/>
      <c r="E88" s="500"/>
      <c r="F88" s="500"/>
      <c r="G88" s="500"/>
      <c r="H88" s="500"/>
      <c r="I88" s="500"/>
      <c r="J88" s="500"/>
      <c r="K88" s="425"/>
      <c r="L88" s="521" t="s">
        <v>749</v>
      </c>
      <c r="M88" s="500"/>
      <c r="N88" s="500"/>
      <c r="O88" s="520"/>
    </row>
    <row r="89" spans="1:16" ht="6" customHeight="1" x14ac:dyDescent="0.25">
      <c r="A89" s="104"/>
      <c r="B89" s="104"/>
      <c r="K89" s="425"/>
    </row>
    <row r="90" spans="1:16" x14ac:dyDescent="0.25">
      <c r="C90" s="2" t="s">
        <v>576</v>
      </c>
      <c r="D90" s="328">
        <f>Assistenz!L72</f>
        <v>0</v>
      </c>
      <c r="E90" t="str">
        <f>" Wochenstunden"&amp;IF(D90&gt;0," für Assistenzleistungen",)&amp;IF(Assistenz!I71&gt;0," (incl. GTS)",)</f>
        <v xml:space="preserve"> Wochenstunden</v>
      </c>
      <c r="K90" s="425"/>
      <c r="L90" s="462" t="s">
        <v>628</v>
      </c>
    </row>
    <row r="91" spans="1:16" x14ac:dyDescent="0.25">
      <c r="C91" s="2"/>
      <c r="D91" s="501">
        <f>Assistenz!L73</f>
        <v>0</v>
      </c>
      <c r="E91">
        <f>IF(Assistenz!L73&gt;0," durch SAF-Personal",)</f>
        <v>0</v>
      </c>
      <c r="K91" s="425"/>
    </row>
    <row r="92" spans="1:16" x14ac:dyDescent="0.25">
      <c r="D92" s="501">
        <f>Assistenz!L74</f>
        <v>0</v>
      </c>
      <c r="E92">
        <f>IF(Assistenz!L74&gt;0," durch entsprechendes Lehrpersonal",)</f>
        <v>0</v>
      </c>
      <c r="K92" s="425"/>
    </row>
    <row r="93" spans="1:16" x14ac:dyDescent="0.25">
      <c r="D93" s="563" t="str">
        <f>IF(SUM(D91:D92)&lt;&gt;D90,"Hier liegt ein Fehler im Tabellenblatt &lt;Assistenz&gt; vor!","")</f>
        <v/>
      </c>
      <c r="K93" s="425"/>
    </row>
    <row r="94" spans="1:16" ht="18.75" x14ac:dyDescent="0.3">
      <c r="A94" s="322"/>
      <c r="B94" s="383"/>
      <c r="C94" s="470" t="s">
        <v>600</v>
      </c>
      <c r="D94" s="384"/>
      <c r="E94" s="384"/>
      <c r="F94" s="384"/>
      <c r="G94" s="384"/>
      <c r="H94" s="385" t="s">
        <v>601</v>
      </c>
      <c r="I94" s="384"/>
      <c r="J94" s="384"/>
      <c r="K94" s="425"/>
    </row>
    <row r="95" spans="1:16" ht="6" customHeight="1" x14ac:dyDescent="0.25">
      <c r="A95" s="104"/>
      <c r="B95" s="104"/>
      <c r="K95" s="425"/>
    </row>
    <row r="96" spans="1:16" x14ac:dyDescent="0.25">
      <c r="B96" s="386" t="s">
        <v>602</v>
      </c>
      <c r="K96" s="425"/>
      <c r="L96" s="461" t="s">
        <v>627</v>
      </c>
      <c r="M96" s="384"/>
      <c r="N96" s="384"/>
      <c r="O96" s="460"/>
      <c r="P96" s="104"/>
    </row>
    <row r="97" spans="1:16" ht="15.75" x14ac:dyDescent="0.25">
      <c r="A97" s="4"/>
      <c r="C97" s="387" t="s">
        <v>603</v>
      </c>
      <c r="D97" s="388">
        <f>Religion!H37</f>
        <v>0</v>
      </c>
      <c r="E97" s="110" t="s">
        <v>604</v>
      </c>
      <c r="G97" s="435">
        <f>Religion!A39</f>
        <v>1</v>
      </c>
      <c r="H97" s="110" t="s">
        <v>605</v>
      </c>
      <c r="K97" s="425"/>
      <c r="L97" s="462" t="s">
        <v>628</v>
      </c>
      <c r="M97" s="104"/>
      <c r="N97" s="104"/>
      <c r="O97" s="104"/>
      <c r="P97" s="104"/>
    </row>
    <row r="98" spans="1:16" x14ac:dyDescent="0.25">
      <c r="D98" t="s">
        <v>606</v>
      </c>
      <c r="K98" s="425"/>
    </row>
    <row r="99" spans="1:16" ht="33.75" customHeight="1" x14ac:dyDescent="0.25">
      <c r="A99" s="104"/>
      <c r="B99" s="104"/>
      <c r="K99" s="425"/>
      <c r="L99" s="475" t="s">
        <v>629</v>
      </c>
    </row>
    <row r="100" spans="1:16" ht="15.75" x14ac:dyDescent="0.25">
      <c r="A100" s="487"/>
      <c r="B100" s="486" t="s">
        <v>701</v>
      </c>
      <c r="K100" s="425"/>
      <c r="L100" s="476" t="s">
        <v>630</v>
      </c>
    </row>
    <row r="101" spans="1:16" x14ac:dyDescent="0.25"/>
    <row r="102" spans="1:16" x14ac:dyDescent="0.25"/>
    <row r="103" spans="1:16" x14ac:dyDescent="0.25"/>
    <row r="104" spans="1:16" x14ac:dyDescent="0.25"/>
    <row r="105" spans="1:16" x14ac:dyDescent="0.25"/>
    <row r="106" spans="1:16" x14ac:dyDescent="0.25"/>
    <row r="107" spans="1:16" x14ac:dyDescent="0.25"/>
    <row r="108" spans="1:16" x14ac:dyDescent="0.25"/>
    <row r="109" spans="1:16" x14ac:dyDescent="0.25"/>
  </sheetData>
  <sheetProtection algorithmName="SHA-512" hashValue="lwqvM03W1v9I7WYEf6+4NeVplIAVkm6vjcVQcRfx997Hzy3/D59aXYUkUJB4QbOy+8E6koVXfqE9zhO3jE0SIA==" saltValue="lm3eIrXHJWhdU5szhVc6TQ==" spinCount="100000" sheet="1" formatRows="0"/>
  <sortState ref="N64:N67">
    <sortCondition ref="N67"/>
  </sortState>
  <mergeCells count="16">
    <mergeCell ref="B54:J56"/>
    <mergeCell ref="G47:J48"/>
    <mergeCell ref="E53:F53"/>
    <mergeCell ref="H1:J1"/>
    <mergeCell ref="B34:C35"/>
    <mergeCell ref="F22:F23"/>
    <mergeCell ref="G9:H11"/>
    <mergeCell ref="I9:J11"/>
    <mergeCell ref="C8:J8"/>
    <mergeCell ref="H33:I33"/>
    <mergeCell ref="B84:J86"/>
    <mergeCell ref="F69:J69"/>
    <mergeCell ref="H72:I72"/>
    <mergeCell ref="H73:I73"/>
    <mergeCell ref="H74:I74"/>
    <mergeCell ref="I82:J82"/>
  </mergeCells>
  <conditionalFormatting sqref="D34">
    <cfRule type="cellIs" dxfId="201" priority="55" operator="notEqual">
      <formula>" "</formula>
    </cfRule>
  </conditionalFormatting>
  <conditionalFormatting sqref="B82">
    <cfRule type="cellIs" dxfId="200" priority="54" operator="notEqual">
      <formula>0</formula>
    </cfRule>
  </conditionalFormatting>
  <conditionalFormatting sqref="G9:H11">
    <cfRule type="expression" dxfId="199" priority="50">
      <formula>$C$12&gt;0</formula>
    </cfRule>
  </conditionalFormatting>
  <conditionalFormatting sqref="F28">
    <cfRule type="cellIs" dxfId="198" priority="49" operator="notEqual">
      <formula>0</formula>
    </cfRule>
  </conditionalFormatting>
  <conditionalFormatting sqref="G19">
    <cfRule type="expression" dxfId="197" priority="48">
      <formula>$C$12&gt;0</formula>
    </cfRule>
  </conditionalFormatting>
  <conditionalFormatting sqref="C8:J8">
    <cfRule type="cellIs" dxfId="196" priority="45" operator="notEqual">
      <formula>0</formula>
    </cfRule>
  </conditionalFormatting>
  <conditionalFormatting sqref="O8 P8:P9">
    <cfRule type="expression" dxfId="195" priority="44">
      <formula>OR(AND($C$8&gt;0,$L$9&gt;0),$M$9="Spre")</formula>
    </cfRule>
  </conditionalFormatting>
  <conditionalFormatting sqref="F46">
    <cfRule type="cellIs" dxfId="194" priority="43" operator="notEqual">
      <formula>0</formula>
    </cfRule>
  </conditionalFormatting>
  <conditionalFormatting sqref="E39">
    <cfRule type="cellIs" dxfId="193" priority="42" operator="equal">
      <formula>"(0,0)"</formula>
    </cfRule>
  </conditionalFormatting>
  <conditionalFormatting sqref="F61">
    <cfRule type="cellIs" dxfId="192" priority="36" stopIfTrue="1" operator="equal">
      <formula>" "</formula>
    </cfRule>
  </conditionalFormatting>
  <conditionalFormatting sqref="H62">
    <cfRule type="expression" dxfId="191" priority="23">
      <formula>$L$62=0.1</formula>
    </cfRule>
    <cfRule type="cellIs" dxfId="190" priority="24" stopIfTrue="1" operator="notEqual">
      <formula>" "</formula>
    </cfRule>
  </conditionalFormatting>
  <conditionalFormatting sqref="H64">
    <cfRule type="cellIs" dxfId="189" priority="22" operator="greaterThan">
      <formula>$L$64</formula>
    </cfRule>
    <cfRule type="cellIs" dxfId="188" priority="33" stopIfTrue="1" operator="greaterThan">
      <formula>0</formula>
    </cfRule>
  </conditionalFormatting>
  <conditionalFormatting sqref="G33">
    <cfRule type="cellIs" dxfId="187" priority="32" operator="notEqual">
      <formula>0</formula>
    </cfRule>
  </conditionalFormatting>
  <conditionalFormatting sqref="F73:J73">
    <cfRule type="cellIs" dxfId="186" priority="16" operator="lessThan">
      <formula>0</formula>
    </cfRule>
  </conditionalFormatting>
  <conditionalFormatting sqref="D90:D91">
    <cfRule type="expression" dxfId="185" priority="6">
      <formula>SUM($D$91:$D$92)&lt;&gt;$D$90</formula>
    </cfRule>
  </conditionalFormatting>
  <conditionalFormatting sqref="F47">
    <cfRule type="cellIs" dxfId="184" priority="26" operator="notEqual">
      <formula>0</formula>
    </cfRule>
  </conditionalFormatting>
  <conditionalFormatting sqref="E70">
    <cfRule type="cellIs" dxfId="183" priority="25" operator="notEqual">
      <formula>$O$69</formula>
    </cfRule>
  </conditionalFormatting>
  <conditionalFormatting sqref="H66">
    <cfRule type="cellIs" dxfId="182" priority="19" operator="lessThan">
      <formula>0</formula>
    </cfRule>
    <cfRule type="cellIs" dxfId="181" priority="21" stopIfTrue="1" operator="greaterThan">
      <formula>0</formula>
    </cfRule>
  </conditionalFormatting>
  <conditionalFormatting sqref="D66">
    <cfRule type="expression" dxfId="180" priority="20">
      <formula>$H$66&lt;&gt;0</formula>
    </cfRule>
  </conditionalFormatting>
  <conditionalFormatting sqref="H74:I74">
    <cfRule type="cellIs" dxfId="179" priority="17" operator="greaterThan">
      <formula>0</formula>
    </cfRule>
  </conditionalFormatting>
  <conditionalFormatting sqref="G73">
    <cfRule type="cellIs" dxfId="178" priority="31" operator="greaterThan">
      <formula>0</formula>
    </cfRule>
  </conditionalFormatting>
  <conditionalFormatting sqref="H73:I73">
    <cfRule type="cellIs" dxfId="177" priority="30" operator="greaterThan">
      <formula>0</formula>
    </cfRule>
  </conditionalFormatting>
  <conditionalFormatting sqref="G74">
    <cfRule type="cellIs" dxfId="176" priority="15" operator="greaterThan">
      <formula>0</formula>
    </cfRule>
  </conditionalFormatting>
  <conditionalFormatting sqref="D97">
    <cfRule type="cellIs" dxfId="175" priority="12" operator="notEqual">
      <formula>0</formula>
    </cfRule>
  </conditionalFormatting>
  <conditionalFormatting sqref="C72:H74 J72:J74">
    <cfRule type="expression" dxfId="174" priority="110">
      <formula>$L$69="b"</formula>
    </cfRule>
  </conditionalFormatting>
  <conditionalFormatting sqref="C77:J78">
    <cfRule type="expression" dxfId="173" priority="112">
      <formula>$L$69&lt;&gt;"b"</formula>
    </cfRule>
  </conditionalFormatting>
  <conditionalFormatting sqref="G97">
    <cfRule type="cellIs" dxfId="172" priority="11" operator="notEqual">
      <formula>0</formula>
    </cfRule>
  </conditionalFormatting>
  <conditionalFormatting sqref="G12">
    <cfRule type="cellIs" dxfId="171" priority="9" operator="greaterThan">
      <formula>$C$12</formula>
    </cfRule>
    <cfRule type="expression" dxfId="170" priority="10">
      <formula>$C$12&gt;0</formula>
    </cfRule>
  </conditionalFormatting>
  <conditionalFormatting sqref="E42">
    <cfRule type="cellIs" dxfId="169" priority="8" operator="notEqual">
      <formula>0</formula>
    </cfRule>
  </conditionalFormatting>
  <conditionalFormatting sqref="D92">
    <cfRule type="expression" dxfId="168" priority="3">
      <formula>SUM($D$91:$D$92)&lt;&gt;$D$90</formula>
    </cfRule>
  </conditionalFormatting>
  <conditionalFormatting sqref="D90">
    <cfRule type="cellIs" dxfId="167" priority="2" operator="greaterThan">
      <formula>0</formula>
    </cfRule>
  </conditionalFormatting>
  <conditionalFormatting sqref="B93:J93">
    <cfRule type="expression" dxfId="166" priority="1">
      <formula>$D$93&lt;&gt;""</formula>
    </cfRule>
  </conditionalFormatting>
  <dataValidations count="14">
    <dataValidation type="whole" allowBlank="1" showInputMessage="1" showErrorMessage="1" prompt="Bitte eine gültige Zahl zwischen 801000 und 804999 eingeben" sqref="B7">
      <formula1>801000</formula1>
      <formula2>804999</formula2>
    </dataValidation>
    <dataValidation type="whole" allowBlank="1" showInputMessage="1" showErrorMessage="1" sqref="D12:F16 C13:C16">
      <formula1>0</formula1>
      <formula2>333</formula2>
    </dataValidation>
    <dataValidation type="whole" allowBlank="1" showInputMessage="1" showErrorMessage="1" sqref="J12:J16">
      <formula1>0</formula1>
      <formula2>5</formula2>
    </dataValidation>
    <dataValidation type="whole" allowBlank="1" showInputMessage="1" showErrorMessage="1" sqref="G12">
      <formula1>0</formula1>
      <formula2>55</formula2>
    </dataValidation>
    <dataValidation type="whole" allowBlank="1" showInputMessage="1" showErrorMessage="1" sqref="D19:G19 D29">
      <formula1>0</formula1>
      <formula2>33</formula2>
    </dataValidation>
    <dataValidation type="whole" allowBlank="1" showInputMessage="1" showErrorMessage="1" prompt="Hier eingetragene SuS dürfen oben NICHT zugezählt sein!" sqref="C19">
      <formula1>0</formula1>
      <formula2>33</formula2>
    </dataValidation>
    <dataValidation type="whole" allowBlank="1" showInputMessage="1" showErrorMessage="1" prompt="Ergänzend sind die Vorschüler MIT Bescheid rechts drüben in Zelle G12 als Davon-Zahl einzutragen!" sqref="C12">
      <formula1>0</formula1>
      <formula2>55</formula2>
    </dataValidation>
    <dataValidation allowBlank="1" showInputMessage="1" showErrorMessage="1" prompt="Summe der SuS in den Stufen 0 bis 4." sqref="L33"/>
    <dataValidation type="whole" allowBlank="1" showInputMessage="1" showErrorMessage="1" error="bitte Ganzzahl eingeben!" prompt="zu zählen sind PC u. Laptop im Unterricht, auch interaktive Tafeln;_x000a_Nicht aber Server, PC für Verwaltung und Lehrer(-Vorbereitung) .." sqref="E60">
      <formula1>1</formula1>
      <formula2>222</formula2>
    </dataValidation>
    <dataValidation type="decimal" allowBlank="1" showInputMessage="1" showErrorMessage="1" error="soviel gibt es nicht !!" sqref="H62">
      <formula1>-5</formula1>
      <formula2>L61</formula2>
    </dataValidation>
    <dataValidation type="list" allowBlank="1" showInputMessage="1" showErrorMessage="1" sqref="F69">
      <formula1>$M$69:$M$71</formula1>
    </dataValidation>
    <dataValidation allowBlank="1" showInputMessage="1" showErrorMessage="1" prompt="Mit der Tabulator-Taste sind die zu bearbeitenden bzw änderbaren Zellen gut erreichbar.." sqref="B4"/>
    <dataValidation allowBlank="1" showInputMessage="1" showErrorMessage="1" prompt="Hier sind regionale/landesweite Tätigkeiten anzuführen (zB IT-Regionalbetreuung), _x000a_nicht jedoch, was durch eigene Lehrpersonen an einer anderen Schule (aus deren eigenen Einrechnungsstunden) übernommen wird. " sqref="D66"/>
    <dataValidation allowBlank="1" showInputMessage="1" showErrorMessage="1" prompt="ab 8/16/24/.. ao-m werden jeweils _x000a_+6 WoStd für eine Kursgruppe zugerechnet" sqref="E33"/>
  </dataValidations>
  <printOptions horizontalCentered="1"/>
  <pageMargins left="0.6692913385826772" right="0.51181102362204722" top="0.6692913385826772" bottom="0.43307086614173229" header="0.31496062992125984" footer="0.31496062992125984"/>
  <pageSetup paperSize="9" scale="92" orientation="portrait" horizontalDpi="4294967293" r:id="rId1"/>
  <headerFooter scaleWithDoc="0">
    <oddFooter>&amp;C&amp;5&amp;Z&amp;11&amp;F&amp;R&amp;D</oddFooter>
  </headerFooter>
  <rowBreaks count="1" manualBreakCount="1">
    <brk id="57" min="1" max="9" man="1"/>
  </rowBreaks>
  <drawing r:id="rId2"/>
  <extLst>
    <ext xmlns:x14="http://schemas.microsoft.com/office/spreadsheetml/2009/9/main" uri="{78C0D931-6437-407d-A8EE-F0AAD7539E65}">
      <x14:conditionalFormattings>
        <x14:conditionalFormatting xmlns:xm="http://schemas.microsoft.com/office/excel/2006/main">
          <x14:cfRule type="expression" priority="5" id="{6E51B2CD-50E8-4735-B54D-8906BB3244FF}">
            <xm:f>Assistenz!$L$74&lt;&gt;""</xm:f>
            <x14:dxf>
              <border>
                <left style="hair">
                  <color auto="1"/>
                </left>
                <right style="hair">
                  <color auto="1"/>
                </right>
                <top style="hair">
                  <color auto="1"/>
                </top>
                <bottom style="hair">
                  <color auto="1"/>
                </bottom>
                <vertical/>
                <horizontal/>
              </border>
            </x14:dxf>
          </x14:cfRule>
          <xm:sqref>D92</xm:sqref>
        </x14:conditionalFormatting>
        <x14:conditionalFormatting xmlns:xm="http://schemas.microsoft.com/office/excel/2006/main">
          <x14:cfRule type="expression" priority="27" id="{DE982F72-8348-48B8-9EFE-6736D82AD630}">
            <xm:f>Assistenz!$L$73&lt;&gt;""</xm:f>
            <x14:dxf>
              <border>
                <left style="hair">
                  <color auto="1"/>
                </left>
                <right style="hair">
                  <color auto="1"/>
                </right>
                <top style="hair">
                  <color auto="1"/>
                </top>
                <bottom style="hair">
                  <color auto="1"/>
                </bottom>
                <vertical/>
                <horizontal/>
              </border>
            </x14:dxf>
          </x14:cfRule>
          <xm:sqref>D91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8" tint="0.59999389629810485"/>
    <pageSetUpPr fitToPage="1"/>
  </sheetPr>
  <dimension ref="A1:BN57"/>
  <sheetViews>
    <sheetView showGridLines="0" showZeros="0" zoomScaleNormal="100" workbookViewId="0">
      <selection activeCell="J5" sqref="J5:K5"/>
    </sheetView>
  </sheetViews>
  <sheetFormatPr baseColWidth="10" defaultColWidth="0" defaultRowHeight="15" zeroHeight="1" x14ac:dyDescent="0.25"/>
  <cols>
    <col min="1" max="2" width="7.5703125" style="141" customWidth="1"/>
    <col min="3" max="3" width="4.5703125" style="141" hidden="1" customWidth="1"/>
    <col min="4" max="4" width="7.140625" style="141" customWidth="1"/>
    <col min="5" max="6" width="6.5703125" style="141" customWidth="1"/>
    <col min="7" max="9" width="6" style="141" customWidth="1"/>
    <col min="10" max="10" width="1.85546875" style="141" customWidth="1"/>
    <col min="11" max="12" width="6.5703125" style="141" customWidth="1"/>
    <col min="13" max="15" width="6" style="141" customWidth="1"/>
    <col min="16" max="16" width="3" style="141" customWidth="1"/>
    <col min="17" max="18" width="6.5703125" style="141" customWidth="1"/>
    <col min="19" max="21" width="6" style="141" customWidth="1"/>
    <col min="22" max="22" width="1.85546875" style="141" customWidth="1"/>
    <col min="23" max="24" width="6.5703125" style="141" customWidth="1"/>
    <col min="25" max="27" width="6" style="141" customWidth="1"/>
    <col min="28" max="28" width="3" style="141" customWidth="1"/>
    <col min="29" max="30" width="6.5703125" style="141" customWidth="1"/>
    <col min="31" max="33" width="6" style="141" customWidth="1"/>
    <col min="34" max="34" width="3" style="141" customWidth="1"/>
    <col min="35" max="35" width="3" style="141" hidden="1" customWidth="1"/>
    <col min="36" max="45" width="5" style="141" hidden="1" customWidth="1"/>
    <col min="46" max="46" width="5.140625" style="828" hidden="1" customWidth="1"/>
    <col min="47" max="47" width="4.5703125" style="828" hidden="1" customWidth="1"/>
    <col min="48" max="48" width="4.28515625" style="828" hidden="1" customWidth="1"/>
    <col min="49" max="49" width="3.7109375" style="828" hidden="1" customWidth="1"/>
    <col min="50" max="50" width="4.5703125" style="828" hidden="1" customWidth="1"/>
    <col min="51" max="51" width="4" style="828" hidden="1" customWidth="1"/>
    <col min="52" max="52" width="4.85546875" style="828" hidden="1" customWidth="1"/>
    <col min="53" max="53" width="4.28515625" style="828" hidden="1" customWidth="1"/>
    <col min="54" max="54" width="4.7109375" style="828" hidden="1" customWidth="1"/>
    <col min="55" max="55" width="4.140625" style="828" hidden="1" customWidth="1"/>
    <col min="56" max="56" width="7.7109375" style="828" hidden="1" customWidth="1"/>
    <col min="57" max="57" width="4.5703125" style="828" hidden="1" customWidth="1"/>
    <col min="58" max="58" width="4.28515625" style="828" hidden="1" customWidth="1"/>
    <col min="59" max="59" width="3.7109375" style="828" hidden="1" customWidth="1"/>
    <col min="60" max="60" width="4.5703125" style="828" hidden="1" customWidth="1"/>
    <col min="61" max="61" width="4" style="828" hidden="1" customWidth="1"/>
    <col min="62" max="62" width="4.85546875" style="828" hidden="1" customWidth="1"/>
    <col min="63" max="63" width="4.28515625" style="828" hidden="1" customWidth="1"/>
    <col min="64" max="64" width="4.7109375" style="828" hidden="1" customWidth="1"/>
    <col min="65" max="65" width="4.140625" style="828" hidden="1" customWidth="1"/>
    <col min="66" max="66" width="11.42578125" style="828" hidden="1"/>
    <col min="67" max="16384" width="0" style="828" hidden="1"/>
  </cols>
  <sheetData>
    <row r="1" spans="1:66" ht="31.5" x14ac:dyDescent="0.5">
      <c r="A1" s="140" t="s">
        <v>472</v>
      </c>
      <c r="Q1" s="142" t="s">
        <v>473</v>
      </c>
      <c r="R1" s="143" t="str">
        <f>Konti_VS!C7</f>
        <v>VS  . . .</v>
      </c>
      <c r="AF1" s="471" t="str">
        <f>"Bedarfsplanung für 20"&amp;RIGHT(Konti_VS!H1,5)</f>
        <v>Bedarfsplanung für 2024/25</v>
      </c>
      <c r="AG1" s="471"/>
      <c r="AL1" s="144">
        <v>10</v>
      </c>
      <c r="AM1" s="145">
        <v>20</v>
      </c>
      <c r="AN1" s="146" t="s">
        <v>474</v>
      </c>
      <c r="AO1" s="144" t="s">
        <v>475</v>
      </c>
    </row>
    <row r="2" spans="1:66" ht="11.25" customHeight="1" x14ac:dyDescent="0.25">
      <c r="AL2" s="148">
        <v>4</v>
      </c>
      <c r="AM2" s="145">
        <v>7</v>
      </c>
      <c r="AN2" s="144">
        <v>3</v>
      </c>
      <c r="AO2" s="149">
        <v>2</v>
      </c>
    </row>
    <row r="3" spans="1:66" ht="13.5" customHeight="1" x14ac:dyDescent="0.25">
      <c r="A3" s="150"/>
      <c r="R3" s="828"/>
      <c r="V3" s="151" t="s">
        <v>476</v>
      </c>
      <c r="W3" s="152" t="s">
        <v>477</v>
      </c>
      <c r="AL3" s="144">
        <v>25</v>
      </c>
      <c r="AM3" s="149">
        <v>0</v>
      </c>
      <c r="AN3" s="145">
        <v>0.4</v>
      </c>
      <c r="AO3" s="146">
        <f>SUM(AN2:AO2)</f>
        <v>5</v>
      </c>
    </row>
    <row r="4" spans="1:66" ht="15.75" thickBot="1" x14ac:dyDescent="0.3">
      <c r="D4" s="153" t="s">
        <v>478</v>
      </c>
      <c r="Q4" s="828"/>
      <c r="R4" s="828"/>
      <c r="S4" s="154" t="s">
        <v>479</v>
      </c>
      <c r="T4" s="155"/>
      <c r="U4" s="155"/>
      <c r="V4" s="156" t="s">
        <v>480</v>
      </c>
      <c r="AL4" s="144"/>
      <c r="AM4" s="149">
        <v>2</v>
      </c>
      <c r="AN4" s="145">
        <v>0.62</v>
      </c>
      <c r="AO4" s="144"/>
    </row>
    <row r="5" spans="1:66" ht="20.25" thickTop="1" thickBot="1" x14ac:dyDescent="0.35">
      <c r="A5" s="157"/>
      <c r="H5" s="158" t="s">
        <v>505</v>
      </c>
      <c r="I5" s="158"/>
      <c r="J5" s="935"/>
      <c r="K5" s="936"/>
      <c r="L5" s="159" t="s">
        <v>481</v>
      </c>
      <c r="M5" s="160"/>
      <c r="N5" s="161" t="str">
        <f>IF(M5&lt;0," an anderer Schule", IF(M5&gt;0," von anderer Schule"," an/von anderer Schule"))</f>
        <v xml:space="preserve"> an/von anderer Schule</v>
      </c>
      <c r="O5" s="161"/>
      <c r="Q5" s="828"/>
      <c r="R5" s="828"/>
      <c r="S5" s="162">
        <f>IF(M5&lt;&gt;0,"= "&amp;C6,)</f>
        <v>0</v>
      </c>
      <c r="AL5" s="144"/>
      <c r="AM5" s="149">
        <v>3</v>
      </c>
      <c r="AN5" s="145">
        <v>0.84</v>
      </c>
      <c r="AO5" s="144"/>
    </row>
    <row r="6" spans="1:66" ht="19.5" thickTop="1" x14ac:dyDescent="0.3">
      <c r="A6" s="157"/>
      <c r="C6" s="163">
        <f>SUM(J5,M5)</f>
        <v>0</v>
      </c>
      <c r="P6" s="142">
        <f>IF(AO7&gt;0,"daher sind bei pr3 wöchentlich höchstens ",)</f>
        <v>0</v>
      </c>
      <c r="Q6" s="164">
        <f>IF(AO7&gt;0,AO7,)</f>
        <v>0</v>
      </c>
      <c r="R6" s="165">
        <f>ROUNDUP($AO7*0.84,1)</f>
        <v>0</v>
      </c>
      <c r="S6" s="165">
        <f>ROUNDUP($AO7*0.62,1)</f>
        <v>0</v>
      </c>
      <c r="T6" s="166">
        <f>ROUNDUP($AO7*0.4,1)</f>
        <v>0</v>
      </c>
      <c r="U6" s="522"/>
      <c r="V6" s="141">
        <f>IF(AO7&gt;0," Wochenstunden über die Lehrerbesoldung abrechenbar,",)</f>
        <v>0</v>
      </c>
      <c r="AL6" s="144"/>
      <c r="AM6" s="167">
        <v>4</v>
      </c>
      <c r="AN6" s="168">
        <v>1</v>
      </c>
    </row>
    <row r="7" spans="1:66" x14ac:dyDescent="0.25">
      <c r="A7" s="150"/>
      <c r="Q7" s="169">
        <f>IF(AO7&gt;0,"bei Lernzeiten an ..  4 od. 5, ",)</f>
        <v>0</v>
      </c>
      <c r="R7" s="170">
        <f>IF(AO7&gt;0,"an 3,",)</f>
        <v>0</v>
      </c>
      <c r="S7" s="170">
        <f>IF(AO7&gt;0,"an 2,",)</f>
        <v>0</v>
      </c>
      <c r="T7" s="171">
        <f>IF(AO7&gt;0," oder lediglich an 1 Tag(en) pro Woche.",)</f>
        <v>0</v>
      </c>
      <c r="U7" s="523"/>
      <c r="AL7" s="144">
        <v>40</v>
      </c>
      <c r="AN7" s="172">
        <f>ROUNDUP(LOOKUP(AL27,AM3:AM6,AN3:AN6)*AO7,1)</f>
        <v>0</v>
      </c>
      <c r="AO7" s="173">
        <f>IF(C6&lt;AM2,,IF(C6&lt;AL7,LOOKUP(C6,AN8:AN11,AO8:AO11),ROUNDDOWN(C6/AL$1,0)*AN$2+ROUNDDOWN(C6/AM$1,0)*AO$2))</f>
        <v>0</v>
      </c>
      <c r="AP7" s="174">
        <f>IF(C6&gt;=AM1,MAX(ROUNDDOWN(C6/AM1,0),ROUNDUP(C6/AL3,0)),IF(C6&gt;=AM2,1,))</f>
        <v>0</v>
      </c>
    </row>
    <row r="8" spans="1:66" ht="15.75" x14ac:dyDescent="0.25">
      <c r="A8" s="175" t="s">
        <v>506</v>
      </c>
      <c r="AN8" s="176">
        <v>0</v>
      </c>
      <c r="AO8" s="177">
        <f>AO3</f>
        <v>5</v>
      </c>
    </row>
    <row r="9" spans="1:66" ht="6.75" customHeight="1" x14ac:dyDescent="0.25">
      <c r="A9" s="150"/>
      <c r="AN9" s="176">
        <v>18</v>
      </c>
      <c r="AO9" s="177">
        <f>AO8*1.6</f>
        <v>8</v>
      </c>
    </row>
    <row r="10" spans="1:66" ht="21" customHeight="1" x14ac:dyDescent="0.35">
      <c r="A10" s="178"/>
      <c r="D10" s="179" t="s">
        <v>482</v>
      </c>
      <c r="E10" s="829"/>
      <c r="F10" s="930" t="s">
        <v>483</v>
      </c>
      <c r="G10" s="930"/>
      <c r="H10" s="524"/>
      <c r="I10" s="927" t="s">
        <v>772</v>
      </c>
      <c r="J10" s="830"/>
      <c r="K10" s="829"/>
      <c r="L10" s="930" t="s">
        <v>484</v>
      </c>
      <c r="M10" s="930"/>
      <c r="N10" s="524"/>
      <c r="O10" s="927" t="s">
        <v>772</v>
      </c>
      <c r="P10" s="830"/>
      <c r="Q10" s="829"/>
      <c r="R10" s="930" t="s">
        <v>485</v>
      </c>
      <c r="S10" s="930"/>
      <c r="T10" s="524"/>
      <c r="U10" s="927" t="s">
        <v>772</v>
      </c>
      <c r="V10" s="830"/>
      <c r="W10" s="829"/>
      <c r="X10" s="930" t="s">
        <v>486</v>
      </c>
      <c r="Y10" s="930"/>
      <c r="Z10" s="524"/>
      <c r="AA10" s="927" t="s">
        <v>772</v>
      </c>
      <c r="AB10" s="830"/>
      <c r="AC10" s="829"/>
      <c r="AD10" s="930" t="s">
        <v>487</v>
      </c>
      <c r="AE10" s="930"/>
      <c r="AF10" s="524"/>
      <c r="AG10" s="927" t="s">
        <v>772</v>
      </c>
      <c r="AH10" s="830"/>
      <c r="AN10" s="176">
        <v>24</v>
      </c>
      <c r="AO10" s="177">
        <f>AO8*2</f>
        <v>10</v>
      </c>
    </row>
    <row r="11" spans="1:66" ht="15" customHeight="1" x14ac:dyDescent="0.25">
      <c r="A11" s="931" t="s">
        <v>488</v>
      </c>
      <c r="B11" s="932"/>
      <c r="C11" s="180"/>
      <c r="D11" s="180"/>
      <c r="E11" s="831" t="s">
        <v>489</v>
      </c>
      <c r="F11" s="832"/>
      <c r="G11" s="921" t="s">
        <v>750</v>
      </c>
      <c r="H11" s="922"/>
      <c r="I11" s="928"/>
      <c r="J11" s="828"/>
      <c r="K11" s="831" t="s">
        <v>489</v>
      </c>
      <c r="L11" s="833"/>
      <c r="M11" s="921" t="s">
        <v>750</v>
      </c>
      <c r="N11" s="922"/>
      <c r="O11" s="928"/>
      <c r="P11" s="828"/>
      <c r="Q11" s="831" t="s">
        <v>489</v>
      </c>
      <c r="R11" s="833"/>
      <c r="S11" s="921" t="s">
        <v>750</v>
      </c>
      <c r="T11" s="922"/>
      <c r="U11" s="928"/>
      <c r="V11" s="828"/>
      <c r="W11" s="831" t="s">
        <v>489</v>
      </c>
      <c r="X11" s="833"/>
      <c r="Y11" s="921" t="s">
        <v>750</v>
      </c>
      <c r="Z11" s="922"/>
      <c r="AA11" s="928"/>
      <c r="AB11" s="828"/>
      <c r="AC11" s="831" t="s">
        <v>489</v>
      </c>
      <c r="AD11" s="833"/>
      <c r="AE11" s="921" t="s">
        <v>750</v>
      </c>
      <c r="AF11" s="922"/>
      <c r="AG11" s="928"/>
      <c r="AH11" s="828"/>
      <c r="AN11" s="176">
        <v>30</v>
      </c>
      <c r="AO11" s="177">
        <f>AO8*2.6</f>
        <v>13</v>
      </c>
    </row>
    <row r="12" spans="1:66" ht="15" customHeight="1" x14ac:dyDescent="0.25">
      <c r="A12" s="933"/>
      <c r="B12" s="934"/>
      <c r="C12" s="180"/>
      <c r="D12" s="180"/>
      <c r="E12" s="525" t="s">
        <v>490</v>
      </c>
      <c r="F12" s="537" t="s">
        <v>490</v>
      </c>
      <c r="G12" s="923"/>
      <c r="H12" s="924"/>
      <c r="I12" s="928"/>
      <c r="J12" s="828"/>
      <c r="K12" s="525" t="s">
        <v>490</v>
      </c>
      <c r="L12" s="526" t="s">
        <v>490</v>
      </c>
      <c r="M12" s="923"/>
      <c r="N12" s="924"/>
      <c r="O12" s="928"/>
      <c r="P12" s="828"/>
      <c r="Q12" s="525" t="s">
        <v>490</v>
      </c>
      <c r="R12" s="526" t="s">
        <v>490</v>
      </c>
      <c r="S12" s="923"/>
      <c r="T12" s="924"/>
      <c r="U12" s="928"/>
      <c r="V12" s="828"/>
      <c r="W12" s="525" t="s">
        <v>490</v>
      </c>
      <c r="X12" s="526" t="s">
        <v>490</v>
      </c>
      <c r="Y12" s="923"/>
      <c r="Z12" s="924"/>
      <c r="AA12" s="928"/>
      <c r="AB12" s="828"/>
      <c r="AC12" s="525" t="s">
        <v>490</v>
      </c>
      <c r="AD12" s="526" t="s">
        <v>490</v>
      </c>
      <c r="AE12" s="923"/>
      <c r="AF12" s="924"/>
      <c r="AG12" s="928"/>
      <c r="AH12" s="828"/>
      <c r="AJ12" s="181">
        <v>3.4722222222222224E-2</v>
      </c>
      <c r="AK12" s="181">
        <v>0.66666666666666663</v>
      </c>
      <c r="AL12" s="182">
        <v>0.625</v>
      </c>
      <c r="AT12" s="925" t="s">
        <v>763</v>
      </c>
      <c r="AU12" s="925"/>
      <c r="AV12" s="925"/>
      <c r="AW12" s="925"/>
      <c r="AX12" s="925"/>
      <c r="AY12" s="925"/>
      <c r="AZ12" s="925"/>
      <c r="BA12" s="925"/>
      <c r="BB12" s="925"/>
      <c r="BC12" s="925"/>
      <c r="BD12" s="926" t="s">
        <v>764</v>
      </c>
      <c r="BE12" s="926"/>
      <c r="BF12" s="926"/>
      <c r="BG12" s="926"/>
      <c r="BH12" s="926"/>
      <c r="BI12" s="926"/>
      <c r="BJ12" s="926"/>
      <c r="BK12" s="926"/>
      <c r="BL12" s="926"/>
      <c r="BM12" s="926"/>
      <c r="BN12" s="565">
        <v>25</v>
      </c>
    </row>
    <row r="13" spans="1:66" x14ac:dyDescent="0.25">
      <c r="A13" s="183" t="s">
        <v>491</v>
      </c>
      <c r="B13" s="184" t="s">
        <v>492</v>
      </c>
      <c r="C13" s="185"/>
      <c r="D13" s="185"/>
      <c r="E13" s="527" t="s">
        <v>493</v>
      </c>
      <c r="F13" s="528" t="s">
        <v>494</v>
      </c>
      <c r="G13" s="529" t="s">
        <v>493</v>
      </c>
      <c r="H13" s="530" t="s">
        <v>494</v>
      </c>
      <c r="I13" s="929"/>
      <c r="J13" s="828"/>
      <c r="K13" s="527" t="s">
        <v>493</v>
      </c>
      <c r="L13" s="528" t="s">
        <v>494</v>
      </c>
      <c r="M13" s="529" t="s">
        <v>493</v>
      </c>
      <c r="N13" s="530" t="s">
        <v>494</v>
      </c>
      <c r="O13" s="929"/>
      <c r="P13" s="828"/>
      <c r="Q13" s="527" t="s">
        <v>493</v>
      </c>
      <c r="R13" s="528" t="s">
        <v>494</v>
      </c>
      <c r="S13" s="529" t="s">
        <v>493</v>
      </c>
      <c r="T13" s="530" t="s">
        <v>494</v>
      </c>
      <c r="U13" s="929"/>
      <c r="V13" s="828"/>
      <c r="W13" s="527" t="s">
        <v>493</v>
      </c>
      <c r="X13" s="528" t="s">
        <v>494</v>
      </c>
      <c r="Y13" s="529" t="s">
        <v>493</v>
      </c>
      <c r="Z13" s="530" t="s">
        <v>494</v>
      </c>
      <c r="AA13" s="929"/>
      <c r="AB13" s="828"/>
      <c r="AC13" s="527" t="s">
        <v>493</v>
      </c>
      <c r="AD13" s="528" t="s">
        <v>494</v>
      </c>
      <c r="AE13" s="529" t="s">
        <v>493</v>
      </c>
      <c r="AF13" s="530" t="s">
        <v>494</v>
      </c>
      <c r="AG13" s="929"/>
      <c r="AH13" s="828"/>
      <c r="AT13" s="533" t="s">
        <v>751</v>
      </c>
      <c r="AU13" s="533" t="s">
        <v>752</v>
      </c>
      <c r="AV13" s="534" t="s">
        <v>753</v>
      </c>
      <c r="AW13" s="534" t="s">
        <v>754</v>
      </c>
      <c r="AX13" s="534" t="s">
        <v>755</v>
      </c>
      <c r="AY13" s="534" t="s">
        <v>756</v>
      </c>
      <c r="AZ13" s="534" t="s">
        <v>757</v>
      </c>
      <c r="BA13" s="534" t="s">
        <v>758</v>
      </c>
      <c r="BB13" s="534" t="s">
        <v>759</v>
      </c>
      <c r="BC13" s="534" t="s">
        <v>760</v>
      </c>
      <c r="BD13" s="547" t="s">
        <v>751</v>
      </c>
      <c r="BE13" s="547" t="s">
        <v>752</v>
      </c>
      <c r="BF13" s="548" t="s">
        <v>753</v>
      </c>
      <c r="BG13" s="548" t="s">
        <v>754</v>
      </c>
      <c r="BH13" s="548" t="s">
        <v>755</v>
      </c>
      <c r="BI13" s="548" t="s">
        <v>756</v>
      </c>
      <c r="BJ13" s="548" t="s">
        <v>757</v>
      </c>
      <c r="BK13" s="548" t="s">
        <v>758</v>
      </c>
      <c r="BL13" s="548" t="s">
        <v>759</v>
      </c>
      <c r="BM13" s="548" t="s">
        <v>760</v>
      </c>
      <c r="BN13" s="565" t="s">
        <v>778</v>
      </c>
    </row>
    <row r="14" spans="1:66" ht="18" x14ac:dyDescent="0.25">
      <c r="A14" s="353"/>
      <c r="B14" s="265">
        <f t="shared" ref="B14:B23" si="0">IF(A14&gt;0,A14+AJ$12,)</f>
        <v>0</v>
      </c>
      <c r="C14" s="259">
        <f>ROUND((B14-A14)*24*60,1)</f>
        <v>0</v>
      </c>
      <c r="D14" s="259">
        <f t="shared" ref="D14:D23" si="1">IF(A14&gt;0,"= "&amp;C14&amp;" min",)</f>
        <v>0</v>
      </c>
      <c r="E14" s="260"/>
      <c r="F14" s="261"/>
      <c r="G14" s="558">
        <f>AT14</f>
        <v>0</v>
      </c>
      <c r="H14" s="559">
        <f>AU14</f>
        <v>0</v>
      </c>
      <c r="I14" s="549">
        <f>G14*$C14/50+H14*$C14/50*0.5</f>
        <v>0</v>
      </c>
      <c r="J14" s="262"/>
      <c r="K14" s="260"/>
      <c r="L14" s="261"/>
      <c r="M14" s="558">
        <f t="shared" ref="M14:N23" si="2">AV14</f>
        <v>0</v>
      </c>
      <c r="N14" s="559">
        <f>AW14</f>
        <v>0</v>
      </c>
      <c r="O14" s="549">
        <f>M14*$C14/50+N14*$C14/50*0.5</f>
        <v>0</v>
      </c>
      <c r="P14" s="263"/>
      <c r="Q14" s="260"/>
      <c r="R14" s="261"/>
      <c r="S14" s="558">
        <f t="shared" ref="S14:T23" si="3">AX14</f>
        <v>0</v>
      </c>
      <c r="T14" s="559">
        <f>AY14</f>
        <v>0</v>
      </c>
      <c r="U14" s="549">
        <f>S14*$C14/50+T14*$C14/50*0.5</f>
        <v>0</v>
      </c>
      <c r="V14" s="263"/>
      <c r="W14" s="260"/>
      <c r="X14" s="261"/>
      <c r="Y14" s="558">
        <f t="shared" ref="Y14:Z23" si="4">AZ14</f>
        <v>0</v>
      </c>
      <c r="Z14" s="559">
        <f>BA14</f>
        <v>0</v>
      </c>
      <c r="AA14" s="549">
        <f>Y14*$C14/50+Z14*$C14/50*0.5</f>
        <v>0</v>
      </c>
      <c r="AB14" s="263"/>
      <c r="AC14" s="260"/>
      <c r="AD14" s="261"/>
      <c r="AE14" s="558">
        <f>BB14</f>
        <v>0</v>
      </c>
      <c r="AF14" s="559">
        <f>BC14</f>
        <v>0</v>
      </c>
      <c r="AG14" s="549">
        <f>AE14*$C14/50+AF14*$C14/50*0.5</f>
        <v>0</v>
      </c>
      <c r="AH14" s="263"/>
      <c r="AJ14" s="186">
        <f>IF(E14&gt;=AL1,ROUNDDOWN(E14/AL1,0),IF(E14&gt;0,1,))*C14/50</f>
        <v>0</v>
      </c>
      <c r="AK14" s="186">
        <f>IF(F14&gt;=AM1,MAX(ROUNDDOWN(F14/AM1,0),ROUNDUP(F14/AL3,0)),IF(F14&gt;0,1,))*C14/50*0.5</f>
        <v>0</v>
      </c>
      <c r="AL14" s="186">
        <f>IF(K14&gt;=AL1,ROUNDDOWN(K14/AL1,0),IF(K14&gt;0,1,))*C14/50</f>
        <v>0</v>
      </c>
      <c r="AM14" s="186">
        <f>IF(L14&gt;=AM1,MAX(ROUNDDOWN(L14/AM1,0),ROUNDUP(L14/AL3,0)),IF(L14&gt;0,1,))*C14/50*0.5</f>
        <v>0</v>
      </c>
      <c r="AN14" s="186">
        <f>IF(Q14&gt;=AL1,ROUNDDOWN(Q14/AL1,0),IF(Q14&gt;0,1,))*C14/50</f>
        <v>0</v>
      </c>
      <c r="AO14" s="186">
        <f>IF(R14&gt;=AM1,MAX(ROUNDDOWN(R14/AM1,0),ROUNDUP(R14/AL3,0)),IF(R14&gt;0,1,))*C14/50*0.5</f>
        <v>0</v>
      </c>
      <c r="AP14" s="186">
        <f>IF(W14&gt;=AL1,ROUNDDOWN(W14/AL1,0),IF(W14&gt;0,1,))*C14/50</f>
        <v>0</v>
      </c>
      <c r="AQ14" s="186">
        <f>IF(X14&gt;=AM1,MAX(ROUNDDOWN(X14/AM1,0),ROUNDUP(X14/AL3,0)),IF(X14&gt;0,1,))*C14/50*0.5</f>
        <v>0</v>
      </c>
      <c r="AR14" s="186">
        <f>IF(AC14&gt;=AL1,ROUNDDOWN(AC14/AL1,0),IF(AC14&gt;0,1,))*C14/50</f>
        <v>0</v>
      </c>
      <c r="AS14" s="186">
        <f>IF(AD14&gt;=AM1,MAX(ROUNDDOWN(AD14/AM1,0),ROUNDUP(AD14/AL3,0)),IF(AD14&gt;0,1,))*C14/50*0.5</f>
        <v>0</v>
      </c>
      <c r="AT14" s="834">
        <f t="shared" ref="AT14:AT23" si="5">IF(E14&gt;=$AL$1,ROUNDDOWN(E14/$AL$1,0),IF(E14&gt;0,1,))</f>
        <v>0</v>
      </c>
      <c r="AU14" s="834">
        <f t="shared" ref="AU14:AU23" si="6">IF(F14&gt;=$AM$1,ROUNDDOWN(F14/$AM$1,0),IF(F14&gt;0,1,))</f>
        <v>0</v>
      </c>
      <c r="AV14" s="834">
        <f t="shared" ref="AV14:AV23" si="7">IF(K14&gt;=AL$1,ROUNDDOWN(K14/$AL$1,0),IF(K14&gt;0,1,))</f>
        <v>0</v>
      </c>
      <c r="AW14" s="834">
        <f t="shared" ref="AW14:AW23" si="8">IF(L14&gt;=$AM$1,ROUNDDOWN(L14/$AM$1,0),IF(L14&gt;0,1,))</f>
        <v>0</v>
      </c>
      <c r="AX14" s="834">
        <f t="shared" ref="AX14:AX23" si="9">IF(Q14&gt;=$AL$1,ROUNDDOWN(Q14/$AL$1,0),IF(Q14&gt;0,1,))</f>
        <v>0</v>
      </c>
      <c r="AY14" s="834">
        <f>IF(R14&gt;=$AM$1,ROUNDDOWN(R14/$AM$1,0),IF(R14&gt;0,1,))</f>
        <v>0</v>
      </c>
      <c r="AZ14" s="834">
        <f t="shared" ref="AZ14:AZ23" si="10">IF(W14&gt;=$AL$1,ROUNDDOWN(W14/$AL$1,0),IF(W14&gt;0,1,))</f>
        <v>0</v>
      </c>
      <c r="BA14" s="834">
        <f t="shared" ref="BA14:BA23" si="11">IF(X14&gt;=$AM$1,ROUNDDOWN(X14/$AM$1,0),IF(X14&gt;0,1,))</f>
        <v>0</v>
      </c>
      <c r="BB14" s="834">
        <f t="shared" ref="BB14:BB23" si="12">IF(AC14&gt;=$AL$1,ROUNDDOWN(AC14/$AL$1,0),IF(AC14&gt;0,1,))</f>
        <v>0</v>
      </c>
      <c r="BC14" s="834">
        <f t="shared" ref="BC14:BC23" si="13">IF(AD14&gt;=$AM$1,ROUNDDOWN(AD14/$AM$1,0),IF(AD14&gt;0,1,))</f>
        <v>0</v>
      </c>
      <c r="BD14" s="835">
        <f t="shared" ref="BD14:BE23" si="14">G14</f>
        <v>0</v>
      </c>
      <c r="BE14" s="835">
        <f t="shared" si="14"/>
        <v>0</v>
      </c>
      <c r="BF14" s="835">
        <f t="shared" ref="BF14:BG23" si="15">M14</f>
        <v>0</v>
      </c>
      <c r="BG14" s="835">
        <f t="shared" si="15"/>
        <v>0</v>
      </c>
      <c r="BH14" s="835">
        <f t="shared" ref="BH14:BI23" si="16">S14</f>
        <v>0</v>
      </c>
      <c r="BI14" s="835">
        <f t="shared" si="16"/>
        <v>0</v>
      </c>
      <c r="BJ14" s="835">
        <f t="shared" ref="BJ14:BK23" si="17">Y14</f>
        <v>0</v>
      </c>
      <c r="BK14" s="835">
        <f t="shared" si="17"/>
        <v>0</v>
      </c>
      <c r="BL14" s="835">
        <f t="shared" ref="BL14:BM23" si="18">AE14</f>
        <v>0</v>
      </c>
      <c r="BM14" s="835">
        <f t="shared" si="18"/>
        <v>0</v>
      </c>
      <c r="BN14" s="565">
        <f>IF(AND($C14&gt;0,$C14&lt;$BN$12),1,)</f>
        <v>0</v>
      </c>
    </row>
    <row r="15" spans="1:66" ht="18" x14ac:dyDescent="0.25">
      <c r="A15" s="264">
        <f t="shared" ref="A15:A23" si="19">IF(OR(B14&gt;=AK$12,B14=0),,B14+IF(B14&gt;=AL$12,TIME(0,5,0),))</f>
        <v>0</v>
      </c>
      <c r="B15" s="265">
        <f t="shared" si="0"/>
        <v>0</v>
      </c>
      <c r="C15" s="259">
        <f t="shared" ref="C15:C23" si="20">ROUND((B15-A15)*24*60,1)</f>
        <v>0</v>
      </c>
      <c r="D15" s="259">
        <f t="shared" si="1"/>
        <v>0</v>
      </c>
      <c r="E15" s="260"/>
      <c r="F15" s="261"/>
      <c r="G15" s="558">
        <f t="shared" ref="G15:H23" si="21">AT15</f>
        <v>0</v>
      </c>
      <c r="H15" s="559">
        <f t="shared" si="21"/>
        <v>0</v>
      </c>
      <c r="I15" s="549">
        <f t="shared" ref="I15:I23" si="22">G15*$C15/50+H15*$C15/50*0.5</f>
        <v>0</v>
      </c>
      <c r="J15" s="262"/>
      <c r="K15" s="260"/>
      <c r="L15" s="261"/>
      <c r="M15" s="558">
        <f t="shared" si="2"/>
        <v>0</v>
      </c>
      <c r="N15" s="559">
        <f t="shared" si="2"/>
        <v>0</v>
      </c>
      <c r="O15" s="549">
        <f t="shared" ref="O15:O23" si="23">M15*$C15/50+N15*$C15/50*0.5</f>
        <v>0</v>
      </c>
      <c r="P15" s="263"/>
      <c r="Q15" s="260"/>
      <c r="R15" s="261"/>
      <c r="S15" s="558">
        <f t="shared" si="3"/>
        <v>0</v>
      </c>
      <c r="T15" s="559">
        <f t="shared" si="3"/>
        <v>0</v>
      </c>
      <c r="U15" s="549">
        <f t="shared" ref="U15:U23" si="24">S15*$C15/50+T15*$C15/50*0.5</f>
        <v>0</v>
      </c>
      <c r="V15" s="263"/>
      <c r="W15" s="260"/>
      <c r="X15" s="261"/>
      <c r="Y15" s="558">
        <f t="shared" si="4"/>
        <v>0</v>
      </c>
      <c r="Z15" s="559">
        <f t="shared" si="4"/>
        <v>0</v>
      </c>
      <c r="AA15" s="549">
        <f t="shared" ref="AA15:AA23" si="25">Y15*$C15/50+Z15*$C15/50*0.5</f>
        <v>0</v>
      </c>
      <c r="AB15" s="263"/>
      <c r="AC15" s="260"/>
      <c r="AD15" s="261"/>
      <c r="AE15" s="558">
        <f t="shared" ref="AE15:AF23" si="26">BB15</f>
        <v>0</v>
      </c>
      <c r="AF15" s="559">
        <f t="shared" si="26"/>
        <v>0</v>
      </c>
      <c r="AG15" s="549">
        <f t="shared" ref="AG15:AG23" si="27">AE15*$C15/50+AF15*$C15/50*0.5</f>
        <v>0</v>
      </c>
      <c r="AH15" s="263"/>
      <c r="AJ15" s="186">
        <f>IF(E15&gt;=AL1,ROUNDDOWN(E15/AL1,0),IF(E15&gt;0,1,))*C15/50</f>
        <v>0</v>
      </c>
      <c r="AK15" s="186">
        <f>IF(F15&gt;=AM1,MAX(ROUNDDOWN(F15/AM1,0),ROUNDUP(F15/AL3,0)),IF(F15&gt;0,1,))*C15/50*0.5</f>
        <v>0</v>
      </c>
      <c r="AL15" s="186">
        <f>IF(K15&gt;=AL1,ROUNDDOWN(K15/AL1,0),IF(K15&gt;0,1,))*C15/50</f>
        <v>0</v>
      </c>
      <c r="AM15" s="186">
        <f>IF(L15&gt;=AM1,MAX(ROUNDDOWN(L15/AM1,0),ROUNDUP(L15/AL3,0)),IF(L15&gt;0,1,))*C15/50*0.5</f>
        <v>0</v>
      </c>
      <c r="AN15" s="186">
        <f>IF(Q15&gt;=AL1,ROUNDDOWN(Q15/AL1,0),IF(Q15&gt;0,1,))*C15/50</f>
        <v>0</v>
      </c>
      <c r="AO15" s="186">
        <f>IF(R15&gt;=AM1,MAX(ROUNDDOWN(R15/AM1,0),ROUNDUP(R15/AL3,0)),IF(R15&gt;0,1,))*C15/50*0.5</f>
        <v>0</v>
      </c>
      <c r="AP15" s="186">
        <f>IF(W15&gt;=AL1,ROUNDDOWN(W15/AL1,0),IF(W15&gt;0,1,))*C15/50</f>
        <v>0</v>
      </c>
      <c r="AQ15" s="186">
        <f>IF(X15&gt;=AM1,MAX(ROUNDDOWN(X15/AM1,0),ROUNDUP(X15/AL3,0)),IF(X15&gt;0,1,))*C15/50*0.5</f>
        <v>0</v>
      </c>
      <c r="AR15" s="186">
        <f>IF(AC15&gt;=AL1,ROUNDDOWN(AC15/AL1,0),IF(AC15&gt;0,1,))*C15/50</f>
        <v>0</v>
      </c>
      <c r="AS15" s="186">
        <f>IF(AD15&gt;=AM1,MAX(ROUNDDOWN(AD15/AM1,0),ROUNDUP(AD15/AL3,0)),IF(AD15&gt;0,1,))*C15/50*0.5</f>
        <v>0</v>
      </c>
      <c r="AT15" s="834">
        <f t="shared" si="5"/>
        <v>0</v>
      </c>
      <c r="AU15" s="834">
        <f t="shared" si="6"/>
        <v>0</v>
      </c>
      <c r="AV15" s="834">
        <f t="shared" si="7"/>
        <v>0</v>
      </c>
      <c r="AW15" s="834">
        <f t="shared" si="8"/>
        <v>0</v>
      </c>
      <c r="AX15" s="834">
        <f t="shared" si="9"/>
        <v>0</v>
      </c>
      <c r="AY15" s="834">
        <f t="shared" ref="AY15:AY21" si="28">IF(R15&gt;=$AM$1,ROUNDDOWN(R15/$AM$1,0),IF(R15&gt;0,1,))</f>
        <v>0</v>
      </c>
      <c r="AZ15" s="834">
        <f t="shared" si="10"/>
        <v>0</v>
      </c>
      <c r="BA15" s="834">
        <f t="shared" si="11"/>
        <v>0</v>
      </c>
      <c r="BB15" s="834">
        <f t="shared" si="12"/>
        <v>0</v>
      </c>
      <c r="BC15" s="834">
        <f t="shared" si="13"/>
        <v>0</v>
      </c>
      <c r="BD15" s="835">
        <f t="shared" si="14"/>
        <v>0</v>
      </c>
      <c r="BE15" s="835">
        <f t="shared" si="14"/>
        <v>0</v>
      </c>
      <c r="BF15" s="835">
        <f t="shared" si="15"/>
        <v>0</v>
      </c>
      <c r="BG15" s="835">
        <f t="shared" si="15"/>
        <v>0</v>
      </c>
      <c r="BH15" s="835">
        <f t="shared" si="16"/>
        <v>0</v>
      </c>
      <c r="BI15" s="835">
        <f t="shared" si="16"/>
        <v>0</v>
      </c>
      <c r="BJ15" s="835">
        <f t="shared" si="17"/>
        <v>0</v>
      </c>
      <c r="BK15" s="835">
        <f t="shared" si="17"/>
        <v>0</v>
      </c>
      <c r="BL15" s="835">
        <f t="shared" si="18"/>
        <v>0</v>
      </c>
      <c r="BM15" s="835">
        <f t="shared" si="18"/>
        <v>0</v>
      </c>
      <c r="BN15" s="565">
        <f t="shared" ref="BN15:BN23" si="29">IF(AND($C15&gt;0,$C15&lt;$BN$12),1,)</f>
        <v>0</v>
      </c>
    </row>
    <row r="16" spans="1:66" ht="18" x14ac:dyDescent="0.25">
      <c r="A16" s="264">
        <f t="shared" si="19"/>
        <v>0</v>
      </c>
      <c r="B16" s="265">
        <f t="shared" si="0"/>
        <v>0</v>
      </c>
      <c r="C16" s="259">
        <f>ROUND((B16-A16)*24*60,1)</f>
        <v>0</v>
      </c>
      <c r="D16" s="259">
        <f>IF(A16&gt;0,"= "&amp;C16&amp;" min",)</f>
        <v>0</v>
      </c>
      <c r="E16" s="260"/>
      <c r="F16" s="261"/>
      <c r="G16" s="558">
        <f t="shared" si="21"/>
        <v>0</v>
      </c>
      <c r="H16" s="559">
        <f t="shared" si="21"/>
        <v>0</v>
      </c>
      <c r="I16" s="549">
        <f>G16*$C16/50+H16*$C16/50*0.5</f>
        <v>0</v>
      </c>
      <c r="J16" s="262"/>
      <c r="K16" s="260"/>
      <c r="L16" s="261"/>
      <c r="M16" s="558">
        <f t="shared" si="2"/>
        <v>0</v>
      </c>
      <c r="N16" s="559">
        <f t="shared" si="2"/>
        <v>0</v>
      </c>
      <c r="O16" s="549">
        <f t="shared" si="23"/>
        <v>0</v>
      </c>
      <c r="P16" s="263"/>
      <c r="Q16" s="260"/>
      <c r="R16" s="261"/>
      <c r="S16" s="558">
        <f t="shared" si="3"/>
        <v>0</v>
      </c>
      <c r="T16" s="559">
        <f t="shared" si="3"/>
        <v>0</v>
      </c>
      <c r="U16" s="549">
        <f t="shared" si="24"/>
        <v>0</v>
      </c>
      <c r="V16" s="263"/>
      <c r="W16" s="260"/>
      <c r="X16" s="261"/>
      <c r="Y16" s="558">
        <f t="shared" si="4"/>
        <v>0</v>
      </c>
      <c r="Z16" s="559">
        <f t="shared" si="4"/>
        <v>0</v>
      </c>
      <c r="AA16" s="549">
        <f t="shared" si="25"/>
        <v>0</v>
      </c>
      <c r="AB16" s="263"/>
      <c r="AC16" s="260"/>
      <c r="AD16" s="261"/>
      <c r="AE16" s="558">
        <f t="shared" si="26"/>
        <v>0</v>
      </c>
      <c r="AF16" s="559">
        <f t="shared" si="26"/>
        <v>0</v>
      </c>
      <c r="AG16" s="549">
        <f t="shared" si="27"/>
        <v>0</v>
      </c>
      <c r="AH16" s="263"/>
      <c r="AJ16" s="186">
        <f>IF(E16&gt;=AL1,ROUNDDOWN(E16/AL1,0),IF(E16&gt;0,1,))*C16/50</f>
        <v>0</v>
      </c>
      <c r="AK16" s="186">
        <f>IF(F16&gt;=AM1,MAX(ROUNDDOWN(F16/AM1,0),ROUNDUP(F16/AL3,0)),IF(F16&gt;0,1,))*C16/50*0.5</f>
        <v>0</v>
      </c>
      <c r="AL16" s="186">
        <f>IF(K16&gt;=AL1,ROUNDDOWN(K16/AL1,0),IF(K16&gt;0,1,))*C16/50</f>
        <v>0</v>
      </c>
      <c r="AM16" s="186">
        <f>IF(L16&gt;=AM1,MAX(ROUNDDOWN(L16/AM1,0),ROUNDUP(L16/AL3,0)),IF(L16&gt;0,1,))*C16/50*0.5</f>
        <v>0</v>
      </c>
      <c r="AN16" s="186">
        <f>IF(Q16&gt;=AL1,ROUNDDOWN(Q16/AL1,0),IF(Q16&gt;0,1,))*C16/50</f>
        <v>0</v>
      </c>
      <c r="AO16" s="186">
        <f>IF(R16&gt;=AM1,MAX(ROUNDDOWN(R16/AM1,0),ROUNDUP(R16/AL3,0)),IF(R16&gt;0,1,))*C16/50*0.5</f>
        <v>0</v>
      </c>
      <c r="AP16" s="186">
        <f>IF(W16&gt;=AL1,ROUNDDOWN(W16/AL1,0),IF(W16&gt;0,1,))*C16/50</f>
        <v>0</v>
      </c>
      <c r="AQ16" s="186">
        <f>IF(X16&gt;=AM1,MAX(ROUNDDOWN(X16/AM1,0),ROUNDUP(X16/AL3,0)),IF(X16&gt;0,1,))*C16/50*0.5</f>
        <v>0</v>
      </c>
      <c r="AR16" s="186">
        <f>IF(AC16&gt;=AL1,ROUNDDOWN(AC16/AL1,0),IF(AC16&gt;0,1,))*C16/50</f>
        <v>0</v>
      </c>
      <c r="AS16" s="186">
        <f>IF(AD16&gt;=AM1,MAX(ROUNDDOWN(AD16/AM1,0),ROUNDUP(AD16/AL3,0)),IF(AD16&gt;0,1,))*C16/50*0.5</f>
        <v>0</v>
      </c>
      <c r="AT16" s="834">
        <f t="shared" si="5"/>
        <v>0</v>
      </c>
      <c r="AU16" s="834">
        <f t="shared" si="6"/>
        <v>0</v>
      </c>
      <c r="AV16" s="834">
        <f t="shared" si="7"/>
        <v>0</v>
      </c>
      <c r="AW16" s="834">
        <f t="shared" si="8"/>
        <v>0</v>
      </c>
      <c r="AX16" s="834">
        <f t="shared" si="9"/>
        <v>0</v>
      </c>
      <c r="AY16" s="834">
        <f t="shared" si="28"/>
        <v>0</v>
      </c>
      <c r="AZ16" s="834">
        <f t="shared" si="10"/>
        <v>0</v>
      </c>
      <c r="BA16" s="834">
        <f t="shared" si="11"/>
        <v>0</v>
      </c>
      <c r="BB16" s="834">
        <f t="shared" si="12"/>
        <v>0</v>
      </c>
      <c r="BC16" s="834">
        <f t="shared" si="13"/>
        <v>0</v>
      </c>
      <c r="BD16" s="835">
        <f t="shared" si="14"/>
        <v>0</v>
      </c>
      <c r="BE16" s="835">
        <f t="shared" si="14"/>
        <v>0</v>
      </c>
      <c r="BF16" s="835">
        <f t="shared" si="15"/>
        <v>0</v>
      </c>
      <c r="BG16" s="835">
        <f t="shared" si="15"/>
        <v>0</v>
      </c>
      <c r="BH16" s="835">
        <f t="shared" si="16"/>
        <v>0</v>
      </c>
      <c r="BI16" s="835">
        <f t="shared" si="16"/>
        <v>0</v>
      </c>
      <c r="BJ16" s="835">
        <f t="shared" si="17"/>
        <v>0</v>
      </c>
      <c r="BK16" s="835">
        <f t="shared" si="17"/>
        <v>0</v>
      </c>
      <c r="BL16" s="835">
        <f t="shared" si="18"/>
        <v>0</v>
      </c>
      <c r="BM16" s="835">
        <f t="shared" si="18"/>
        <v>0</v>
      </c>
      <c r="BN16" s="565">
        <f t="shared" si="29"/>
        <v>0</v>
      </c>
    </row>
    <row r="17" spans="1:66" ht="18" x14ac:dyDescent="0.25">
      <c r="A17" s="264">
        <f t="shared" si="19"/>
        <v>0</v>
      </c>
      <c r="B17" s="265">
        <f t="shared" si="0"/>
        <v>0</v>
      </c>
      <c r="C17" s="259">
        <f t="shared" si="20"/>
        <v>0</v>
      </c>
      <c r="D17" s="259">
        <f t="shared" si="1"/>
        <v>0</v>
      </c>
      <c r="E17" s="260"/>
      <c r="F17" s="261"/>
      <c r="G17" s="558">
        <f t="shared" si="21"/>
        <v>0</v>
      </c>
      <c r="H17" s="559">
        <f t="shared" si="21"/>
        <v>0</v>
      </c>
      <c r="I17" s="549">
        <f t="shared" si="22"/>
        <v>0</v>
      </c>
      <c r="J17" s="262"/>
      <c r="K17" s="260"/>
      <c r="L17" s="261"/>
      <c r="M17" s="558">
        <f t="shared" si="2"/>
        <v>0</v>
      </c>
      <c r="N17" s="559">
        <f t="shared" si="2"/>
        <v>0</v>
      </c>
      <c r="O17" s="549">
        <f t="shared" si="23"/>
        <v>0</v>
      </c>
      <c r="P17" s="263"/>
      <c r="Q17" s="260"/>
      <c r="R17" s="261"/>
      <c r="S17" s="558">
        <f t="shared" si="3"/>
        <v>0</v>
      </c>
      <c r="T17" s="559">
        <f t="shared" si="3"/>
        <v>0</v>
      </c>
      <c r="U17" s="549">
        <f t="shared" si="24"/>
        <v>0</v>
      </c>
      <c r="V17" s="263"/>
      <c r="W17" s="260"/>
      <c r="X17" s="261"/>
      <c r="Y17" s="558">
        <f t="shared" si="4"/>
        <v>0</v>
      </c>
      <c r="Z17" s="559">
        <f t="shared" si="4"/>
        <v>0</v>
      </c>
      <c r="AA17" s="549">
        <f t="shared" si="25"/>
        <v>0</v>
      </c>
      <c r="AB17" s="263"/>
      <c r="AC17" s="260"/>
      <c r="AD17" s="261"/>
      <c r="AE17" s="558">
        <f t="shared" si="26"/>
        <v>0</v>
      </c>
      <c r="AF17" s="559">
        <f t="shared" si="26"/>
        <v>0</v>
      </c>
      <c r="AG17" s="549">
        <f t="shared" si="27"/>
        <v>0</v>
      </c>
      <c r="AH17" s="263"/>
      <c r="AJ17" s="186">
        <f>IF(E17&gt;=AL1,ROUNDDOWN(E17/AL1,0),IF(E17&gt;0,1,))*C17/50</f>
        <v>0</v>
      </c>
      <c r="AK17" s="186">
        <f>IF(F17&gt;=AM1,MAX(ROUNDDOWN(F17/AM1,0),ROUNDUP(F17/AL3,0)),IF(F17&gt;0,1,))*C17/50*0.5</f>
        <v>0</v>
      </c>
      <c r="AL17" s="186">
        <f>IF(K17&gt;=AL1,ROUNDDOWN(K17/AL1,0),IF(K17&gt;0,1,))*C17/50</f>
        <v>0</v>
      </c>
      <c r="AM17" s="186">
        <f>IF(L17&gt;=AM1,MAX(ROUNDDOWN(L17/AM1,0),ROUNDUP(L17/AL3,0)),IF(L17&gt;0,1,))*C17/50*0.5</f>
        <v>0</v>
      </c>
      <c r="AN17" s="186">
        <f>IF(Q17&gt;=AL1,ROUNDDOWN(Q17/AL1,0),IF(Q17&gt;0,1,))*C17/50</f>
        <v>0</v>
      </c>
      <c r="AO17" s="186">
        <f>IF(R17&gt;=AM1,MAX(ROUNDDOWN(R17/AM1,0),ROUNDUP(R17/AL3,0)),IF(R17&gt;0,1,))*C17/50*0.5</f>
        <v>0</v>
      </c>
      <c r="AP17" s="186">
        <f>IF(W17&gt;=AL1,ROUNDDOWN(W17/AL1,0),IF(W17&gt;0,1,))*C17/50</f>
        <v>0</v>
      </c>
      <c r="AQ17" s="186">
        <f>IF(X17&gt;=AM1,MAX(ROUNDDOWN(X17/AM1,0),ROUNDUP(X17/AL3,0)),IF(X17&gt;0,1,))*C17/50*0.5</f>
        <v>0</v>
      </c>
      <c r="AR17" s="186">
        <f>IF(AC17&gt;=AL1,ROUNDDOWN(AC17/AL1,0),IF(AC17&gt;0,1,))*C17/50</f>
        <v>0</v>
      </c>
      <c r="AS17" s="186">
        <f>IF(AD17&gt;=AM1,MAX(ROUNDDOWN(AD17/AM1,0),ROUNDUP(AD17/AL3,0)),IF(AD17&gt;0,1,))*C17/50*0.5</f>
        <v>0</v>
      </c>
      <c r="AT17" s="834">
        <f t="shared" si="5"/>
        <v>0</v>
      </c>
      <c r="AU17" s="834">
        <f t="shared" si="6"/>
        <v>0</v>
      </c>
      <c r="AV17" s="834">
        <f t="shared" si="7"/>
        <v>0</v>
      </c>
      <c r="AW17" s="834">
        <f t="shared" si="8"/>
        <v>0</v>
      </c>
      <c r="AX17" s="834">
        <f t="shared" si="9"/>
        <v>0</v>
      </c>
      <c r="AY17" s="834">
        <f t="shared" si="28"/>
        <v>0</v>
      </c>
      <c r="AZ17" s="834">
        <f t="shared" si="10"/>
        <v>0</v>
      </c>
      <c r="BA17" s="834">
        <f t="shared" si="11"/>
        <v>0</v>
      </c>
      <c r="BB17" s="834">
        <f t="shared" si="12"/>
        <v>0</v>
      </c>
      <c r="BC17" s="834">
        <f t="shared" si="13"/>
        <v>0</v>
      </c>
      <c r="BD17" s="835">
        <f t="shared" si="14"/>
        <v>0</v>
      </c>
      <c r="BE17" s="835">
        <f t="shared" si="14"/>
        <v>0</v>
      </c>
      <c r="BF17" s="835">
        <f t="shared" si="15"/>
        <v>0</v>
      </c>
      <c r="BG17" s="835">
        <f t="shared" si="15"/>
        <v>0</v>
      </c>
      <c r="BH17" s="835">
        <f t="shared" si="16"/>
        <v>0</v>
      </c>
      <c r="BI17" s="835">
        <f t="shared" si="16"/>
        <v>0</v>
      </c>
      <c r="BJ17" s="835">
        <f t="shared" si="17"/>
        <v>0</v>
      </c>
      <c r="BK17" s="835">
        <f t="shared" si="17"/>
        <v>0</v>
      </c>
      <c r="BL17" s="835">
        <f t="shared" si="18"/>
        <v>0</v>
      </c>
      <c r="BM17" s="835">
        <f t="shared" si="18"/>
        <v>0</v>
      </c>
      <c r="BN17" s="565">
        <f t="shared" si="29"/>
        <v>0</v>
      </c>
    </row>
    <row r="18" spans="1:66" ht="18" x14ac:dyDescent="0.25">
      <c r="A18" s="264">
        <f t="shared" si="19"/>
        <v>0</v>
      </c>
      <c r="B18" s="265">
        <f t="shared" si="0"/>
        <v>0</v>
      </c>
      <c r="C18" s="259">
        <f t="shared" si="20"/>
        <v>0</v>
      </c>
      <c r="D18" s="259">
        <f t="shared" si="1"/>
        <v>0</v>
      </c>
      <c r="E18" s="260"/>
      <c r="F18" s="261"/>
      <c r="G18" s="558">
        <f t="shared" si="21"/>
        <v>0</v>
      </c>
      <c r="H18" s="559">
        <f t="shared" si="21"/>
        <v>0</v>
      </c>
      <c r="I18" s="549">
        <f t="shared" si="22"/>
        <v>0</v>
      </c>
      <c r="J18" s="262"/>
      <c r="K18" s="260"/>
      <c r="L18" s="261"/>
      <c r="M18" s="558">
        <f t="shared" si="2"/>
        <v>0</v>
      </c>
      <c r="N18" s="559">
        <f t="shared" si="2"/>
        <v>0</v>
      </c>
      <c r="O18" s="549">
        <f t="shared" si="23"/>
        <v>0</v>
      </c>
      <c r="P18" s="263"/>
      <c r="Q18" s="260"/>
      <c r="R18" s="261"/>
      <c r="S18" s="558">
        <f t="shared" si="3"/>
        <v>0</v>
      </c>
      <c r="T18" s="559">
        <f t="shared" si="3"/>
        <v>0</v>
      </c>
      <c r="U18" s="549">
        <f t="shared" si="24"/>
        <v>0</v>
      </c>
      <c r="V18" s="263"/>
      <c r="W18" s="260"/>
      <c r="X18" s="261"/>
      <c r="Y18" s="558">
        <f t="shared" si="4"/>
        <v>0</v>
      </c>
      <c r="Z18" s="559">
        <f t="shared" si="4"/>
        <v>0</v>
      </c>
      <c r="AA18" s="549">
        <f t="shared" si="25"/>
        <v>0</v>
      </c>
      <c r="AB18" s="263"/>
      <c r="AC18" s="260"/>
      <c r="AD18" s="261"/>
      <c r="AE18" s="558">
        <f t="shared" si="26"/>
        <v>0</v>
      </c>
      <c r="AF18" s="559">
        <f t="shared" si="26"/>
        <v>0</v>
      </c>
      <c r="AG18" s="549">
        <f t="shared" si="27"/>
        <v>0</v>
      </c>
      <c r="AH18" s="263"/>
      <c r="AJ18" s="186">
        <f>IF(E18&gt;=AL1,ROUNDDOWN(E18/AL1,0),IF(E18&gt;0,1,))*C18/50</f>
        <v>0</v>
      </c>
      <c r="AK18" s="186">
        <f>IF(F18&gt;=AM1,MAX(ROUNDDOWN(F18/AM1,0),ROUNDUP(F18/AL3,0)),IF(F18&gt;0,1,))*C18/50*0.5</f>
        <v>0</v>
      </c>
      <c r="AL18" s="186">
        <f>IF(K18&gt;=AL1,ROUNDDOWN(K18/AL1,0),IF(K18&gt;0,1,))*C18/50</f>
        <v>0</v>
      </c>
      <c r="AM18" s="186">
        <f>IF(L18&gt;=AM1,MAX(ROUNDDOWN(L18/AM1,0),ROUNDUP(L18/AL3,0)),IF(L18&gt;0,1,))*C18/50*0.5</f>
        <v>0</v>
      </c>
      <c r="AN18" s="186">
        <f>IF(Q18&gt;=AL1,ROUNDDOWN(Q18/AL1,0),IF(Q18&gt;0,1,))*C18/50</f>
        <v>0</v>
      </c>
      <c r="AO18" s="186">
        <f>IF(R18&gt;=AM1,MAX(ROUNDDOWN(R18/AM1,0),ROUNDUP(R18/AL3,0)),IF(R18&gt;0,1,))*C18/50*0.5</f>
        <v>0</v>
      </c>
      <c r="AP18" s="186">
        <f>IF(W18&gt;=AL1,ROUNDDOWN(W18/AL1,0),IF(W18&gt;0,1,))*C18/50</f>
        <v>0</v>
      </c>
      <c r="AQ18" s="186">
        <f>IF(X18&gt;=AM1,MAX(ROUNDDOWN(X18/AM1,0),ROUNDUP(X18/AL3,0)),IF(X18&gt;0,1,))*C18/50*0.5</f>
        <v>0</v>
      </c>
      <c r="AR18" s="186">
        <f>IF(AC18&gt;=AL1,ROUNDDOWN(AC18/AL1,0),IF(AC18&gt;0,1,))*C18/50</f>
        <v>0</v>
      </c>
      <c r="AS18" s="186">
        <f>IF(AD18&gt;=AM1,MAX(ROUNDDOWN(AD18/AM1,0),ROUNDUP(AD18/AL3,0)),IF(AD18&gt;0,1,))*C18/50*0.5</f>
        <v>0</v>
      </c>
      <c r="AT18" s="834">
        <f t="shared" si="5"/>
        <v>0</v>
      </c>
      <c r="AU18" s="834">
        <f t="shared" si="6"/>
        <v>0</v>
      </c>
      <c r="AV18" s="834">
        <f t="shared" si="7"/>
        <v>0</v>
      </c>
      <c r="AW18" s="834">
        <f t="shared" si="8"/>
        <v>0</v>
      </c>
      <c r="AX18" s="834">
        <f t="shared" si="9"/>
        <v>0</v>
      </c>
      <c r="AY18" s="834">
        <f t="shared" si="28"/>
        <v>0</v>
      </c>
      <c r="AZ18" s="834">
        <f t="shared" si="10"/>
        <v>0</v>
      </c>
      <c r="BA18" s="834">
        <f t="shared" si="11"/>
        <v>0</v>
      </c>
      <c r="BB18" s="834">
        <f t="shared" si="12"/>
        <v>0</v>
      </c>
      <c r="BC18" s="834">
        <f t="shared" si="13"/>
        <v>0</v>
      </c>
      <c r="BD18" s="835">
        <f t="shared" si="14"/>
        <v>0</v>
      </c>
      <c r="BE18" s="835">
        <f t="shared" si="14"/>
        <v>0</v>
      </c>
      <c r="BF18" s="835">
        <f t="shared" si="15"/>
        <v>0</v>
      </c>
      <c r="BG18" s="835">
        <f t="shared" si="15"/>
        <v>0</v>
      </c>
      <c r="BH18" s="835">
        <f t="shared" si="16"/>
        <v>0</v>
      </c>
      <c r="BI18" s="835">
        <f t="shared" si="16"/>
        <v>0</v>
      </c>
      <c r="BJ18" s="835">
        <f t="shared" si="17"/>
        <v>0</v>
      </c>
      <c r="BK18" s="835">
        <f t="shared" si="17"/>
        <v>0</v>
      </c>
      <c r="BL18" s="835">
        <f t="shared" si="18"/>
        <v>0</v>
      </c>
      <c r="BM18" s="835">
        <f t="shared" si="18"/>
        <v>0</v>
      </c>
      <c r="BN18" s="565">
        <f t="shared" si="29"/>
        <v>0</v>
      </c>
    </row>
    <row r="19" spans="1:66" ht="18" x14ac:dyDescent="0.25">
      <c r="A19" s="264">
        <f t="shared" si="19"/>
        <v>0</v>
      </c>
      <c r="B19" s="265">
        <f t="shared" si="0"/>
        <v>0</v>
      </c>
      <c r="C19" s="259">
        <f>ROUND((B19-A19)*24*60,1)</f>
        <v>0</v>
      </c>
      <c r="D19" s="259">
        <f>IF(A19&gt;0,"= "&amp;C19&amp;" min",)</f>
        <v>0</v>
      </c>
      <c r="E19" s="260"/>
      <c r="F19" s="261"/>
      <c r="G19" s="558">
        <f t="shared" si="21"/>
        <v>0</v>
      </c>
      <c r="H19" s="559">
        <f t="shared" si="21"/>
        <v>0</v>
      </c>
      <c r="I19" s="549">
        <f t="shared" si="22"/>
        <v>0</v>
      </c>
      <c r="J19" s="262"/>
      <c r="K19" s="260"/>
      <c r="L19" s="261"/>
      <c r="M19" s="558">
        <f t="shared" si="2"/>
        <v>0</v>
      </c>
      <c r="N19" s="559">
        <f t="shared" si="2"/>
        <v>0</v>
      </c>
      <c r="O19" s="549">
        <f t="shared" si="23"/>
        <v>0</v>
      </c>
      <c r="P19" s="263"/>
      <c r="Q19" s="260"/>
      <c r="R19" s="261"/>
      <c r="S19" s="558">
        <f t="shared" si="3"/>
        <v>0</v>
      </c>
      <c r="T19" s="559">
        <f t="shared" si="3"/>
        <v>0</v>
      </c>
      <c r="U19" s="549">
        <f t="shared" si="24"/>
        <v>0</v>
      </c>
      <c r="V19" s="263"/>
      <c r="W19" s="260"/>
      <c r="X19" s="261"/>
      <c r="Y19" s="558">
        <f t="shared" si="4"/>
        <v>0</v>
      </c>
      <c r="Z19" s="559">
        <f t="shared" si="4"/>
        <v>0</v>
      </c>
      <c r="AA19" s="549">
        <f t="shared" si="25"/>
        <v>0</v>
      </c>
      <c r="AB19" s="263"/>
      <c r="AC19" s="260"/>
      <c r="AD19" s="261"/>
      <c r="AE19" s="558">
        <f t="shared" si="26"/>
        <v>0</v>
      </c>
      <c r="AF19" s="559">
        <f t="shared" si="26"/>
        <v>0</v>
      </c>
      <c r="AG19" s="549">
        <f t="shared" si="27"/>
        <v>0</v>
      </c>
      <c r="AH19" s="263"/>
      <c r="AJ19" s="186">
        <f>IF(E19&gt;=AL1,ROUNDDOWN(E19/AL1,0),IF(E19&gt;0,1,))*C19/50</f>
        <v>0</v>
      </c>
      <c r="AK19" s="186">
        <f>IF(F19&gt;=AM1,MAX(ROUNDDOWN(F19/AM1,0),ROUNDUP(F19/AL3,0)),IF(F19&gt;0,1,))*C19/50*0.5</f>
        <v>0</v>
      </c>
      <c r="AL19" s="186">
        <f>IF(K19&gt;=AL1,ROUNDDOWN(K19/AL1,0),IF(K19&gt;0,1,))*C19/50</f>
        <v>0</v>
      </c>
      <c r="AM19" s="186">
        <f>IF(L19&gt;=AM1,MAX(ROUNDDOWN(L19/AM1,0),ROUNDUP(L19/AL3,0)),IF(L19&gt;0,1,))*C19/50*0.5</f>
        <v>0</v>
      </c>
      <c r="AN19" s="186">
        <f>IF(Q19&gt;=AL1,ROUNDDOWN(Q19/AL1,0),IF(Q19&gt;0,1,))*C19/50</f>
        <v>0</v>
      </c>
      <c r="AO19" s="186">
        <f>IF(R19&gt;=AM1,MAX(ROUNDDOWN(R19/AM1,0),ROUNDUP(R19/AL3,0)),IF(R19&gt;0,1,))*C19/50*0.5</f>
        <v>0</v>
      </c>
      <c r="AP19" s="186">
        <f>IF(W19&gt;=AL1,ROUNDDOWN(W19/AL1,0),IF(W19&gt;0,1,))*C19/50</f>
        <v>0</v>
      </c>
      <c r="AQ19" s="186">
        <f>IF(X19&gt;=AM1,MAX(ROUNDDOWN(X19/AM1,0),ROUNDUP(X19/AL3,0)),IF(X19&gt;0,1,))*C19/50*0.5</f>
        <v>0</v>
      </c>
      <c r="AR19" s="186">
        <f>IF(AC19&gt;=AL1,ROUNDDOWN(AC19/AL1,0),IF(AC19&gt;0,1,))*C19/50</f>
        <v>0</v>
      </c>
      <c r="AS19" s="186">
        <f>IF(AD19&gt;=AM1,MAX(ROUNDDOWN(AD19/AM1,0),ROUNDUP(AD19/AL3,0)),IF(AD19&gt;0,1,))*C19/50*0.5</f>
        <v>0</v>
      </c>
      <c r="AT19" s="834">
        <f t="shared" si="5"/>
        <v>0</v>
      </c>
      <c r="AU19" s="834">
        <f t="shared" si="6"/>
        <v>0</v>
      </c>
      <c r="AV19" s="834">
        <f t="shared" si="7"/>
        <v>0</v>
      </c>
      <c r="AW19" s="834">
        <f t="shared" si="8"/>
        <v>0</v>
      </c>
      <c r="AX19" s="834">
        <f t="shared" si="9"/>
        <v>0</v>
      </c>
      <c r="AY19" s="834">
        <f t="shared" si="28"/>
        <v>0</v>
      </c>
      <c r="AZ19" s="834">
        <f t="shared" si="10"/>
        <v>0</v>
      </c>
      <c r="BA19" s="834">
        <f t="shared" si="11"/>
        <v>0</v>
      </c>
      <c r="BB19" s="834">
        <f t="shared" si="12"/>
        <v>0</v>
      </c>
      <c r="BC19" s="834">
        <f t="shared" si="13"/>
        <v>0</v>
      </c>
      <c r="BD19" s="835">
        <f t="shared" si="14"/>
        <v>0</v>
      </c>
      <c r="BE19" s="835">
        <f t="shared" si="14"/>
        <v>0</v>
      </c>
      <c r="BF19" s="835">
        <f t="shared" si="15"/>
        <v>0</v>
      </c>
      <c r="BG19" s="835">
        <f t="shared" si="15"/>
        <v>0</v>
      </c>
      <c r="BH19" s="835">
        <f t="shared" si="16"/>
        <v>0</v>
      </c>
      <c r="BI19" s="835">
        <f t="shared" si="16"/>
        <v>0</v>
      </c>
      <c r="BJ19" s="835">
        <f t="shared" si="17"/>
        <v>0</v>
      </c>
      <c r="BK19" s="835">
        <f t="shared" si="17"/>
        <v>0</v>
      </c>
      <c r="BL19" s="835">
        <f t="shared" si="18"/>
        <v>0</v>
      </c>
      <c r="BM19" s="835">
        <f t="shared" si="18"/>
        <v>0</v>
      </c>
      <c r="BN19" s="565">
        <f t="shared" si="29"/>
        <v>0</v>
      </c>
    </row>
    <row r="20" spans="1:66" ht="18" x14ac:dyDescent="0.25">
      <c r="A20" s="264">
        <f t="shared" si="19"/>
        <v>0</v>
      </c>
      <c r="B20" s="265">
        <f t="shared" si="0"/>
        <v>0</v>
      </c>
      <c r="C20" s="259">
        <f>ROUND((B20-A20)*24*60,1)</f>
        <v>0</v>
      </c>
      <c r="D20" s="259">
        <f>IF(A20&gt;0,"= "&amp;C20&amp;" min",)</f>
        <v>0</v>
      </c>
      <c r="E20" s="260"/>
      <c r="F20" s="261"/>
      <c r="G20" s="558">
        <f t="shared" si="21"/>
        <v>0</v>
      </c>
      <c r="H20" s="559">
        <f t="shared" si="21"/>
        <v>0</v>
      </c>
      <c r="I20" s="549">
        <f t="shared" si="22"/>
        <v>0</v>
      </c>
      <c r="J20" s="262"/>
      <c r="K20" s="260"/>
      <c r="L20" s="261"/>
      <c r="M20" s="558">
        <f t="shared" si="2"/>
        <v>0</v>
      </c>
      <c r="N20" s="559">
        <f t="shared" si="2"/>
        <v>0</v>
      </c>
      <c r="O20" s="549">
        <f t="shared" si="23"/>
        <v>0</v>
      </c>
      <c r="P20" s="263"/>
      <c r="Q20" s="260"/>
      <c r="R20" s="261"/>
      <c r="S20" s="558">
        <f t="shared" si="3"/>
        <v>0</v>
      </c>
      <c r="T20" s="559">
        <f t="shared" si="3"/>
        <v>0</v>
      </c>
      <c r="U20" s="549">
        <f t="shared" si="24"/>
        <v>0</v>
      </c>
      <c r="V20" s="263"/>
      <c r="W20" s="260"/>
      <c r="X20" s="261"/>
      <c r="Y20" s="558">
        <f t="shared" si="4"/>
        <v>0</v>
      </c>
      <c r="Z20" s="559">
        <f t="shared" si="4"/>
        <v>0</v>
      </c>
      <c r="AA20" s="549">
        <f t="shared" si="25"/>
        <v>0</v>
      </c>
      <c r="AB20" s="263"/>
      <c r="AC20" s="260"/>
      <c r="AD20" s="261"/>
      <c r="AE20" s="558">
        <f t="shared" si="26"/>
        <v>0</v>
      </c>
      <c r="AF20" s="559">
        <f t="shared" si="26"/>
        <v>0</v>
      </c>
      <c r="AG20" s="549">
        <f t="shared" si="27"/>
        <v>0</v>
      </c>
      <c r="AH20" s="263"/>
      <c r="AJ20" s="186">
        <f>IF(E20&gt;=AL1,ROUNDDOWN(E20/AL1,0),IF(E20&gt;0,1,))*C20/50</f>
        <v>0</v>
      </c>
      <c r="AK20" s="186">
        <f>IF(F20&gt;=AM1,MAX(ROUNDDOWN(F20/AM1,0),ROUNDUP(F20/AL3,0)),IF(F20&gt;0,1,))*C20/50*0.5</f>
        <v>0</v>
      </c>
      <c r="AL20" s="186">
        <f>IF(K20&gt;=AL1,ROUNDDOWN(K20/AL1,0),IF(K20&gt;0,1,))*C20/50</f>
        <v>0</v>
      </c>
      <c r="AM20" s="186">
        <f>IF(L20&gt;=AM1,MAX(ROUNDDOWN(L20/AM1,0),ROUNDUP(L20/AL3,0)),IF(L20&gt;0,1,))*C20/50*0.5</f>
        <v>0</v>
      </c>
      <c r="AN20" s="186">
        <f>IF(Q20&gt;=AL1,ROUNDDOWN(Q20/AL1,0),IF(Q20&gt;0,1,))*C20/50</f>
        <v>0</v>
      </c>
      <c r="AO20" s="186">
        <f>IF(R20&gt;=AM1,MAX(ROUNDDOWN(R20/AM1,0),ROUNDUP(R20/AL3,0)),IF(R20&gt;0,1,))*C20/50*0.5</f>
        <v>0</v>
      </c>
      <c r="AP20" s="186">
        <f>IF(W20&gt;=AL1,ROUNDDOWN(W20/AL1,0),IF(W20&gt;0,1,))*C20/50</f>
        <v>0</v>
      </c>
      <c r="AQ20" s="186">
        <f>IF(X20&gt;=AM1,MAX(ROUNDDOWN(X20/AM1,0),ROUNDUP(X20/AL3,0)),IF(X20&gt;0,1,))*C20/50*0.5</f>
        <v>0</v>
      </c>
      <c r="AR20" s="186">
        <f>IF(AC20&gt;=AL1,ROUNDDOWN(AC20/AL1,0),IF(AC20&gt;0,1,))*C20/50</f>
        <v>0</v>
      </c>
      <c r="AS20" s="186">
        <f>IF(AD20&gt;=AM1,MAX(ROUNDDOWN(AD20/AM1,0),ROUNDUP(AD20/AL3,0)),IF(AD20&gt;0,1,))*C20/50*0.5</f>
        <v>0</v>
      </c>
      <c r="AT20" s="834">
        <f t="shared" si="5"/>
        <v>0</v>
      </c>
      <c r="AU20" s="834">
        <f t="shared" si="6"/>
        <v>0</v>
      </c>
      <c r="AV20" s="834">
        <f t="shared" si="7"/>
        <v>0</v>
      </c>
      <c r="AW20" s="834">
        <f t="shared" si="8"/>
        <v>0</v>
      </c>
      <c r="AX20" s="834">
        <f t="shared" si="9"/>
        <v>0</v>
      </c>
      <c r="AY20" s="834">
        <f t="shared" si="28"/>
        <v>0</v>
      </c>
      <c r="AZ20" s="834">
        <f t="shared" si="10"/>
        <v>0</v>
      </c>
      <c r="BA20" s="834">
        <f t="shared" si="11"/>
        <v>0</v>
      </c>
      <c r="BB20" s="834">
        <f t="shared" si="12"/>
        <v>0</v>
      </c>
      <c r="BC20" s="834">
        <f t="shared" si="13"/>
        <v>0</v>
      </c>
      <c r="BD20" s="835">
        <f t="shared" si="14"/>
        <v>0</v>
      </c>
      <c r="BE20" s="835">
        <f t="shared" si="14"/>
        <v>0</v>
      </c>
      <c r="BF20" s="835">
        <f t="shared" si="15"/>
        <v>0</v>
      </c>
      <c r="BG20" s="835">
        <f t="shared" si="15"/>
        <v>0</v>
      </c>
      <c r="BH20" s="835">
        <f t="shared" si="16"/>
        <v>0</v>
      </c>
      <c r="BI20" s="835">
        <f t="shared" si="16"/>
        <v>0</v>
      </c>
      <c r="BJ20" s="835">
        <f t="shared" si="17"/>
        <v>0</v>
      </c>
      <c r="BK20" s="835">
        <f t="shared" si="17"/>
        <v>0</v>
      </c>
      <c r="BL20" s="835">
        <f t="shared" si="18"/>
        <v>0</v>
      </c>
      <c r="BM20" s="835">
        <f t="shared" si="18"/>
        <v>0</v>
      </c>
      <c r="BN20" s="565">
        <f t="shared" si="29"/>
        <v>0</v>
      </c>
    </row>
    <row r="21" spans="1:66" ht="18" x14ac:dyDescent="0.25">
      <c r="A21" s="264">
        <f t="shared" si="19"/>
        <v>0</v>
      </c>
      <c r="B21" s="265">
        <f t="shared" si="0"/>
        <v>0</v>
      </c>
      <c r="C21" s="259">
        <f>ROUND((B21-A21)*24*60,1)</f>
        <v>0</v>
      </c>
      <c r="D21" s="259">
        <f>IF(A21&gt;0,"= "&amp;C21&amp;" min",)</f>
        <v>0</v>
      </c>
      <c r="E21" s="260"/>
      <c r="F21" s="261"/>
      <c r="G21" s="558">
        <f t="shared" si="21"/>
        <v>0</v>
      </c>
      <c r="H21" s="559">
        <f t="shared" si="21"/>
        <v>0</v>
      </c>
      <c r="I21" s="549">
        <f t="shared" si="22"/>
        <v>0</v>
      </c>
      <c r="J21" s="262"/>
      <c r="K21" s="260"/>
      <c r="L21" s="261"/>
      <c r="M21" s="558">
        <f t="shared" si="2"/>
        <v>0</v>
      </c>
      <c r="N21" s="559">
        <f t="shared" si="2"/>
        <v>0</v>
      </c>
      <c r="O21" s="549">
        <f t="shared" si="23"/>
        <v>0</v>
      </c>
      <c r="P21" s="263"/>
      <c r="Q21" s="260"/>
      <c r="R21" s="261"/>
      <c r="S21" s="558">
        <f t="shared" si="3"/>
        <v>0</v>
      </c>
      <c r="T21" s="559">
        <f t="shared" si="3"/>
        <v>0</v>
      </c>
      <c r="U21" s="549">
        <f t="shared" si="24"/>
        <v>0</v>
      </c>
      <c r="V21" s="263"/>
      <c r="W21" s="260"/>
      <c r="X21" s="261"/>
      <c r="Y21" s="558">
        <f t="shared" si="4"/>
        <v>0</v>
      </c>
      <c r="Z21" s="559">
        <f t="shared" si="4"/>
        <v>0</v>
      </c>
      <c r="AA21" s="549">
        <f t="shared" si="25"/>
        <v>0</v>
      </c>
      <c r="AB21" s="263"/>
      <c r="AC21" s="260"/>
      <c r="AD21" s="261"/>
      <c r="AE21" s="558">
        <f t="shared" si="26"/>
        <v>0</v>
      </c>
      <c r="AF21" s="559">
        <f t="shared" si="26"/>
        <v>0</v>
      </c>
      <c r="AG21" s="549">
        <f t="shared" si="27"/>
        <v>0</v>
      </c>
      <c r="AH21" s="263"/>
      <c r="AJ21" s="186">
        <f>IF(E21&gt;=AL1,ROUNDDOWN(E21/AL1,0),IF(E21&gt;0,1,))*C21/50</f>
        <v>0</v>
      </c>
      <c r="AK21" s="186">
        <f>IF(F21&gt;=AM1,MAX(ROUNDDOWN(F21/AM1,0),ROUNDUP(F21/AL3,0)),IF(F21&gt;0,1,))*C21/50*0.5</f>
        <v>0</v>
      </c>
      <c r="AL21" s="186">
        <f>IF(K21&gt;=AL1,ROUNDDOWN(K21/AL1,0),IF(K21&gt;0,1,))*C21/50</f>
        <v>0</v>
      </c>
      <c r="AM21" s="186">
        <f>IF(L21&gt;=AM1,MAX(ROUNDDOWN(L21/AM1,0),ROUNDUP(L21/AL3,0)),IF(L21&gt;0,1,))*C21/50*0.5</f>
        <v>0</v>
      </c>
      <c r="AN21" s="186">
        <f>IF(Q21&gt;=AL1,ROUNDDOWN(Q21/AL1,0),IF(Q21&gt;0,1,))*C21/50</f>
        <v>0</v>
      </c>
      <c r="AO21" s="186">
        <f>IF(R21&gt;=AM1,MAX(ROUNDDOWN(R21/AM1,0),ROUNDUP(R21/AL3,0)),IF(R21&gt;0,1,))*C21/50*0.5</f>
        <v>0</v>
      </c>
      <c r="AP21" s="186">
        <f>IF(W21&gt;=AL1,ROUNDDOWN(W21/AL1,0),IF(W21&gt;0,1,))*C21/50</f>
        <v>0</v>
      </c>
      <c r="AQ21" s="186">
        <f>IF(X21&gt;=AM1,MAX(ROUNDDOWN(X21/AM1,0),ROUNDUP(X21/AL3,0)),IF(X21&gt;0,1,))*C21/50*0.5</f>
        <v>0</v>
      </c>
      <c r="AR21" s="186">
        <f>IF(AC21&gt;=AL1,ROUNDDOWN(AC21/AL1,0),IF(AC21&gt;0,1,))*C21/50</f>
        <v>0</v>
      </c>
      <c r="AS21" s="186">
        <f>IF(AD21&gt;=AM1,MAX(ROUNDDOWN(AD21/AM1,0),ROUNDUP(AD21/AL3,0)),IF(AD21&gt;0,1,))*C21/50*0.5</f>
        <v>0</v>
      </c>
      <c r="AT21" s="834">
        <f t="shared" si="5"/>
        <v>0</v>
      </c>
      <c r="AU21" s="834">
        <f t="shared" si="6"/>
        <v>0</v>
      </c>
      <c r="AV21" s="834">
        <f t="shared" si="7"/>
        <v>0</v>
      </c>
      <c r="AW21" s="834">
        <f t="shared" si="8"/>
        <v>0</v>
      </c>
      <c r="AX21" s="834">
        <f t="shared" si="9"/>
        <v>0</v>
      </c>
      <c r="AY21" s="834">
        <f t="shared" si="28"/>
        <v>0</v>
      </c>
      <c r="AZ21" s="834">
        <f t="shared" si="10"/>
        <v>0</v>
      </c>
      <c r="BA21" s="834">
        <f t="shared" si="11"/>
        <v>0</v>
      </c>
      <c r="BB21" s="834">
        <f t="shared" si="12"/>
        <v>0</v>
      </c>
      <c r="BC21" s="834">
        <f t="shared" si="13"/>
        <v>0</v>
      </c>
      <c r="BD21" s="835">
        <f t="shared" si="14"/>
        <v>0</v>
      </c>
      <c r="BE21" s="835">
        <f t="shared" si="14"/>
        <v>0</v>
      </c>
      <c r="BF21" s="835">
        <f t="shared" si="15"/>
        <v>0</v>
      </c>
      <c r="BG21" s="835">
        <f t="shared" si="15"/>
        <v>0</v>
      </c>
      <c r="BH21" s="835">
        <f t="shared" si="16"/>
        <v>0</v>
      </c>
      <c r="BI21" s="835">
        <f t="shared" si="16"/>
        <v>0</v>
      </c>
      <c r="BJ21" s="835">
        <f t="shared" si="17"/>
        <v>0</v>
      </c>
      <c r="BK21" s="835">
        <f t="shared" si="17"/>
        <v>0</v>
      </c>
      <c r="BL21" s="835">
        <f t="shared" si="18"/>
        <v>0</v>
      </c>
      <c r="BM21" s="835">
        <f t="shared" si="18"/>
        <v>0</v>
      </c>
      <c r="BN21" s="565">
        <f t="shared" si="29"/>
        <v>0</v>
      </c>
    </row>
    <row r="22" spans="1:66" ht="18" x14ac:dyDescent="0.25">
      <c r="A22" s="264">
        <f t="shared" si="19"/>
        <v>0</v>
      </c>
      <c r="B22" s="265">
        <f t="shared" si="0"/>
        <v>0</v>
      </c>
      <c r="C22" s="259">
        <f t="shared" si="20"/>
        <v>0</v>
      </c>
      <c r="D22" s="259">
        <f t="shared" si="1"/>
        <v>0</v>
      </c>
      <c r="E22" s="260"/>
      <c r="F22" s="261"/>
      <c r="G22" s="558">
        <f t="shared" si="21"/>
        <v>0</v>
      </c>
      <c r="H22" s="559">
        <f t="shared" si="21"/>
        <v>0</v>
      </c>
      <c r="I22" s="549">
        <f t="shared" si="22"/>
        <v>0</v>
      </c>
      <c r="J22" s="262"/>
      <c r="K22" s="260"/>
      <c r="L22" s="261"/>
      <c r="M22" s="558">
        <f t="shared" si="2"/>
        <v>0</v>
      </c>
      <c r="N22" s="559">
        <f t="shared" si="2"/>
        <v>0</v>
      </c>
      <c r="O22" s="549">
        <f t="shared" si="23"/>
        <v>0</v>
      </c>
      <c r="P22" s="263"/>
      <c r="Q22" s="260"/>
      <c r="R22" s="261"/>
      <c r="S22" s="558">
        <f t="shared" si="3"/>
        <v>0</v>
      </c>
      <c r="T22" s="559">
        <f t="shared" si="3"/>
        <v>0</v>
      </c>
      <c r="U22" s="549">
        <f t="shared" si="24"/>
        <v>0</v>
      </c>
      <c r="V22" s="263"/>
      <c r="W22" s="260"/>
      <c r="X22" s="261"/>
      <c r="Y22" s="558">
        <f t="shared" si="4"/>
        <v>0</v>
      </c>
      <c r="Z22" s="559">
        <f t="shared" si="4"/>
        <v>0</v>
      </c>
      <c r="AA22" s="549">
        <f t="shared" si="25"/>
        <v>0</v>
      </c>
      <c r="AB22" s="263"/>
      <c r="AC22" s="260"/>
      <c r="AD22" s="261"/>
      <c r="AE22" s="558">
        <f t="shared" si="26"/>
        <v>0</v>
      </c>
      <c r="AF22" s="559">
        <f t="shared" si="26"/>
        <v>0</v>
      </c>
      <c r="AG22" s="549">
        <f t="shared" si="27"/>
        <v>0</v>
      </c>
      <c r="AH22" s="263"/>
      <c r="AJ22" s="186">
        <f>IF(E22&gt;=AL1,ROUNDDOWN(E22/AL1,0),IF(E22&gt;0,1,))*C22/50</f>
        <v>0</v>
      </c>
      <c r="AK22" s="186">
        <f>IF(F22&gt;=AM1,MAX(ROUNDDOWN(F22/AM1,0),ROUNDUP(F22/AL3,0)),IF(F22&gt;0,1,))*C22/50*0.5</f>
        <v>0</v>
      </c>
      <c r="AL22" s="186">
        <f>IF(K22&gt;=AL1,ROUNDDOWN(K22/AL1,0),IF(K22&gt;0,1,))*C22/50</f>
        <v>0</v>
      </c>
      <c r="AM22" s="186">
        <f>IF(L22&gt;=AM1,MAX(ROUNDDOWN(L22/AM1,0),ROUNDUP(L22/AL3,0)),IF(L22&gt;0,1,))*C22/50*0.5</f>
        <v>0</v>
      </c>
      <c r="AN22" s="186">
        <f>IF(Q22&gt;=AL1,ROUNDDOWN(Q22/AL1,0),IF(Q22&gt;0,1,))*C22/50</f>
        <v>0</v>
      </c>
      <c r="AO22" s="186">
        <f>IF(R22&gt;=AM1,MAX(ROUNDDOWN(R22/AM1,0),ROUNDUP(R22/AL3,0)),IF(R22&gt;0,1,))*C22/50*0.5</f>
        <v>0</v>
      </c>
      <c r="AP22" s="186">
        <f>IF(W22&gt;=AL1,ROUNDDOWN(W22/AL1,0),IF(W22&gt;0,1,))*C22/50</f>
        <v>0</v>
      </c>
      <c r="AQ22" s="186">
        <f>IF(X22&gt;=AM1,MAX(ROUNDDOWN(X22/AM1,0),ROUNDUP(X22/AL3,0)),IF(X22&gt;0,1,))*C22/50*0.5</f>
        <v>0</v>
      </c>
      <c r="AR22" s="186">
        <f>IF(AC22&gt;=AL1,ROUNDDOWN(AC22/AL1,0),IF(AC22&gt;0,1,))*C22/50</f>
        <v>0</v>
      </c>
      <c r="AS22" s="186">
        <f>IF(AD22&gt;=AM1,MAX(ROUNDDOWN(AD22/AM1,0),ROUNDUP(AD22/AL3,0)),IF(AD22&gt;0,1,))*C22/50*0.5</f>
        <v>0</v>
      </c>
      <c r="AT22" s="834">
        <f t="shared" si="5"/>
        <v>0</v>
      </c>
      <c r="AU22" s="834">
        <f t="shared" si="6"/>
        <v>0</v>
      </c>
      <c r="AV22" s="834">
        <f t="shared" si="7"/>
        <v>0</v>
      </c>
      <c r="AW22" s="834">
        <f t="shared" si="8"/>
        <v>0</v>
      </c>
      <c r="AX22" s="834">
        <f t="shared" si="9"/>
        <v>0</v>
      </c>
      <c r="AY22" s="834">
        <f>IF(R22&gt;=$AM$1,ROUNDDOWN(R22/$AM$1,0),IF(R22&gt;0,1,))</f>
        <v>0</v>
      </c>
      <c r="AZ22" s="834">
        <f t="shared" si="10"/>
        <v>0</v>
      </c>
      <c r="BA22" s="834">
        <f t="shared" si="11"/>
        <v>0</v>
      </c>
      <c r="BB22" s="834">
        <f t="shared" si="12"/>
        <v>0</v>
      </c>
      <c r="BC22" s="834">
        <f t="shared" si="13"/>
        <v>0</v>
      </c>
      <c r="BD22" s="835">
        <f t="shared" si="14"/>
        <v>0</v>
      </c>
      <c r="BE22" s="835">
        <f t="shared" si="14"/>
        <v>0</v>
      </c>
      <c r="BF22" s="835">
        <f t="shared" si="15"/>
        <v>0</v>
      </c>
      <c r="BG22" s="835">
        <f t="shared" si="15"/>
        <v>0</v>
      </c>
      <c r="BH22" s="835">
        <f t="shared" si="16"/>
        <v>0</v>
      </c>
      <c r="BI22" s="835">
        <f t="shared" si="16"/>
        <v>0</v>
      </c>
      <c r="BJ22" s="835">
        <f t="shared" si="17"/>
        <v>0</v>
      </c>
      <c r="BK22" s="835">
        <f t="shared" si="17"/>
        <v>0</v>
      </c>
      <c r="BL22" s="835">
        <f t="shared" si="18"/>
        <v>0</v>
      </c>
      <c r="BM22" s="835">
        <f t="shared" si="18"/>
        <v>0</v>
      </c>
      <c r="BN22" s="565">
        <f t="shared" si="29"/>
        <v>0</v>
      </c>
    </row>
    <row r="23" spans="1:66" ht="18" x14ac:dyDescent="0.25">
      <c r="A23" s="266">
        <f t="shared" si="19"/>
        <v>0</v>
      </c>
      <c r="B23" s="267">
        <f t="shared" si="0"/>
        <v>0</v>
      </c>
      <c r="C23" s="259">
        <f t="shared" si="20"/>
        <v>0</v>
      </c>
      <c r="D23" s="259">
        <f t="shared" si="1"/>
        <v>0</v>
      </c>
      <c r="E23" s="531"/>
      <c r="F23" s="532"/>
      <c r="G23" s="560">
        <f t="shared" si="21"/>
        <v>0</v>
      </c>
      <c r="H23" s="561">
        <f t="shared" si="21"/>
        <v>0</v>
      </c>
      <c r="I23" s="550">
        <f t="shared" si="22"/>
        <v>0</v>
      </c>
      <c r="J23" s="262"/>
      <c r="K23" s="531"/>
      <c r="L23" s="532"/>
      <c r="M23" s="560">
        <f t="shared" si="2"/>
        <v>0</v>
      </c>
      <c r="N23" s="561">
        <f t="shared" si="2"/>
        <v>0</v>
      </c>
      <c r="O23" s="550">
        <f t="shared" si="23"/>
        <v>0</v>
      </c>
      <c r="P23" s="263"/>
      <c r="Q23" s="531"/>
      <c r="R23" s="532"/>
      <c r="S23" s="560">
        <f t="shared" si="3"/>
        <v>0</v>
      </c>
      <c r="T23" s="561">
        <f t="shared" si="3"/>
        <v>0</v>
      </c>
      <c r="U23" s="550">
        <f t="shared" si="24"/>
        <v>0</v>
      </c>
      <c r="V23" s="263"/>
      <c r="W23" s="531"/>
      <c r="X23" s="532"/>
      <c r="Y23" s="560">
        <f t="shared" si="4"/>
        <v>0</v>
      </c>
      <c r="Z23" s="561">
        <f t="shared" si="4"/>
        <v>0</v>
      </c>
      <c r="AA23" s="550">
        <f t="shared" si="25"/>
        <v>0</v>
      </c>
      <c r="AB23" s="263"/>
      <c r="AC23" s="531"/>
      <c r="AD23" s="532"/>
      <c r="AE23" s="560">
        <f t="shared" si="26"/>
        <v>0</v>
      </c>
      <c r="AF23" s="561">
        <f t="shared" si="26"/>
        <v>0</v>
      </c>
      <c r="AG23" s="550">
        <f t="shared" si="27"/>
        <v>0</v>
      </c>
      <c r="AH23" s="263"/>
      <c r="AJ23" s="186">
        <f>IF(E23&gt;=AL1,ROUNDDOWN(E23/AL1,0),IF(E23&gt;0,1,))*C23/50</f>
        <v>0</v>
      </c>
      <c r="AK23" s="186">
        <f>IF(F23&gt;=AM1,MAX(ROUNDDOWN(F23/AM1,0),ROUNDUP(F23/AL3,0)),IF(F23&gt;0,1,))*C23/50*0.5</f>
        <v>0</v>
      </c>
      <c r="AL23" s="186">
        <f>IF(K23&gt;=AL1,ROUNDDOWN(K23/AL1,0),IF(K23&gt;0,1,))*C23/50</f>
        <v>0</v>
      </c>
      <c r="AM23" s="186">
        <f>IF(L23&gt;=AM1,MAX(ROUNDDOWN(L23/AM1,0),ROUNDUP(L23/AL3,0)),IF(L23&gt;0,1,))*C23/50*0.5</f>
        <v>0</v>
      </c>
      <c r="AN23" s="186">
        <f>IF(Q23&gt;=AL1,ROUNDDOWN(Q23/AL1,0),IF(Q23&gt;0,1,))*C23/50</f>
        <v>0</v>
      </c>
      <c r="AO23" s="186">
        <f>IF(R23&gt;=AM1,MAX(ROUNDDOWN(R23/AM1,0),ROUNDUP(R23/AL3,0)),IF(R23&gt;0,1,))*C23/50*0.5</f>
        <v>0</v>
      </c>
      <c r="AP23" s="186">
        <f>IF(W23&gt;=AL1,ROUNDDOWN(W23/AL1,0),IF(W23&gt;0,1,))*C23/50</f>
        <v>0</v>
      </c>
      <c r="AQ23" s="186">
        <f>IF(X23&gt;=AM1,MAX(ROUNDDOWN(X23/AM1,0),ROUNDUP(X23/AL3,0)),IF(X23&gt;0,1,))*C23/50*0.5</f>
        <v>0</v>
      </c>
      <c r="AR23" s="186">
        <f>IF(AC23&gt;=AL1,ROUNDDOWN(AC23/AL1,0),IF(AC23&gt;0,1,))*C23/50</f>
        <v>0</v>
      </c>
      <c r="AS23" s="186">
        <f>IF(AD23&gt;=AM1,MAX(ROUNDDOWN(AD23/AM1,0),ROUNDUP(AD23/AL3,0)),IF(AD23&gt;0,1,))*C23/50*0.5</f>
        <v>0</v>
      </c>
      <c r="AT23" s="834">
        <f t="shared" si="5"/>
        <v>0</v>
      </c>
      <c r="AU23" s="834">
        <f t="shared" si="6"/>
        <v>0</v>
      </c>
      <c r="AV23" s="834">
        <f t="shared" si="7"/>
        <v>0</v>
      </c>
      <c r="AW23" s="834">
        <f t="shared" si="8"/>
        <v>0</v>
      </c>
      <c r="AX23" s="834">
        <f t="shared" si="9"/>
        <v>0</v>
      </c>
      <c r="AY23" s="834">
        <f>IF(R23&gt;=$AM$1,ROUNDDOWN(R23/$AM$1,0),IF(R23&gt;0,1,))</f>
        <v>0</v>
      </c>
      <c r="AZ23" s="834">
        <f t="shared" si="10"/>
        <v>0</v>
      </c>
      <c r="BA23" s="834">
        <f t="shared" si="11"/>
        <v>0</v>
      </c>
      <c r="BB23" s="834">
        <f t="shared" si="12"/>
        <v>0</v>
      </c>
      <c r="BC23" s="834">
        <f t="shared" si="13"/>
        <v>0</v>
      </c>
      <c r="BD23" s="835">
        <f t="shared" si="14"/>
        <v>0</v>
      </c>
      <c r="BE23" s="835">
        <f t="shared" si="14"/>
        <v>0</v>
      </c>
      <c r="BF23" s="835">
        <f t="shared" si="15"/>
        <v>0</v>
      </c>
      <c r="BG23" s="835">
        <f t="shared" si="15"/>
        <v>0</v>
      </c>
      <c r="BH23" s="835">
        <f t="shared" si="16"/>
        <v>0</v>
      </c>
      <c r="BI23" s="835">
        <f t="shared" si="16"/>
        <v>0</v>
      </c>
      <c r="BJ23" s="835">
        <f t="shared" si="17"/>
        <v>0</v>
      </c>
      <c r="BK23" s="835">
        <f t="shared" si="17"/>
        <v>0</v>
      </c>
      <c r="BL23" s="835">
        <f t="shared" si="18"/>
        <v>0</v>
      </c>
      <c r="BM23" s="835">
        <f t="shared" si="18"/>
        <v>0</v>
      </c>
      <c r="BN23" s="565">
        <f t="shared" si="29"/>
        <v>0</v>
      </c>
    </row>
    <row r="24" spans="1:66" customFormat="1" ht="29.25" customHeight="1" x14ac:dyDescent="0.25">
      <c r="A24" s="909"/>
      <c r="B24" s="909"/>
      <c r="C24" s="914"/>
      <c r="D24" s="914"/>
      <c r="E24" s="909"/>
      <c r="F24" s="909"/>
      <c r="G24" s="908">
        <f>IF(SUM(G14:H23,Konti_VS!F100)=0,,"GTS-Mo
"&amp;SUM(G14:H23,Konti_VS!F100)&amp;" Gruppen")</f>
        <v>0</v>
      </c>
      <c r="H24" s="908"/>
      <c r="I24" s="825"/>
      <c r="J24" s="6"/>
      <c r="K24" s="909"/>
      <c r="L24" s="909"/>
      <c r="M24" s="908">
        <f>IF(SUM(M14:N23,Konti_VS!F102)=0,,"GTS-Di
"&amp;SUM(M14:N23,Konti_VS!F102)&amp;" Gruppen")</f>
        <v>0</v>
      </c>
      <c r="N24" s="908"/>
      <c r="O24" s="825"/>
      <c r="P24" s="6"/>
      <c r="Q24" s="909"/>
      <c r="R24" s="909"/>
      <c r="S24" s="908">
        <f>IF(SUM(S14:T23,Konti_VS!F104)=0,,"GTS-Mi
"&amp;SUM(S14:T23,Konti_VS!F104)&amp;" Gruppen")</f>
        <v>0</v>
      </c>
      <c r="T24" s="908"/>
      <c r="U24" s="825"/>
      <c r="V24" s="6"/>
      <c r="W24" s="909"/>
      <c r="X24" s="909"/>
      <c r="Y24" s="908">
        <f>IF(SUM(Y14:Z23,Konti_VS!F106)=0,,"GTS-Do
"&amp;SUM(Y14:Z23,Konti_VS!F106)&amp;" Gruppen")</f>
        <v>0</v>
      </c>
      <c r="Z24" s="908"/>
      <c r="AA24" s="825"/>
      <c r="AB24" s="6"/>
      <c r="AC24" s="909"/>
      <c r="AD24" s="909"/>
      <c r="AE24" s="908">
        <f>IF(SUM(AE14:AF23,Konti_VS!F108)=0,,"GTS-Fr
"&amp;SUM(AE14:AF23,Konti_VS!F108)&amp;" Gruppen")</f>
        <v>0</v>
      </c>
      <c r="AF24" s="908"/>
      <c r="AG24" s="825"/>
    </row>
    <row r="25" spans="1:66" x14ac:dyDescent="0.25">
      <c r="A25" s="910"/>
      <c r="B25" s="910"/>
      <c r="C25" s="910"/>
      <c r="D25" s="910"/>
      <c r="E25" s="826">
        <f>SUM(E14:E23)</f>
        <v>0</v>
      </c>
      <c r="F25" s="827">
        <f>SUM(F14:F23)</f>
        <v>0</v>
      </c>
      <c r="G25" s="827">
        <f>SUM(G14:G23)</f>
        <v>0</v>
      </c>
      <c r="H25" s="827">
        <f>SUM(H14:H23)</f>
        <v>0</v>
      </c>
      <c r="I25" s="827">
        <f>SUM(I14:I23)</f>
        <v>0</v>
      </c>
      <c r="J25" s="827"/>
      <c r="K25" s="827">
        <f>SUM(K14:K23)</f>
        <v>0</v>
      </c>
      <c r="L25" s="827">
        <f>SUM(L14:L23)</f>
        <v>0</v>
      </c>
      <c r="M25" s="827">
        <f>SUM(M14:M23)</f>
        <v>0</v>
      </c>
      <c r="N25" s="827">
        <f>SUM(N14:N23)</f>
        <v>0</v>
      </c>
      <c r="O25" s="827">
        <f>SUM(O14:O23)</f>
        <v>0</v>
      </c>
      <c r="P25" s="827"/>
      <c r="Q25" s="827">
        <f>SUM(Q14:Q23)</f>
        <v>0</v>
      </c>
      <c r="R25" s="827">
        <f>SUM(R14:R23)</f>
        <v>0</v>
      </c>
      <c r="S25" s="827">
        <f>SUM(S14:S23)</f>
        <v>0</v>
      </c>
      <c r="T25" s="827">
        <f>SUM(T14:T23)</f>
        <v>0</v>
      </c>
      <c r="U25" s="827">
        <f>SUM(U14:U23)</f>
        <v>0</v>
      </c>
      <c r="V25" s="827"/>
      <c r="W25" s="827">
        <f>SUM(W14:W23)</f>
        <v>0</v>
      </c>
      <c r="X25" s="827">
        <f>SUM(X14:X23)</f>
        <v>0</v>
      </c>
      <c r="Y25" s="827">
        <f>SUM(Y14:Y23)</f>
        <v>0</v>
      </c>
      <c r="Z25" s="827">
        <f>SUM(Z14:Z23)</f>
        <v>0</v>
      </c>
      <c r="AA25" s="827">
        <f>SUM(AA14:AA23)</f>
        <v>0</v>
      </c>
      <c r="AB25" s="827"/>
      <c r="AC25" s="827">
        <f>SUM(AC14:AC23)</f>
        <v>0</v>
      </c>
      <c r="AD25" s="827">
        <f>SUM(AD14:AD23)</f>
        <v>0</v>
      </c>
      <c r="AE25" s="827">
        <f>SUM(AE14:AE23)</f>
        <v>0</v>
      </c>
      <c r="AF25" s="536">
        <f>SUM(AF14:AF23)</f>
        <v>0</v>
      </c>
      <c r="AG25" s="536">
        <f>SUM(AG14:AG23)</f>
        <v>0</v>
      </c>
      <c r="AH25" s="538"/>
      <c r="AI25" s="187"/>
      <c r="AJ25" s="188">
        <f>E25+K25+Q25+W25+AC25</f>
        <v>0</v>
      </c>
      <c r="AK25" s="188">
        <f>F25+L25+R25+X25+AD25</f>
        <v>0</v>
      </c>
      <c r="AL25" s="189">
        <f>I25+O25+U25+AA25+AG25</f>
        <v>0</v>
      </c>
      <c r="AM25" s="189">
        <f>H25+N25+T25+Z25+AF25</f>
        <v>0</v>
      </c>
      <c r="AN25" s="189">
        <f>AL25+AM25</f>
        <v>0</v>
      </c>
      <c r="AO25" s="189">
        <f>ROUND(IF(AN25&gt;AN7,AN7,AN25),2)</f>
        <v>0</v>
      </c>
      <c r="AP25" s="190">
        <f>IF(AL25&gt;AO25,AO25,AL25)</f>
        <v>0</v>
      </c>
      <c r="AQ25" s="191">
        <f>AO25-AP25</f>
        <v>0</v>
      </c>
      <c r="AT25" s="836">
        <f>SUM(AT14:AT22,AV14:AV22,AX14:AX22,AZ14:AZ22,BB14:BB22)</f>
        <v>0</v>
      </c>
      <c r="AU25" s="836" t="s">
        <v>765</v>
      </c>
      <c r="AV25" s="834"/>
      <c r="AW25" s="837"/>
      <c r="AX25" s="837"/>
      <c r="AY25" s="837"/>
      <c r="AZ25" s="837"/>
      <c r="BA25" s="837"/>
      <c r="BB25" s="837"/>
      <c r="BC25" s="837"/>
      <c r="BD25" s="835">
        <f>SUM(BD14:BD23)</f>
        <v>0</v>
      </c>
      <c r="BE25" s="835">
        <f t="shared" ref="BE25:BM25" si="30">SUM(BE14:BE23)</f>
        <v>0</v>
      </c>
      <c r="BF25" s="835">
        <f t="shared" si="30"/>
        <v>0</v>
      </c>
      <c r="BG25" s="835">
        <f t="shared" si="30"/>
        <v>0</v>
      </c>
      <c r="BH25" s="835">
        <f t="shared" si="30"/>
        <v>0</v>
      </c>
      <c r="BI25" s="835">
        <f t="shared" si="30"/>
        <v>0</v>
      </c>
      <c r="BJ25" s="835">
        <f t="shared" si="30"/>
        <v>0</v>
      </c>
      <c r="BK25" s="835">
        <f t="shared" si="30"/>
        <v>0</v>
      </c>
      <c r="BL25" s="835">
        <f t="shared" si="30"/>
        <v>0</v>
      </c>
      <c r="BM25" s="835">
        <f t="shared" si="30"/>
        <v>0</v>
      </c>
      <c r="BN25" s="565">
        <f>SUM(BN14:BN23)</f>
        <v>0</v>
      </c>
    </row>
    <row r="26" spans="1:66" ht="10.5" customHeight="1" x14ac:dyDescent="0.3">
      <c r="A26" s="910"/>
      <c r="B26" s="910"/>
      <c r="C26" s="910"/>
      <c r="D26" s="910"/>
      <c r="E26" s="539"/>
      <c r="F26" s="541">
        <f>E25+F25</f>
        <v>0</v>
      </c>
      <c r="G26" s="541">
        <f>AJ29+AK29*2</f>
        <v>0</v>
      </c>
      <c r="H26" s="541"/>
      <c r="I26" s="541"/>
      <c r="J26" s="542"/>
      <c r="K26" s="540"/>
      <c r="L26" s="541">
        <f>K25+L25</f>
        <v>0</v>
      </c>
      <c r="M26" s="541">
        <f>AL29+AM29*2</f>
        <v>0</v>
      </c>
      <c r="N26" s="540"/>
      <c r="O26" s="540"/>
      <c r="P26" s="541"/>
      <c r="Q26" s="540"/>
      <c r="R26" s="541">
        <f>Q25+R25</f>
        <v>0</v>
      </c>
      <c r="S26" s="541">
        <f>AN29+AO29*2</f>
        <v>0</v>
      </c>
      <c r="T26" s="540"/>
      <c r="U26" s="540"/>
      <c r="V26" s="541"/>
      <c r="W26" s="540"/>
      <c r="X26" s="541">
        <f>W25+X25</f>
        <v>0</v>
      </c>
      <c r="Y26" s="541">
        <f>AP29+AQ29*2</f>
        <v>0</v>
      </c>
      <c r="Z26" s="540"/>
      <c r="AA26" s="540"/>
      <c r="AB26" s="541"/>
      <c r="AC26" s="540"/>
      <c r="AD26" s="541">
        <f>AC25+AD25</f>
        <v>0</v>
      </c>
      <c r="AE26" s="541">
        <f>AR29+AS29*2</f>
        <v>0</v>
      </c>
      <c r="AF26" s="540"/>
      <c r="AG26" s="540"/>
      <c r="AH26" s="541"/>
      <c r="AI26" s="828"/>
      <c r="AJ26" s="828"/>
      <c r="AK26" s="192">
        <f>F26+L26+R26+X26+AD26</f>
        <v>0</v>
      </c>
      <c r="AL26" s="192">
        <f>G26+M26+S26+Y26+AE26</f>
        <v>0</v>
      </c>
      <c r="AM26" s="828"/>
      <c r="AN26" s="828"/>
      <c r="AO26" s="828"/>
      <c r="AP26" s="828"/>
      <c r="AQ26" s="193" t="s">
        <v>504</v>
      </c>
      <c r="AR26" s="828"/>
      <c r="AS26" s="828"/>
      <c r="AT26" s="836">
        <f>SUM(AU14:AU22,AW14:AW22,AY14:AY22,BA14:BA22,BC14:BC22)</f>
        <v>0</v>
      </c>
      <c r="AU26" s="836" t="s">
        <v>766</v>
      </c>
      <c r="BD26" s="835">
        <f>SUM(BD14:BD22,BF14:BF22,BH14:BH22,BJ14:BJ22,BL14:BL22)</f>
        <v>0</v>
      </c>
      <c r="BE26" s="835" t="s">
        <v>761</v>
      </c>
    </row>
    <row r="27" spans="1:66" ht="36.75" customHeight="1" x14ac:dyDescent="0.55000000000000004">
      <c r="A27" s="543">
        <f>IF(AN25&gt;AO25,AN25,)</f>
        <v>0</v>
      </c>
      <c r="B27" s="539"/>
      <c r="C27" s="539"/>
      <c r="D27" s="544"/>
      <c r="E27" s="539"/>
      <c r="F27" s="539"/>
      <c r="G27" s="539"/>
      <c r="H27" s="539"/>
      <c r="I27" s="539"/>
      <c r="J27" s="539"/>
      <c r="K27" s="535">
        <f>IF(AK26&gt;0,"Zusammengezählt werden "&amp;AK26&amp;" Schüler in  "&amp;AL26&amp;" Gruppen geführt  ",)</f>
        <v>0</v>
      </c>
      <c r="L27" s="545">
        <f>IF(AN25&gt;0,"&gt;="&amp;ROUND(AQ45/2,1),)</f>
        <v>0</v>
      </c>
      <c r="M27" s="546"/>
      <c r="N27" s="911">
        <f>IF(BN25=1,BN25&amp;" Einheit dauert unter "&amp;BN12&amp;" Minuten!
 Rücksprache mit Präs/3 halten!",IF(BN25&gt;1,BN25&amp;" Einheiten dauern unter "&amp;BN12&amp;" Minuten!
 Rücksprache mit Präs/3 halten!",))</f>
        <v>0</v>
      </c>
      <c r="O27" s="911"/>
      <c r="P27" s="911"/>
      <c r="Q27" s="911"/>
      <c r="R27" s="912"/>
      <c r="S27" s="913" t="str">
        <f>IF(OR(AK26&gt;0,H31&gt;0),"… über 5 Wochentage im Durch-  
  schnitt mit "&amp;BD30&amp;" Gruppen",)&amp;IF(H31&gt;0,"
davon "&amp;H31&amp;" in verschr. Klassen",)</f>
        <v/>
      </c>
      <c r="T27" s="913"/>
      <c r="U27" s="913"/>
      <c r="V27" s="913"/>
      <c r="W27" s="913"/>
      <c r="X27" s="913"/>
      <c r="Y27" s="828"/>
      <c r="Z27" s="828"/>
      <c r="AA27" s="828"/>
      <c r="AB27" s="828"/>
      <c r="AC27" s="828"/>
      <c r="AD27" s="828"/>
      <c r="AE27" s="828"/>
      <c r="AF27" s="535">
        <f>IF(A28&gt;0,"bei max. "&amp;AI27&amp;" LZGrup",)</f>
        <v>0</v>
      </c>
      <c r="AG27" s="535"/>
      <c r="AH27" s="828"/>
      <c r="AI27" s="495">
        <f>MAX(MAX(AJ31:AJ40,AL31:AL40,AN31:AN40,AP31:AP40,AR31:AR40),MAX(AK31:AK40,AM31:AM40,AO31:AO40,AQ31:AQ40,AS31:AS40)*2)</f>
        <v>0</v>
      </c>
      <c r="AJ27" s="828"/>
      <c r="AK27" s="194">
        <f>IF(AK26&gt;0,ROUND(AK26/AL26,1),)</f>
        <v>0</v>
      </c>
      <c r="AL27" s="195">
        <f>SUM(AJ28:AS28)</f>
        <v>0</v>
      </c>
      <c r="AM27" s="828"/>
      <c r="AN27" s="828"/>
      <c r="AO27" s="196">
        <f>IF(D41&gt;0,AI42+H31,)</f>
        <v>0</v>
      </c>
      <c r="AP27" s="197">
        <f>ROUND(AO27,0)</f>
        <v>0</v>
      </c>
      <c r="AQ27" s="193">
        <f>INT(AP27/2)</f>
        <v>0</v>
      </c>
      <c r="AR27" s="198">
        <f>ROUNDUP(AP27/2,0)</f>
        <v>0</v>
      </c>
      <c r="AS27" s="828"/>
      <c r="BD27" s="835">
        <f>SUM(BE14:BE22,BG14:BG22,BI14:BI22,BK14:BK22,BM14:BM22)</f>
        <v>0</v>
      </c>
      <c r="BE27" s="835" t="s">
        <v>762</v>
      </c>
    </row>
    <row r="28" spans="1:66" ht="18.75" x14ac:dyDescent="0.3">
      <c r="A28" s="915">
        <f>IF(SUM(I25,O25,U25,AA25,AG25)&lt;AO25,SUM(I25,O25,U25,AA25,AG25),AO25)</f>
        <v>0</v>
      </c>
      <c r="B28" s="915"/>
      <c r="C28" s="828"/>
      <c r="D28" s="552">
        <f>IF(AND(AK26&gt;0,AM25&gt;0),"  (umgerechnete) Wochenstden sind somit tatsächlich über die Lehrerbesoldung bei pr3 verrechenbar.",IF(AK26&gt;0,"  Wochenstunden sind somit tatsächlich über die Lehrerbesoldung bei pr3 verrechenbar.",))</f>
        <v>0</v>
      </c>
      <c r="E28" s="276"/>
      <c r="F28" s="828"/>
      <c r="G28" s="828"/>
      <c r="H28" s="828"/>
      <c r="I28" s="828"/>
      <c r="J28" s="828"/>
      <c r="K28" s="828"/>
      <c r="L28" s="828"/>
      <c r="M28" s="828"/>
      <c r="N28" s="828"/>
      <c r="O28" s="828"/>
      <c r="P28" s="828"/>
      <c r="Q28" s="828"/>
      <c r="R28" s="552"/>
      <c r="S28" s="555">
        <f>IF(AN25&gt;0,"Davon "&amp;AM25&amp;" ILZ ",)</f>
        <v>0</v>
      </c>
      <c r="X28" s="828"/>
      <c r="Y28" s="828"/>
      <c r="Z28" s="828"/>
      <c r="AA28" s="828"/>
      <c r="AB28" s="828"/>
      <c r="AC28" s="828"/>
      <c r="AD28" s="200">
        <f ca="1">TODAY()</f>
        <v>45364</v>
      </c>
      <c r="AE28" s="201"/>
      <c r="AF28" s="201"/>
      <c r="AG28" s="201"/>
      <c r="AH28" s="828"/>
      <c r="AI28" s="828"/>
      <c r="AJ28" s="828"/>
      <c r="AK28" s="202">
        <f>IF((AJ29+AK29)&gt;0,1,)</f>
        <v>0</v>
      </c>
      <c r="AL28" s="203"/>
      <c r="AM28" s="202">
        <f>IF((AL29+AM29)&gt;0,1,)</f>
        <v>0</v>
      </c>
      <c r="AN28" s="203"/>
      <c r="AO28" s="202">
        <f>IF((AN29+AO29)&gt;0,1,)</f>
        <v>0</v>
      </c>
      <c r="AP28" s="203"/>
      <c r="AQ28" s="202">
        <f>IF((AP29+AQ29)&gt;0,1,)</f>
        <v>0</v>
      </c>
      <c r="AR28" s="203"/>
      <c r="AS28" s="202">
        <f>IF((AR29+AS29)&gt;0,1,)</f>
        <v>0</v>
      </c>
      <c r="BD28" s="835">
        <f>H31*5</f>
        <v>0</v>
      </c>
      <c r="BE28" s="835" t="s">
        <v>769</v>
      </c>
    </row>
    <row r="29" spans="1:66" ht="18.75" x14ac:dyDescent="0.3">
      <c r="A29" s="916">
        <f>IF(SUM(I25,O25,U25,AA25,AG25)&gt;A28,SUM(I25,O25,U25,AA25,AG25),)</f>
        <v>0</v>
      </c>
      <c r="B29" s="916"/>
      <c r="C29" s="828"/>
      <c r="D29" s="276">
        <f>IF(A29&lt;A28,,IF(AND(AK26&gt;0,AM25&gt;0),"  (umgerechnete) Wochenstunden werden aufgrund der Gruppenbildung vergeben.",IF(AK26&gt;0,"  Wochenstunden werden aufgrund der Gruppenbildung vergeben.",)))</f>
        <v>0</v>
      </c>
      <c r="E29" s="828"/>
      <c r="F29" s="828"/>
      <c r="G29" s="828"/>
      <c r="H29" s="828"/>
      <c r="I29" s="828"/>
      <c r="J29" s="828"/>
      <c r="K29" s="828"/>
      <c r="R29" s="828"/>
      <c r="U29" s="551"/>
      <c r="V29" s="551"/>
      <c r="W29" s="551"/>
      <c r="X29" s="838"/>
      <c r="Y29" s="917"/>
      <c r="Z29" s="918"/>
      <c r="AA29" s="276"/>
      <c r="AB29" s="276"/>
      <c r="AC29" s="276"/>
      <c r="AD29" s="839"/>
      <c r="AE29" s="223" t="s">
        <v>495</v>
      </c>
      <c r="AF29" s="839"/>
      <c r="AG29" s="840"/>
      <c r="AH29" s="276"/>
      <c r="AI29" s="828"/>
      <c r="AJ29" s="204">
        <f>SUM(AJ31:AJ40)</f>
        <v>0</v>
      </c>
      <c r="AK29" s="204">
        <f>SUM(AK31:AK40)</f>
        <v>0</v>
      </c>
      <c r="AL29" s="204">
        <f t="shared" ref="AL29:AS29" si="31">SUM(AL31:AL40)</f>
        <v>0</v>
      </c>
      <c r="AM29" s="204">
        <f t="shared" si="31"/>
        <v>0</v>
      </c>
      <c r="AN29" s="204">
        <f t="shared" si="31"/>
        <v>0</v>
      </c>
      <c r="AO29" s="204">
        <f t="shared" si="31"/>
        <v>0</v>
      </c>
      <c r="AP29" s="204">
        <f t="shared" si="31"/>
        <v>0</v>
      </c>
      <c r="AQ29" s="204">
        <f t="shared" si="31"/>
        <v>0</v>
      </c>
      <c r="AR29" s="204">
        <f t="shared" si="31"/>
        <v>0</v>
      </c>
      <c r="AS29" s="204">
        <f t="shared" si="31"/>
        <v>0</v>
      </c>
      <c r="BD29" s="834">
        <f>SUM(BD26:BD28)/5</f>
        <v>0</v>
      </c>
      <c r="BE29" s="828" t="s">
        <v>767</v>
      </c>
    </row>
    <row r="30" spans="1:66" ht="18.75" customHeight="1" x14ac:dyDescent="0.3">
      <c r="A30" s="919">
        <f>IF(A29-A28&gt;0,A29-A28,)</f>
        <v>0</v>
      </c>
      <c r="B30" s="919"/>
      <c r="C30" s="828"/>
      <c r="D30" s="276">
        <f>IF(A29&lt;A28,,IF(AND(AK27&gt;0,AM26&gt;0),"  (umgerechnete) Wochenstunden werden somit vom Grundkonti abgezogen.",IF(AK27&gt;0,"  Wochenstunden werden somit vom Grundkonti abegezogen.",)))</f>
        <v>0</v>
      </c>
      <c r="E30" s="828"/>
      <c r="F30" s="828"/>
      <c r="G30" s="828"/>
      <c r="H30" s="828"/>
      <c r="I30" s="828"/>
      <c r="J30" s="828"/>
      <c r="K30" s="828"/>
      <c r="R30" s="828"/>
      <c r="S30" s="277"/>
      <c r="T30" s="277"/>
      <c r="U30" s="551"/>
      <c r="V30" s="551"/>
      <c r="W30" s="551"/>
      <c r="X30" s="551"/>
      <c r="Y30" s="551"/>
      <c r="Z30" s="551"/>
      <c r="AA30" s="276"/>
      <c r="AB30" s="276"/>
      <c r="AC30" s="276"/>
      <c r="AD30" s="840"/>
      <c r="AE30" s="553"/>
      <c r="AF30" s="840"/>
      <c r="AG30" s="840"/>
      <c r="AH30" s="276"/>
      <c r="AI30" s="828"/>
      <c r="AJ30" s="204"/>
      <c r="AK30" s="204"/>
      <c r="AL30" s="204"/>
      <c r="AM30" s="204"/>
      <c r="AN30" s="204"/>
      <c r="AO30" s="204"/>
      <c r="AP30" s="204"/>
      <c r="AQ30" s="204"/>
      <c r="AR30" s="204"/>
      <c r="AS30" s="204"/>
      <c r="BD30" s="834">
        <f>ROUNDUP(BD29,0)</f>
        <v>0</v>
      </c>
      <c r="BE30" s="828" t="s">
        <v>768</v>
      </c>
    </row>
    <row r="31" spans="1:66" ht="23.25" x14ac:dyDescent="0.35">
      <c r="A31" s="205" t="s">
        <v>496</v>
      </c>
      <c r="B31" s="272"/>
      <c r="G31" s="268" t="str">
        <f>IF(H31&gt;0,"und zwar in","")</f>
        <v/>
      </c>
      <c r="H31" s="269">
        <f>Konti_VS!J17</f>
        <v>0</v>
      </c>
      <c r="I31" s="270" t="str">
        <f>IF(H31&gt;0,"KL mit","")</f>
        <v/>
      </c>
      <c r="J31" s="268"/>
      <c r="K31" s="269">
        <f>ROUND(Konti_VS!E51,2)</f>
        <v>0</v>
      </c>
      <c r="L31" s="141" t="str">
        <f>IF(K31&gt;0," anrechenbaren Wochenstunden für Lernzeiten","")</f>
        <v/>
      </c>
      <c r="O31" s="275"/>
      <c r="AJ31" s="204">
        <f>IF(E14&gt;0,ROUND(G14*50/$C14,1),)</f>
        <v>0</v>
      </c>
      <c r="AK31" s="204">
        <f>IF(F14&gt;0,ROUND(H14*50/$C14,1),)</f>
        <v>0</v>
      </c>
      <c r="AL31" s="204">
        <f t="shared" ref="AL31:AM40" si="32">IF(K14&gt;0,ROUND(M14*50/$C14,1),)</f>
        <v>0</v>
      </c>
      <c r="AM31" s="204">
        <f t="shared" si="32"/>
        <v>0</v>
      </c>
      <c r="AN31" s="204">
        <f t="shared" ref="AN31:AO40" si="33">IF(Q14&gt;0,ROUND(S14*50/$C14,1),)</f>
        <v>0</v>
      </c>
      <c r="AO31" s="204">
        <f t="shared" si="33"/>
        <v>0</v>
      </c>
      <c r="AP31" s="204">
        <f t="shared" ref="AP31:AQ40" si="34">IF(W14&gt;0,ROUND(Y14*50/$C14,1),)</f>
        <v>0</v>
      </c>
      <c r="AQ31" s="204">
        <f t="shared" si="34"/>
        <v>0</v>
      </c>
      <c r="AR31" s="204">
        <f>IF(AC14&gt;0,ROUND(AE14*50/$C14,1),)</f>
        <v>0</v>
      </c>
      <c r="AS31" s="204">
        <f>IF(AD14&gt;0,ROUND(AF14*50/$C14,1),)</f>
        <v>0</v>
      </c>
      <c r="BD31" s="834">
        <f>ROUNDUP(BD29/2,0)</f>
        <v>0</v>
      </c>
      <c r="BE31" s="828" t="s">
        <v>549</v>
      </c>
    </row>
    <row r="32" spans="1:66" hidden="1" x14ac:dyDescent="0.25">
      <c r="AJ32" s="204">
        <f t="shared" ref="AJ32:AK40" si="35">IF(E15&gt;0,ROUND(G15*50/$C15,1),)</f>
        <v>0</v>
      </c>
      <c r="AK32" s="204">
        <f t="shared" si="35"/>
        <v>0</v>
      </c>
      <c r="AL32" s="204">
        <f t="shared" si="32"/>
        <v>0</v>
      </c>
      <c r="AM32" s="204">
        <f t="shared" si="32"/>
        <v>0</v>
      </c>
      <c r="AN32" s="204">
        <f t="shared" si="33"/>
        <v>0</v>
      </c>
      <c r="AO32" s="204">
        <f t="shared" si="33"/>
        <v>0</v>
      </c>
      <c r="AP32" s="204">
        <f t="shared" si="34"/>
        <v>0</v>
      </c>
      <c r="AQ32" s="204">
        <f t="shared" si="34"/>
        <v>0</v>
      </c>
      <c r="AR32" s="204">
        <f>IF(AC15&gt;0,ROUND(AE15*50/$C15,1),)</f>
        <v>0</v>
      </c>
      <c r="AS32" s="204">
        <f>IF(AD15&gt;0,ROUND(AF15*50/$C15,1),)</f>
        <v>0</v>
      </c>
    </row>
    <row r="33" spans="1:57" hidden="1" x14ac:dyDescent="0.25">
      <c r="AJ33" s="204">
        <f t="shared" si="35"/>
        <v>0</v>
      </c>
      <c r="AK33" s="204">
        <f t="shared" si="35"/>
        <v>0</v>
      </c>
      <c r="AL33" s="204">
        <f t="shared" si="32"/>
        <v>0</v>
      </c>
      <c r="AM33" s="204">
        <f t="shared" si="32"/>
        <v>0</v>
      </c>
      <c r="AN33" s="204">
        <f t="shared" si="33"/>
        <v>0</v>
      </c>
      <c r="AO33" s="204">
        <f t="shared" si="33"/>
        <v>0</v>
      </c>
      <c r="AP33" s="204">
        <f t="shared" si="34"/>
        <v>0</v>
      </c>
      <c r="AQ33" s="204">
        <f t="shared" si="34"/>
        <v>0</v>
      </c>
      <c r="AR33" s="204">
        <f t="shared" ref="AR33:AS40" si="36">IF(AC16&gt;0,ROUND(AE16*50/$C16,1),)</f>
        <v>0</v>
      </c>
      <c r="AS33" s="204">
        <f t="shared" si="36"/>
        <v>0</v>
      </c>
    </row>
    <row r="34" spans="1:57" hidden="1" x14ac:dyDescent="0.25">
      <c r="AJ34" s="204">
        <f t="shared" si="35"/>
        <v>0</v>
      </c>
      <c r="AK34" s="204">
        <f>IF(F17&gt;0,ROUND(H17*50/$C17,1),)</f>
        <v>0</v>
      </c>
      <c r="AL34" s="204">
        <f t="shared" si="32"/>
        <v>0</v>
      </c>
      <c r="AM34" s="204">
        <f t="shared" si="32"/>
        <v>0</v>
      </c>
      <c r="AN34" s="204">
        <f t="shared" si="33"/>
        <v>0</v>
      </c>
      <c r="AO34" s="204">
        <f t="shared" si="33"/>
        <v>0</v>
      </c>
      <c r="AP34" s="204">
        <f t="shared" si="34"/>
        <v>0</v>
      </c>
      <c r="AQ34" s="204">
        <f t="shared" si="34"/>
        <v>0</v>
      </c>
      <c r="AR34" s="204">
        <f t="shared" si="36"/>
        <v>0</v>
      </c>
      <c r="AS34" s="204">
        <f t="shared" si="36"/>
        <v>0</v>
      </c>
    </row>
    <row r="35" spans="1:57" hidden="1" x14ac:dyDescent="0.25">
      <c r="AJ35" s="204">
        <f t="shared" si="35"/>
        <v>0</v>
      </c>
      <c r="AK35" s="204">
        <f>IF(F18&gt;0,ROUND(H18*50/$C18,1),)</f>
        <v>0</v>
      </c>
      <c r="AL35" s="204">
        <f t="shared" si="32"/>
        <v>0</v>
      </c>
      <c r="AM35" s="204">
        <f t="shared" si="32"/>
        <v>0</v>
      </c>
      <c r="AN35" s="204">
        <f t="shared" si="33"/>
        <v>0</v>
      </c>
      <c r="AO35" s="204">
        <f t="shared" si="33"/>
        <v>0</v>
      </c>
      <c r="AP35" s="204">
        <f t="shared" si="34"/>
        <v>0</v>
      </c>
      <c r="AQ35" s="204">
        <f t="shared" si="34"/>
        <v>0</v>
      </c>
      <c r="AR35" s="204">
        <f t="shared" si="36"/>
        <v>0</v>
      </c>
      <c r="AS35" s="204">
        <f t="shared" si="36"/>
        <v>0</v>
      </c>
    </row>
    <row r="36" spans="1:57" hidden="1" x14ac:dyDescent="0.25">
      <c r="AJ36" s="204">
        <f t="shared" si="35"/>
        <v>0</v>
      </c>
      <c r="AK36" s="204">
        <f>IF(F19&gt;0,ROUND(H19*50/$C19,1),)</f>
        <v>0</v>
      </c>
      <c r="AL36" s="204">
        <f t="shared" si="32"/>
        <v>0</v>
      </c>
      <c r="AM36" s="204">
        <f t="shared" si="32"/>
        <v>0</v>
      </c>
      <c r="AN36" s="204">
        <f t="shared" si="33"/>
        <v>0</v>
      </c>
      <c r="AO36" s="204">
        <f t="shared" si="33"/>
        <v>0</v>
      </c>
      <c r="AP36" s="204">
        <f t="shared" si="34"/>
        <v>0</v>
      </c>
      <c r="AQ36" s="204">
        <f t="shared" si="34"/>
        <v>0</v>
      </c>
      <c r="AR36" s="204">
        <f t="shared" si="36"/>
        <v>0</v>
      </c>
      <c r="AS36" s="204">
        <f t="shared" si="36"/>
        <v>0</v>
      </c>
    </row>
    <row r="37" spans="1:57" hidden="1" x14ac:dyDescent="0.25">
      <c r="AJ37" s="204">
        <f t="shared" si="35"/>
        <v>0</v>
      </c>
      <c r="AK37" s="204">
        <f t="shared" si="35"/>
        <v>0</v>
      </c>
      <c r="AL37" s="204">
        <f t="shared" si="32"/>
        <v>0</v>
      </c>
      <c r="AM37" s="204">
        <f t="shared" si="32"/>
        <v>0</v>
      </c>
      <c r="AN37" s="204">
        <f t="shared" si="33"/>
        <v>0</v>
      </c>
      <c r="AO37" s="204">
        <f t="shared" si="33"/>
        <v>0</v>
      </c>
      <c r="AP37" s="204">
        <f t="shared" si="34"/>
        <v>0</v>
      </c>
      <c r="AQ37" s="204">
        <f t="shared" si="34"/>
        <v>0</v>
      </c>
      <c r="AR37" s="204">
        <f t="shared" si="36"/>
        <v>0</v>
      </c>
      <c r="AS37" s="204">
        <f t="shared" si="36"/>
        <v>0</v>
      </c>
    </row>
    <row r="38" spans="1:57" hidden="1" x14ac:dyDescent="0.25">
      <c r="AJ38" s="204">
        <f t="shared" si="35"/>
        <v>0</v>
      </c>
      <c r="AK38" s="204">
        <f t="shared" si="35"/>
        <v>0</v>
      </c>
      <c r="AL38" s="204">
        <f t="shared" si="32"/>
        <v>0</v>
      </c>
      <c r="AM38" s="204">
        <f t="shared" si="32"/>
        <v>0</v>
      </c>
      <c r="AN38" s="204">
        <f t="shared" si="33"/>
        <v>0</v>
      </c>
      <c r="AO38" s="204">
        <f t="shared" si="33"/>
        <v>0</v>
      </c>
      <c r="AP38" s="204">
        <f t="shared" si="34"/>
        <v>0</v>
      </c>
      <c r="AQ38" s="204">
        <f t="shared" si="34"/>
        <v>0</v>
      </c>
      <c r="AR38" s="204">
        <f t="shared" si="36"/>
        <v>0</v>
      </c>
      <c r="AS38" s="204">
        <f t="shared" si="36"/>
        <v>0</v>
      </c>
    </row>
    <row r="39" spans="1:57" ht="9" customHeight="1" x14ac:dyDescent="0.25">
      <c r="AJ39" s="204">
        <f t="shared" si="35"/>
        <v>0</v>
      </c>
      <c r="AK39" s="204">
        <f>IF(F22&gt;0,ROUND(H22*50/$C22,1),)</f>
        <v>0</v>
      </c>
      <c r="AL39" s="204">
        <f t="shared" si="32"/>
        <v>0</v>
      </c>
      <c r="AM39" s="204">
        <f t="shared" si="32"/>
        <v>0</v>
      </c>
      <c r="AN39" s="204">
        <f t="shared" si="33"/>
        <v>0</v>
      </c>
      <c r="AO39" s="204">
        <f t="shared" si="33"/>
        <v>0</v>
      </c>
      <c r="AP39" s="204">
        <f t="shared" si="34"/>
        <v>0</v>
      </c>
      <c r="AQ39" s="204">
        <f t="shared" si="34"/>
        <v>0</v>
      </c>
      <c r="AR39" s="204">
        <f t="shared" si="36"/>
        <v>0</v>
      </c>
      <c r="AS39" s="204">
        <f t="shared" si="36"/>
        <v>0</v>
      </c>
      <c r="BD39" s="828">
        <f>Konti_VS!D29</f>
        <v>0</v>
      </c>
      <c r="BE39" s="828" t="s">
        <v>771</v>
      </c>
    </row>
    <row r="40" spans="1:57" ht="21" x14ac:dyDescent="0.35">
      <c r="A40" s="920">
        <f>K31</f>
        <v>0</v>
      </c>
      <c r="B40" s="920"/>
      <c r="C40" s="828"/>
      <c r="D40" s="206">
        <f>IF(H31&gt;0,"  für verschränkte Form",)</f>
        <v>0</v>
      </c>
      <c r="E40" s="199"/>
      <c r="H40" s="271">
        <f>IF(A40&gt;0,"   .. sofern von der BilDi genehmigt.",)</f>
        <v>0</v>
      </c>
      <c r="I40" s="271"/>
      <c r="K40" s="828"/>
      <c r="L40" s="828"/>
      <c r="M40" s="828"/>
      <c r="N40" s="828"/>
      <c r="O40" s="828"/>
      <c r="P40" s="828"/>
      <c r="Q40" s="828"/>
      <c r="R40" s="828"/>
      <c r="S40" s="274">
        <f>IF(D41&gt;0,"Beim Leiter (im Altrecht)",)</f>
        <v>0</v>
      </c>
      <c r="V40" s="828"/>
      <c r="W40" s="828"/>
      <c r="X40" s="828"/>
      <c r="AB40" s="273">
        <f>IF(BD30&gt;0,"..mit/falls "&amp;BD30&amp;" Gruppen:",)</f>
        <v>0</v>
      </c>
      <c r="AC40" s="207">
        <f>IF(BD31&gt;0,"+ "&amp;BD31&amp;" Kl. bei LeiterZulage",)</f>
        <v>0</v>
      </c>
      <c r="AD40" s="828"/>
      <c r="AE40" s="828"/>
      <c r="AF40" s="828"/>
      <c r="AG40" s="828"/>
      <c r="AH40" s="273"/>
      <c r="AI40" s="841"/>
      <c r="AJ40" s="204">
        <f t="shared" si="35"/>
        <v>0</v>
      </c>
      <c r="AK40" s="204">
        <f t="shared" si="35"/>
        <v>0</v>
      </c>
      <c r="AL40" s="204">
        <f t="shared" si="32"/>
        <v>0</v>
      </c>
      <c r="AM40" s="204">
        <f t="shared" si="32"/>
        <v>0</v>
      </c>
      <c r="AN40" s="204">
        <f t="shared" si="33"/>
        <v>0</v>
      </c>
      <c r="AO40" s="204">
        <f t="shared" si="33"/>
        <v>0</v>
      </c>
      <c r="AP40" s="204">
        <f t="shared" si="34"/>
        <v>0</v>
      </c>
      <c r="AQ40" s="204">
        <f t="shared" si="34"/>
        <v>0</v>
      </c>
      <c r="AR40" s="204">
        <f t="shared" si="36"/>
        <v>0</v>
      </c>
      <c r="AS40" s="204">
        <f t="shared" si="36"/>
        <v>0</v>
      </c>
      <c r="BE40" s="828" t="s">
        <v>770</v>
      </c>
    </row>
    <row r="41" spans="1:57" x14ac:dyDescent="0.25">
      <c r="A41" s="208" t="s">
        <v>497</v>
      </c>
      <c r="B41" s="842"/>
      <c r="C41" s="828">
        <f>IF(A40&lt;999,A40,)</f>
        <v>0</v>
      </c>
      <c r="D41" s="843">
        <f>(A28+A30)+C41</f>
        <v>0</v>
      </c>
      <c r="E41" s="209">
        <f>IF(A40&gt;0," = zusammen",)</f>
        <v>0</v>
      </c>
      <c r="F41" s="828"/>
      <c r="G41" s="828"/>
      <c r="J41" s="828"/>
      <c r="M41" s="828"/>
      <c r="N41" s="828"/>
      <c r="O41" s="828"/>
      <c r="P41" s="828"/>
      <c r="Q41" s="828"/>
      <c r="R41" s="828"/>
      <c r="S41" s="828"/>
      <c r="T41" s="828"/>
      <c r="U41" s="828"/>
      <c r="V41" s="828"/>
      <c r="W41" s="828"/>
      <c r="X41" s="828"/>
      <c r="Y41" s="828"/>
      <c r="Z41" s="828"/>
      <c r="AA41" s="828"/>
      <c r="AB41" s="828"/>
      <c r="AC41" s="828"/>
      <c r="AD41" s="828"/>
      <c r="AE41" s="828"/>
      <c r="AF41" s="210">
        <f>IF(BD30&gt;0,"[ "&amp;BD30&amp;" Gruppen /2 auf Ganze aufgerundet]",)</f>
        <v>0</v>
      </c>
      <c r="AG41" s="210"/>
      <c r="AH41" s="828"/>
      <c r="AI41" s="837"/>
      <c r="AJ41" s="828"/>
      <c r="AK41" s="828"/>
      <c r="AL41" s="828"/>
      <c r="AM41" s="828"/>
      <c r="AN41" s="828"/>
      <c r="AO41" s="828"/>
      <c r="AP41" s="828"/>
      <c r="AQ41" s="828"/>
      <c r="AR41" s="828"/>
      <c r="AS41" s="828"/>
    </row>
    <row r="42" spans="1:57" x14ac:dyDescent="0.25">
      <c r="A42" s="907"/>
      <c r="B42" s="907"/>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212">
        <f>IF(AND(BD30&gt;0,SUM(BD30/2,BD39)&gt;=8,SUM(BD30/2,BD39)&lt;19)," SupplierV reduziert um "&amp;BD30*0.5&amp;" WoStd",IF(AND(SUM(BD30/2,BD39,)&lt;=8,BD30&gt;0)," Einrechnung von "&amp;BD30*0.5&amp;" WoStd",))</f>
        <v>0</v>
      </c>
      <c r="AA42" s="212"/>
      <c r="AB42" s="828"/>
      <c r="AC42" s="828"/>
      <c r="AD42" s="828"/>
      <c r="AE42" s="828"/>
      <c r="AF42" s="828"/>
      <c r="AG42" s="828"/>
      <c r="AH42" s="828"/>
      <c r="AI42" s="213">
        <f>ROUNDUP(AJ42/5,0)</f>
        <v>0</v>
      </c>
      <c r="AJ42" s="214">
        <f>SUM(AK42:AS42)</f>
        <v>0</v>
      </c>
      <c r="AK42" s="213">
        <f>SUM((AJ31+AK31*2),(AJ32+AK32*2),(AJ33+AK33*2),(AJ34+AK34*2),(AJ35+AK35*2),(AJ36+AK36*2),(AJ37+AK37*2),(AJ38+AK38*2),(AJ39+AK39*2),(AJ40+AK40*2))</f>
        <v>0</v>
      </c>
      <c r="AL42" s="215"/>
      <c r="AM42" s="213">
        <f>SUM((AL31+AM31*2),(AL32+AM32*2),(AL33+AM33*2),(AL34+AM34*2),(AL35+AM35*2),(AL36+AM36*2),(AL37+AM37*2),(AL38+AM38*2),(AL39+AM39*2),(AL40+AM40*2))</f>
        <v>0</v>
      </c>
      <c r="AN42" s="215"/>
      <c r="AO42" s="213">
        <f>SUM((AN31+AO31*2),(AN32+AO32*2),(AN33+AO33*2),(AN34+AO34*2),(AN35+AO35*2),(AN36+AO36*2),(AN37+AO37*2),(AN38+AO38*2),(AN39+AO39*2),(AN40+AO40*2))</f>
        <v>0</v>
      </c>
      <c r="AP42" s="215"/>
      <c r="AQ42" s="213">
        <f>SUM((AP31+AQ31*2),(AP32+AQ32*2),(AP33+AQ33*2),(AP34+AQ34*2),(AP35+AQ35*2),(AP36+AQ36*2),(AP37+AQ37*2),(AP38+AQ38*2),(AP39+AQ39*2),(AP40+AQ40*2))</f>
        <v>0</v>
      </c>
      <c r="AR42" s="215"/>
      <c r="AS42" s="213">
        <f>SUM((AR31+AS31*2),(AR32+AS32*2),(AR33+AS33*2),(AR34+AS34*2),(AR35+AS35*2),(AR36+AS36*2),(AR37+AS37*2),(AR38+AS38*2),(AR39+AS39*2),(AR40+AS40*2))</f>
        <v>0</v>
      </c>
    </row>
    <row r="43" spans="1:57" x14ac:dyDescent="0.25">
      <c r="A43" s="907"/>
      <c r="B43" s="907"/>
      <c r="C43" s="907"/>
      <c r="D43" s="907"/>
      <c r="E43" s="907"/>
      <c r="F43" s="907"/>
      <c r="G43" s="907"/>
      <c r="H43" s="907"/>
      <c r="I43" s="907"/>
      <c r="J43" s="907"/>
      <c r="K43" s="907"/>
      <c r="L43" s="907"/>
      <c r="M43" s="907"/>
      <c r="N43" s="907"/>
      <c r="O43" s="907"/>
      <c r="P43" s="907"/>
      <c r="Q43" s="907"/>
      <c r="R43" s="907"/>
      <c r="S43" s="907"/>
      <c r="T43" s="907"/>
      <c r="U43" s="907"/>
      <c r="V43" s="907"/>
      <c r="W43" s="907"/>
      <c r="X43" s="907"/>
      <c r="Y43" s="907"/>
      <c r="AB43" s="828"/>
      <c r="AC43" s="828"/>
      <c r="AD43" s="828"/>
      <c r="AE43" s="828"/>
      <c r="AF43" s="210">
        <f>IF(BD30&gt;0,"[ bei mind. "&amp;BD30&amp;" Gruppen * 0,5 ]",)</f>
        <v>0</v>
      </c>
      <c r="AG43" s="210"/>
      <c r="AH43" s="828"/>
      <c r="AI43" s="837"/>
      <c r="AJ43" s="216">
        <f>ROUND(IF(AND(G14&gt;0,G14&lt;33),1*C14/50,)+IF(AND(G15&gt;0,G15&lt;33),1*C15/50,)+IF(AND(G16&gt;0,G16&lt;33),1*C16/50,)+IF(AND(G17&gt;0,G17&lt;33),1*C17/50,)+IF(AND(G18&gt;0,G18&lt;33),1*C18/50,)+IF(AND(G19&gt;0,G19&lt;33),1*C19/50,)+IF(AND(G20&gt;0,G20&lt;33),1*C20/50,)+IF(AND(G21&gt;0,G21&lt;33),1*C21/50,)+IF(AND(G22&gt;0,G22&lt;33),1*C22/50,)+IF(AND(G23&gt;0,G23&lt;33),1*C23/50,),3)</f>
        <v>0</v>
      </c>
      <c r="AK43" s="217"/>
      <c r="AL43" s="216">
        <f>ROUND(IF(AND(M14&gt;0,M14&lt;33),1*C14/50,)+IF(AND(M15&gt;0,M15&lt;33),1*C15/50,)+IF(AND(M16&gt;0,M16&lt;33),1*C16/50,)+IF(AND(M17&gt;0,M17&lt;33),1*C17/50,)+IF(AND(M18&gt;0,M18&lt;33),1*C18/50,)+IF(AND(M19&gt;0,M19&lt;33),1*C19/50,)+IF(AND(M20&gt;0,M20&lt;33),1*C20/50,)+IF(AND(M21&gt;0,M21&lt;33),1*C21/50,)+IF(AND(M22&gt;0,M22&lt;33),1*C22/50,)+IF(AND(M23&gt;0,M23&lt;33),1*C23/50,),3)</f>
        <v>0</v>
      </c>
      <c r="AM43" s="217"/>
      <c r="AN43" s="216">
        <f>ROUND(IF(AND(S14&gt;0,S14&lt;33),1*C14/50,)+IF(AND(S15&gt;0,S15&lt;33),1*C15/50,)+IF(AND(S16&gt;0,S16&lt;33),1*C16/50,)+IF(AND(S17&gt;0,S17&lt;33),1*C17/50,)+IF(AND(S18&gt;0,S18&lt;33),1*C18/50,)+IF(AND(S19&gt;0,S19&lt;33),1*C19/50,)+IF(AND(S20&gt;0,S20&lt;33),1*C20/50,)+IF(AND(S21&gt;0,S21&lt;33),1*C21/50,)+IF(AND(S22&gt;0,S22&lt;33),1*C22/50,)+IF(AND(S23&gt;0,S23&lt;33),1*C23/50,),3)</f>
        <v>0</v>
      </c>
      <c r="AO43" s="217"/>
      <c r="AP43" s="216">
        <f>ROUND(IF(AND(Y14&gt;0,Y14&lt;33),1*C14/50,)+IF(AND(Y15&gt;0,Y15&lt;33),1*C15/50,)+IF(AND(Y16&gt;0,Y16&lt;33),1*C16/50,)+IF(AND(Y17&gt;0,Y17&lt;33),1*C17/50,)+IF(AND(Y18&gt;0,Y18&lt;33),1*C18/50,)+IF(AND(Y19&gt;0,Y19&lt;33),1*C19/50,)+IF(AND(Y20&gt;0,Y20&lt;33),1*C20/50,)+IF(AND(Y21&gt;0,Y21&lt;33),1*C21/50,)+IF(AND(Y22&gt;0,Y22&lt;33),1*C22/50,)+IF(AND(Y23&gt;0,Y23&lt;33),1*C23/50,),3)</f>
        <v>0</v>
      </c>
      <c r="AQ43" s="217"/>
      <c r="AR43" s="216">
        <f>ROUND(IF(AND(AE14&gt;0,AE14&lt;33),1*C14/50,)+IF(AND(AE15&gt;0,AE15&lt;33),1*C15/50,)+IF(AND(AE16&gt;0,AE16&lt;33),1*C16/50,)+IF(AND(AE17&gt;0,AE17&lt;33),1*C17/50,)+IF(AND(AE18&gt;0,AE18&lt;33),1*C18/50,)+IF(AND(AE19&gt;0,AE19&lt;33),1*C19/50,)+IF(AND(AE20&gt;0,AE20&lt;33),1*C20/50,)+IF(AND(AE21&gt;0,AE21&lt;33),1*C21/50,)+IF(AND(AE22&gt;0,AE22&lt;33),1*C22/50,)+IF(AND(AE23&gt;0,AE23&lt;33),1*C23/50,),3)</f>
        <v>0</v>
      </c>
      <c r="AS43" s="217"/>
    </row>
    <row r="44" spans="1:57" x14ac:dyDescent="0.25">
      <c r="A44" s="907"/>
      <c r="B44" s="907"/>
      <c r="C44" s="907"/>
      <c r="D44" s="907"/>
      <c r="E44" s="907"/>
      <c r="F44" s="907"/>
      <c r="G44" s="907"/>
      <c r="H44" s="907"/>
      <c r="I44" s="907"/>
      <c r="J44" s="907"/>
      <c r="K44" s="907"/>
      <c r="L44" s="907"/>
      <c r="M44" s="907"/>
      <c r="N44" s="907"/>
      <c r="O44" s="907"/>
      <c r="P44" s="907"/>
      <c r="Q44" s="907"/>
      <c r="R44" s="907"/>
      <c r="S44" s="907"/>
      <c r="T44" s="907"/>
      <c r="U44" s="907"/>
      <c r="V44" s="907"/>
      <c r="W44" s="907"/>
      <c r="X44" s="907"/>
      <c r="Y44" s="907"/>
      <c r="Z44" s="212"/>
      <c r="AA44" s="212"/>
      <c r="AI44" s="218"/>
      <c r="AJ44" s="217"/>
      <c r="AK44" s="216">
        <f>ROUND(IF(AND(H14&gt;0,H14&lt;33),1*C14/50,)+IF(AND(H15&gt;0,H15&lt;33),1*C15/50,)+IF(AND(H16&gt;0,H16&lt;33),1*C16/50,)+IF(AND(H17&gt;0,H17&lt;33),1*C17/50,)+IF(AND(H18&gt;0,H18&lt;33),1*C18/50,)+IF(AND(H19&gt;0,H19&lt;33),1*C19/50,)+IF(AND(H20&gt;0,H20&lt;33),1*C20/50,)+IF(AND(H21&gt;0,H21&lt;33),1*C21/50,)+IF(AND(H22&gt;0,H22&lt;33),1*C22/50,)+IF(AND(H23&gt;0,H23&lt;33),1*C23/50,),3)</f>
        <v>0</v>
      </c>
      <c r="AL44" s="217"/>
      <c r="AM44" s="216">
        <f>ROUND(IF(AND(N14&gt;0,N14&lt;33),1*C14/50,)+IF(AND(N15&gt;0,N15&lt;33),1*C15/50,)+IF(AND(N16&gt;0,N16&lt;33),1*C16/50,)+IF(AND(N17&gt;0,N17&lt;33),1*C17/50,)+IF(AND(N18&gt;0,N18&lt;33),1*C18/50,)+IF(AND(N19&gt;0,N19&lt;33),1*C19/50,)+IF(AND(N20&gt;0,N20&lt;33),1*C20/50,)+IF(AND(N21&gt;0,N21&lt;33),1*C21/50,)+IF(AND(N22&gt;0,N22&lt;33),1*C22/50,)+IF(AND(N23&gt;0,N23&lt;33),1*C23/50,),3)</f>
        <v>0</v>
      </c>
      <c r="AN44" s="217"/>
      <c r="AO44" s="216">
        <f>ROUND(IF(AND(T14&gt;0,T14&lt;33),1*C14/50,)+IF(AND(T15&gt;0,T15&lt;33),1*C15/50,)+IF(AND(T16&gt;0,T16&lt;33),1*C16/50,)+IF(AND(T17&gt;0,T17&lt;33),1*C17/50,)+IF(AND(T18&gt;0,T18&lt;33),1*C18/50,)+IF(AND(T19&gt;0,T19&lt;33),1*C19/50,)+IF(AND(T20&gt;0,T20&lt;33),1*C20/50,)+IF(AND(T21&gt;0,T21&lt;33),1*C21/50,)+IF(AND(T22&gt;0,T22&lt;33),1*C22/50,)+IF(AND(T23&gt;0,T23&lt;33),1*C23/50,),3)</f>
        <v>0</v>
      </c>
      <c r="AP44" s="217"/>
      <c r="AQ44" s="216">
        <f>ROUND(IF(AND(Z14&gt;0,Z14&lt;33),1*C14/50,)+IF(AND(Z15&gt;0,Z15&lt;33),1*C15/50,)+IF(AND(Z16&gt;0,Z16&lt;33),1*C16/50,)+IF(AND(Z17&gt;0,Z17&lt;33),1*C17/50,)+IF(AND(Z18&gt;0,Z18&lt;33),1*C18/50,)+IF(AND(Z19&gt;0,Z19&lt;33),1*C19/50,)+IF(AND(Z20&gt;0,Z20&lt;33),1*C20/50,)+IF(AND(Z21&gt;0,Z21&lt;33),1*C21/50,)+IF(AND(Z22&gt;0,Z22&lt;33),1*C22/50,)+IF(AND(Z23&gt;0,Z23&lt;33),1*C23/50,),3)</f>
        <v>0</v>
      </c>
      <c r="AR44" s="217"/>
      <c r="AS44" s="216">
        <f>ROUND(IF(AND(AF14&gt;0,G14&lt;33),1*C14/50,)+IF(AND(AF15&gt;0,G15&lt;33),1*C15/50,)+IF(AND(AF16&gt;0,G16&lt;33),1*C16/50,)+IF(AND(AF17&gt;0,G17&lt;33),1*C17/50,)+IF(AND(AF18&gt;0,G18&lt;33),1*C18/50,)+IF(AND(AF19&gt;0,G19&lt;33),1*C19/50,)+IF(AND(AF20&gt;0,G20&lt;33),1*C20/50,)+IF(AND(AF21&gt;0,G21&lt;33),1*C21/50,)+IF(AND(AF22&gt;0,G22&lt;33),1*C22/50,)+IF(AND(AF23&gt;0,G23&lt;33),1*C23/50,),3)</f>
        <v>0</v>
      </c>
    </row>
    <row r="45" spans="1:57" x14ac:dyDescent="0.25">
      <c r="A45" s="907"/>
      <c r="B45" s="907"/>
      <c r="C45" s="907"/>
      <c r="D45" s="907"/>
      <c r="E45" s="907"/>
      <c r="F45" s="907"/>
      <c r="G45" s="907"/>
      <c r="H45" s="907"/>
      <c r="I45" s="907"/>
      <c r="J45" s="907"/>
      <c r="K45" s="907"/>
      <c r="L45" s="907"/>
      <c r="M45" s="907"/>
      <c r="N45" s="907"/>
      <c r="O45" s="907"/>
      <c r="P45" s="907"/>
      <c r="Q45" s="907"/>
      <c r="R45" s="907"/>
      <c r="S45" s="907"/>
      <c r="T45" s="907"/>
      <c r="U45" s="907"/>
      <c r="V45" s="907"/>
      <c r="W45" s="907"/>
      <c r="X45" s="907"/>
      <c r="Y45" s="907"/>
      <c r="AH45" s="557"/>
      <c r="AJ45" s="219" t="s">
        <v>498</v>
      </c>
      <c r="AK45" s="216">
        <f>ROUND(SUM(AJ43:AS43),2)</f>
        <v>0</v>
      </c>
      <c r="AL45" s="219" t="s">
        <v>499</v>
      </c>
      <c r="AM45" s="216">
        <f>ROUND(SUM(AJ44:AS44,AS45),2)</f>
        <v>0</v>
      </c>
      <c r="AN45" s="219" t="s">
        <v>500</v>
      </c>
      <c r="AO45" s="216">
        <f>ROUND(SUM(AK45:AM45),2)</f>
        <v>0</v>
      </c>
      <c r="AP45" s="220" t="s">
        <v>501</v>
      </c>
      <c r="AQ45" s="216">
        <f>ROUND(AO45/3,1)</f>
        <v>0</v>
      </c>
      <c r="AR45" s="216">
        <f>IF(AM45&lt;AQ45,"!?",)</f>
        <v>0</v>
      </c>
      <c r="AS45" s="221">
        <f>IF(A42=0,,IF(AND(AK45&gt;0,AT45&lt;11),AT45))+1-1</f>
        <v>0</v>
      </c>
    </row>
    <row r="46" spans="1:57" x14ac:dyDescent="0.25">
      <c r="A46" s="907"/>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844"/>
      <c r="AA46" s="844"/>
      <c r="AB46" s="844"/>
      <c r="AC46" s="222" t="s">
        <v>502</v>
      </c>
      <c r="AD46" s="223" t="s">
        <v>503</v>
      </c>
      <c r="AE46" s="844"/>
      <c r="AF46" s="844"/>
      <c r="AG46" s="845"/>
      <c r="AH46" s="845"/>
    </row>
    <row r="47" spans="1:57" x14ac:dyDescent="0.25"/>
    <row r="48" spans="1:57" x14ac:dyDescent="0.25"/>
    <row r="49" x14ac:dyDescent="0.25"/>
    <row r="50" x14ac:dyDescent="0.25"/>
    <row r="51" x14ac:dyDescent="0.25"/>
    <row r="52" x14ac:dyDescent="0.25"/>
    <row r="53" x14ac:dyDescent="0.25"/>
    <row r="54" x14ac:dyDescent="0.25"/>
    <row r="55" x14ac:dyDescent="0.25"/>
    <row r="56" x14ac:dyDescent="0.25"/>
    <row r="57" x14ac:dyDescent="0.25"/>
  </sheetData>
  <sheetProtection algorithmName="SHA-512" hashValue="v2z/rlYb11hgMfiqFmTl+RuHqBzY58swca20hlKF+4xSsesaVKgLQJKA3SwsvsQtWUrtoewYrsPxH1+J9v2oUQ==" saltValue="rLoc0swNrerkpPo6lOzwVA==" spinCount="100000" sheet="1" formatRows="0"/>
  <mergeCells count="40">
    <mergeCell ref="J5:K5"/>
    <mergeCell ref="F10:G10"/>
    <mergeCell ref="I10:I13"/>
    <mergeCell ref="L10:M10"/>
    <mergeCell ref="O10:O13"/>
    <mergeCell ref="A11:B12"/>
    <mergeCell ref="G11:H12"/>
    <mergeCell ref="M11:N12"/>
    <mergeCell ref="S11:T12"/>
    <mergeCell ref="Y11:Z12"/>
    <mergeCell ref="AE11:AF12"/>
    <mergeCell ref="AT12:BC12"/>
    <mergeCell ref="BD12:BM12"/>
    <mergeCell ref="G24:H24"/>
    <mergeCell ref="K24:L24"/>
    <mergeCell ref="M24:N24"/>
    <mergeCell ref="Q24:R24"/>
    <mergeCell ref="S24:T24"/>
    <mergeCell ref="W24:X24"/>
    <mergeCell ref="U10:U13"/>
    <mergeCell ref="X10:Y10"/>
    <mergeCell ref="AA10:AA13"/>
    <mergeCell ref="AD10:AE10"/>
    <mergeCell ref="AG10:AG13"/>
    <mergeCell ref="R10:S10"/>
    <mergeCell ref="A42:Y46"/>
    <mergeCell ref="Y24:Z24"/>
    <mergeCell ref="AC24:AD24"/>
    <mergeCell ref="AE24:AF24"/>
    <mergeCell ref="A25:D26"/>
    <mergeCell ref="N27:R27"/>
    <mergeCell ref="S27:X27"/>
    <mergeCell ref="A24:B24"/>
    <mergeCell ref="C24:D24"/>
    <mergeCell ref="E24:F24"/>
    <mergeCell ref="A28:B28"/>
    <mergeCell ref="A29:B29"/>
    <mergeCell ref="Y29:Z29"/>
    <mergeCell ref="A30:B30"/>
    <mergeCell ref="A40:B40"/>
  </mergeCells>
  <conditionalFormatting sqref="S5">
    <cfRule type="cellIs" dxfId="163" priority="119" stopIfTrue="1" operator="greaterThan">
      <formula>0</formula>
    </cfRule>
  </conditionalFormatting>
  <conditionalFormatting sqref="A28:B28">
    <cfRule type="cellIs" dxfId="162" priority="118" stopIfTrue="1" operator="greaterThan">
      <formula>0</formula>
    </cfRule>
  </conditionalFormatting>
  <conditionalFormatting sqref="A40:B40">
    <cfRule type="cellIs" dxfId="161" priority="117" stopIfTrue="1" operator="greaterThan">
      <formula>0</formula>
    </cfRule>
  </conditionalFormatting>
  <conditionalFormatting sqref="AK26">
    <cfRule type="expression" dxfId="160" priority="116" stopIfTrue="1">
      <formula>AND($C$6=0,$AK$26&gt;0)</formula>
    </cfRule>
  </conditionalFormatting>
  <conditionalFormatting sqref="A14">
    <cfRule type="cellIs" dxfId="159" priority="115" stopIfTrue="1" operator="greaterThan">
      <formula>0</formula>
    </cfRule>
  </conditionalFormatting>
  <conditionalFormatting sqref="AC23:AD23">
    <cfRule type="expression" dxfId="158" priority="76" stopIfTrue="1">
      <formula>$B23&gt;0</formula>
    </cfRule>
  </conditionalFormatting>
  <conditionalFormatting sqref="AC23:AD23">
    <cfRule type="cellIs" dxfId="157" priority="77" stopIfTrue="1" operator="between">
      <formula>1</formula>
      <formula>#REF!-1</formula>
    </cfRule>
    <cfRule type="cellIs" dxfId="156" priority="78" stopIfTrue="1" operator="greaterThan">
      <formula>$D$6</formula>
    </cfRule>
  </conditionalFormatting>
  <conditionalFormatting sqref="AE23:AF23">
    <cfRule type="expression" dxfId="155" priority="75" stopIfTrue="1">
      <formula>NOT(_xlfn.ISFORMULA(AE23))</formula>
    </cfRule>
  </conditionalFormatting>
  <conditionalFormatting sqref="E18:F23">
    <cfRule type="expression" dxfId="154" priority="112" stopIfTrue="1">
      <formula>$B18&gt;0</formula>
    </cfRule>
  </conditionalFormatting>
  <conditionalFormatting sqref="E17:F23 F14:F16">
    <cfRule type="cellIs" dxfId="153" priority="113" stopIfTrue="1" operator="between">
      <formula>1</formula>
      <formula>#REF!-1</formula>
    </cfRule>
    <cfRule type="cellIs" dxfId="152" priority="114" stopIfTrue="1" operator="greaterThan">
      <formula>$C$6</formula>
    </cfRule>
  </conditionalFormatting>
  <conditionalFormatting sqref="K17:L17 L14:L16">
    <cfRule type="cellIs" dxfId="151" priority="110" stopIfTrue="1" operator="between">
      <formula>1</formula>
      <formula>#REF!-1</formula>
    </cfRule>
    <cfRule type="cellIs" dxfId="150" priority="111" stopIfTrue="1" operator="greaterThan">
      <formula>$C$6</formula>
    </cfRule>
  </conditionalFormatting>
  <conditionalFormatting sqref="R14:R17">
    <cfRule type="cellIs" dxfId="149" priority="108" stopIfTrue="1" operator="between">
      <formula>1</formula>
      <formula>#REF!-1</formula>
    </cfRule>
    <cfRule type="cellIs" dxfId="148" priority="109" stopIfTrue="1" operator="greaterThan">
      <formula>$C$6</formula>
    </cfRule>
  </conditionalFormatting>
  <conditionalFormatting sqref="X14:X17">
    <cfRule type="cellIs" dxfId="147" priority="106" stopIfTrue="1" operator="between">
      <formula>1</formula>
      <formula>#REF!-1</formula>
    </cfRule>
    <cfRule type="cellIs" dxfId="146" priority="107" stopIfTrue="1" operator="greaterThan">
      <formula>$C$6</formula>
    </cfRule>
  </conditionalFormatting>
  <conditionalFormatting sqref="AC17:AD17 AD14:AD16">
    <cfRule type="cellIs" dxfId="145" priority="104" stopIfTrue="1" operator="between">
      <formula>1</formula>
      <formula>#REF!-1</formula>
    </cfRule>
    <cfRule type="cellIs" dxfId="144" priority="105" stopIfTrue="1" operator="greaterThan">
      <formula>$C$6</formula>
    </cfRule>
  </conditionalFormatting>
  <conditionalFormatting sqref="AE14:AG23 M14:O23 S14:U23 Y14:AA23 G14:I23">
    <cfRule type="expression" dxfId="143" priority="103" stopIfTrue="1">
      <formula>NOT(_xlfn.ISFORMULA(G14))</formula>
    </cfRule>
  </conditionalFormatting>
  <conditionalFormatting sqref="K18:L22">
    <cfRule type="expression" dxfId="142" priority="100" stopIfTrue="1">
      <formula>$B18&gt;0</formula>
    </cfRule>
  </conditionalFormatting>
  <conditionalFormatting sqref="K18:L22">
    <cfRule type="cellIs" dxfId="141" priority="101" stopIfTrue="1" operator="between">
      <formula>1</formula>
      <formula>#REF!-1</formula>
    </cfRule>
    <cfRule type="cellIs" dxfId="140" priority="102" stopIfTrue="1" operator="greaterThan">
      <formula>$D$6</formula>
    </cfRule>
  </conditionalFormatting>
  <conditionalFormatting sqref="Q18:R22">
    <cfRule type="expression" dxfId="139" priority="97" stopIfTrue="1">
      <formula>$B18&gt;0</formula>
    </cfRule>
  </conditionalFormatting>
  <conditionalFormatting sqref="Q18:R22">
    <cfRule type="cellIs" dxfId="138" priority="98" stopIfTrue="1" operator="between">
      <formula>1</formula>
      <formula>#REF!-1</formula>
    </cfRule>
    <cfRule type="cellIs" dxfId="137" priority="99" stopIfTrue="1" operator="greaterThan">
      <formula>$D$6</formula>
    </cfRule>
  </conditionalFormatting>
  <conditionalFormatting sqref="W18:X22">
    <cfRule type="expression" dxfId="136" priority="94" stopIfTrue="1">
      <formula>$B18&gt;0</formula>
    </cfRule>
  </conditionalFormatting>
  <conditionalFormatting sqref="W18:X22">
    <cfRule type="cellIs" dxfId="135" priority="95" stopIfTrue="1" operator="between">
      <formula>1</formula>
      <formula>#REF!-1</formula>
    </cfRule>
    <cfRule type="cellIs" dxfId="134" priority="96" stopIfTrue="1" operator="greaterThan">
      <formula>$D$6</formula>
    </cfRule>
  </conditionalFormatting>
  <conditionalFormatting sqref="AC18:AD22">
    <cfRule type="expression" dxfId="133" priority="91" stopIfTrue="1">
      <formula>$B18&gt;0</formula>
    </cfRule>
  </conditionalFormatting>
  <conditionalFormatting sqref="AC18:AD22">
    <cfRule type="cellIs" dxfId="132" priority="92" stopIfTrue="1" operator="between">
      <formula>1</formula>
      <formula>#REF!-1</formula>
    </cfRule>
    <cfRule type="cellIs" dxfId="131" priority="93" stopIfTrue="1" operator="greaterThan">
      <formula>$D$6</formula>
    </cfRule>
  </conditionalFormatting>
  <conditionalFormatting sqref="K23:L23">
    <cfRule type="expression" dxfId="130" priority="88" stopIfTrue="1">
      <formula>$B23&gt;0</formula>
    </cfRule>
  </conditionalFormatting>
  <conditionalFormatting sqref="K23:L23">
    <cfRule type="cellIs" dxfId="129" priority="89" stopIfTrue="1" operator="between">
      <formula>1</formula>
      <formula>#REF!-1</formula>
    </cfRule>
    <cfRule type="cellIs" dxfId="128" priority="90" stopIfTrue="1" operator="greaterThan">
      <formula>$D$6</formula>
    </cfRule>
  </conditionalFormatting>
  <conditionalFormatting sqref="M23:N23">
    <cfRule type="expression" dxfId="127" priority="87" stopIfTrue="1">
      <formula>NOT(_xlfn.ISFORMULA(M23))</formula>
    </cfRule>
  </conditionalFormatting>
  <conditionalFormatting sqref="Q23:R23">
    <cfRule type="expression" dxfId="126" priority="84" stopIfTrue="1">
      <formula>$B23&gt;0</formula>
    </cfRule>
  </conditionalFormatting>
  <conditionalFormatting sqref="Q23:R23">
    <cfRule type="cellIs" dxfId="125" priority="85" stopIfTrue="1" operator="between">
      <formula>1</formula>
      <formula>#REF!-1</formula>
    </cfRule>
    <cfRule type="cellIs" dxfId="124" priority="86" stopIfTrue="1" operator="greaterThan">
      <formula>$D$6</formula>
    </cfRule>
  </conditionalFormatting>
  <conditionalFormatting sqref="S23:T23">
    <cfRule type="expression" dxfId="123" priority="83" stopIfTrue="1">
      <formula>NOT(_xlfn.ISFORMULA(S23))</formula>
    </cfRule>
  </conditionalFormatting>
  <conditionalFormatting sqref="W23:X23">
    <cfRule type="expression" dxfId="122" priority="80" stopIfTrue="1">
      <formula>$B23&gt;0</formula>
    </cfRule>
  </conditionalFormatting>
  <conditionalFormatting sqref="W23:X23">
    <cfRule type="cellIs" dxfId="121" priority="81" stopIfTrue="1" operator="between">
      <formula>1</formula>
      <formula>#REF!-1</formula>
    </cfRule>
    <cfRule type="cellIs" dxfId="120" priority="82" stopIfTrue="1" operator="greaterThan">
      <formula>$D$6</formula>
    </cfRule>
  </conditionalFormatting>
  <conditionalFormatting sqref="Y23:Z23">
    <cfRule type="expression" dxfId="119" priority="79" stopIfTrue="1">
      <formula>NOT(_xlfn.ISFORMULA(Y23))</formula>
    </cfRule>
  </conditionalFormatting>
  <conditionalFormatting sqref="A29:B30">
    <cfRule type="expression" dxfId="118" priority="74">
      <formula>$A$29&gt;$A$28</formula>
    </cfRule>
  </conditionalFormatting>
  <conditionalFormatting sqref="M23:N23">
    <cfRule type="expression" dxfId="117" priority="73" stopIfTrue="1">
      <formula>NOT(_xlfn.ISFORMULA(M23))</formula>
    </cfRule>
  </conditionalFormatting>
  <conditionalFormatting sqref="G23:H23">
    <cfRule type="expression" dxfId="116" priority="72" stopIfTrue="1">
      <formula>NOT(_xlfn.ISFORMULA(G23))</formula>
    </cfRule>
  </conditionalFormatting>
  <conditionalFormatting sqref="S23:T23">
    <cfRule type="expression" dxfId="115" priority="71" stopIfTrue="1">
      <formula>NOT(_xlfn.ISFORMULA(S23))</formula>
    </cfRule>
  </conditionalFormatting>
  <conditionalFormatting sqref="S23:T23">
    <cfRule type="expression" dxfId="114" priority="70" stopIfTrue="1">
      <formula>NOT(_xlfn.ISFORMULA(S23))</formula>
    </cfRule>
  </conditionalFormatting>
  <conditionalFormatting sqref="Y23:Z23">
    <cfRule type="expression" dxfId="113" priority="69" stopIfTrue="1">
      <formula>NOT(_xlfn.ISFORMULA(Y23))</formula>
    </cfRule>
  </conditionalFormatting>
  <conditionalFormatting sqref="Y23:Z23">
    <cfRule type="expression" dxfId="112" priority="68" stopIfTrue="1">
      <formula>NOT(_xlfn.ISFORMULA(Y23))</formula>
    </cfRule>
  </conditionalFormatting>
  <conditionalFormatting sqref="AE23:AF23">
    <cfRule type="expression" dxfId="111" priority="67" stopIfTrue="1">
      <formula>NOT(_xlfn.ISFORMULA(AE23))</formula>
    </cfRule>
  </conditionalFormatting>
  <conditionalFormatting sqref="AE23:AF23">
    <cfRule type="expression" dxfId="110" priority="66" stopIfTrue="1">
      <formula>NOT(_xlfn.ISFORMULA(AE23))</formula>
    </cfRule>
  </conditionalFormatting>
  <conditionalFormatting sqref="G23:H23">
    <cfRule type="expression" dxfId="109" priority="65" stopIfTrue="1">
      <formula>NOT(_xlfn.ISFORMULA(G23))</formula>
    </cfRule>
  </conditionalFormatting>
  <conditionalFormatting sqref="G23:H23">
    <cfRule type="expression" dxfId="108" priority="64" stopIfTrue="1">
      <formula>NOT(_xlfn.ISFORMULA(G23))</formula>
    </cfRule>
  </conditionalFormatting>
  <conditionalFormatting sqref="G23:H23">
    <cfRule type="expression" dxfId="107" priority="63" stopIfTrue="1">
      <formula>NOT(_xlfn.ISFORMULA(G23))</formula>
    </cfRule>
  </conditionalFormatting>
  <conditionalFormatting sqref="M23:N23">
    <cfRule type="expression" dxfId="106" priority="62" stopIfTrue="1">
      <formula>NOT(_xlfn.ISFORMULA(M23))</formula>
    </cfRule>
  </conditionalFormatting>
  <conditionalFormatting sqref="M23:N23">
    <cfRule type="expression" dxfId="105" priority="61" stopIfTrue="1">
      <formula>NOT(_xlfn.ISFORMULA(M23))</formula>
    </cfRule>
  </conditionalFormatting>
  <conditionalFormatting sqref="M23:N23">
    <cfRule type="expression" dxfId="104" priority="60" stopIfTrue="1">
      <formula>NOT(_xlfn.ISFORMULA(M23))</formula>
    </cfRule>
  </conditionalFormatting>
  <conditionalFormatting sqref="M23:N23">
    <cfRule type="expression" dxfId="103" priority="59" stopIfTrue="1">
      <formula>NOT(_xlfn.ISFORMULA(M23))</formula>
    </cfRule>
  </conditionalFormatting>
  <conditionalFormatting sqref="S23:T23">
    <cfRule type="expression" dxfId="102" priority="58" stopIfTrue="1">
      <formula>NOT(_xlfn.ISFORMULA(S23))</formula>
    </cfRule>
  </conditionalFormatting>
  <conditionalFormatting sqref="S23:T23">
    <cfRule type="expression" dxfId="101" priority="57" stopIfTrue="1">
      <formula>NOT(_xlfn.ISFORMULA(S23))</formula>
    </cfRule>
  </conditionalFormatting>
  <conditionalFormatting sqref="S23:T23">
    <cfRule type="expression" dxfId="100" priority="56" stopIfTrue="1">
      <formula>NOT(_xlfn.ISFORMULA(S23))</formula>
    </cfRule>
  </conditionalFormatting>
  <conditionalFormatting sqref="S23:T23">
    <cfRule type="expression" dxfId="99" priority="55" stopIfTrue="1">
      <formula>NOT(_xlfn.ISFORMULA(S23))</formula>
    </cfRule>
  </conditionalFormatting>
  <conditionalFormatting sqref="S23:T23">
    <cfRule type="expression" dxfId="98" priority="54" stopIfTrue="1">
      <formula>NOT(_xlfn.ISFORMULA(S23))</formula>
    </cfRule>
  </conditionalFormatting>
  <conditionalFormatting sqref="S23:T23">
    <cfRule type="expression" dxfId="97" priority="53" stopIfTrue="1">
      <formula>NOT(_xlfn.ISFORMULA(S23))</formula>
    </cfRule>
  </conditionalFormatting>
  <conditionalFormatting sqref="Y23:Z23">
    <cfRule type="expression" dxfId="96" priority="52" stopIfTrue="1">
      <formula>NOT(_xlfn.ISFORMULA(Y23))</formula>
    </cfRule>
  </conditionalFormatting>
  <conditionalFormatting sqref="Y23:Z23">
    <cfRule type="expression" dxfId="95" priority="51" stopIfTrue="1">
      <formula>NOT(_xlfn.ISFORMULA(Y23))</formula>
    </cfRule>
  </conditionalFormatting>
  <conditionalFormatting sqref="Y23:Z23">
    <cfRule type="expression" dxfId="94" priority="50" stopIfTrue="1">
      <formula>NOT(_xlfn.ISFORMULA(Y23))</formula>
    </cfRule>
  </conditionalFormatting>
  <conditionalFormatting sqref="Y23:Z23">
    <cfRule type="expression" dxfId="93" priority="49" stopIfTrue="1">
      <formula>NOT(_xlfn.ISFORMULA(Y23))</formula>
    </cfRule>
  </conditionalFormatting>
  <conditionalFormatting sqref="Y23:Z23">
    <cfRule type="expression" dxfId="92" priority="48" stopIfTrue="1">
      <formula>NOT(_xlfn.ISFORMULA(Y23))</formula>
    </cfRule>
  </conditionalFormatting>
  <conditionalFormatting sqref="Y23:Z23">
    <cfRule type="expression" dxfId="91" priority="47" stopIfTrue="1">
      <formula>NOT(_xlfn.ISFORMULA(Y23))</formula>
    </cfRule>
  </conditionalFormatting>
  <conditionalFormatting sqref="Y23:Z23">
    <cfRule type="expression" dxfId="90" priority="46" stopIfTrue="1">
      <formula>NOT(_xlfn.ISFORMULA(Y23))</formula>
    </cfRule>
  </conditionalFormatting>
  <conditionalFormatting sqref="Y23:Z23">
    <cfRule type="expression" dxfId="89" priority="45" stopIfTrue="1">
      <formula>NOT(_xlfn.ISFORMULA(Y23))</formula>
    </cfRule>
  </conditionalFormatting>
  <conditionalFormatting sqref="Y23:Z23">
    <cfRule type="expression" dxfId="88" priority="44" stopIfTrue="1">
      <formula>NOT(_xlfn.ISFORMULA(Y23))</formula>
    </cfRule>
  </conditionalFormatting>
  <conditionalFormatting sqref="D14:D23">
    <cfRule type="expression" dxfId="87" priority="43">
      <formula>IF(AND($C14&gt;0,$C14&lt;$BN$12),TRUE,FALSE)</formula>
    </cfRule>
  </conditionalFormatting>
  <conditionalFormatting sqref="N27:R27">
    <cfRule type="expression" dxfId="86" priority="42">
      <formula>$BN$25&gt;0</formula>
    </cfRule>
  </conditionalFormatting>
  <conditionalFormatting sqref="A15:A23">
    <cfRule type="expression" dxfId="85" priority="41" stopIfTrue="1">
      <formula>AND($A15&lt;$B14,$A15&gt;0)</formula>
    </cfRule>
  </conditionalFormatting>
  <conditionalFormatting sqref="Q17">
    <cfRule type="cellIs" dxfId="84" priority="39" stopIfTrue="1" operator="between">
      <formula>1</formula>
      <formula>#REF!-1</formula>
    </cfRule>
    <cfRule type="cellIs" dxfId="83" priority="40" stopIfTrue="1" operator="greaterThan">
      <formula>$C$6</formula>
    </cfRule>
  </conditionalFormatting>
  <conditionalFormatting sqref="W17">
    <cfRule type="cellIs" dxfId="82" priority="37" stopIfTrue="1" operator="between">
      <formula>1</formula>
      <formula>#REF!-1</formula>
    </cfRule>
    <cfRule type="cellIs" dxfId="81" priority="38" stopIfTrue="1" operator="greaterThan">
      <formula>$C$6</formula>
    </cfRule>
  </conditionalFormatting>
  <conditionalFormatting sqref="Y29:Z29">
    <cfRule type="expression" dxfId="80" priority="35" stopIfTrue="1">
      <formula>AND($X$29&gt;0,$Y$29=0)</formula>
    </cfRule>
    <cfRule type="cellIs" dxfId="79" priority="36" stopIfTrue="1" operator="greaterThan">
      <formula>0</formula>
    </cfRule>
  </conditionalFormatting>
  <conditionalFormatting sqref="G24:H24">
    <cfRule type="cellIs" dxfId="78" priority="34" operator="notEqual">
      <formula>0</formula>
    </cfRule>
  </conditionalFormatting>
  <conditionalFormatting sqref="M24:N24">
    <cfRule type="cellIs" dxfId="77" priority="33" operator="notEqual">
      <formula>0</formula>
    </cfRule>
  </conditionalFormatting>
  <conditionalFormatting sqref="S24:T24">
    <cfRule type="cellIs" dxfId="76" priority="32" operator="notEqual">
      <formula>0</formula>
    </cfRule>
  </conditionalFormatting>
  <conditionalFormatting sqref="Y24:Z24">
    <cfRule type="cellIs" dxfId="75" priority="31" operator="notEqual">
      <formula>0</formula>
    </cfRule>
  </conditionalFormatting>
  <conditionalFormatting sqref="AE24:AF24">
    <cfRule type="cellIs" dxfId="74" priority="30" operator="notEqual">
      <formula>0</formula>
    </cfRule>
  </conditionalFormatting>
  <conditionalFormatting sqref="K24:L24">
    <cfRule type="expression" dxfId="73" priority="28">
      <formula>M24&gt;0</formula>
    </cfRule>
  </conditionalFormatting>
  <conditionalFormatting sqref="Q24:R24">
    <cfRule type="expression" dxfId="72" priority="27">
      <formula>S24&gt;0</formula>
    </cfRule>
  </conditionalFormatting>
  <conditionalFormatting sqref="W24:X24">
    <cfRule type="expression" dxfId="71" priority="26">
      <formula>Y24&gt;0</formula>
    </cfRule>
  </conditionalFormatting>
  <conditionalFormatting sqref="AC24:AD24">
    <cfRule type="expression" dxfId="70" priority="25">
      <formula>AE24&gt;0</formula>
    </cfRule>
  </conditionalFormatting>
  <conditionalFormatting sqref="I24">
    <cfRule type="cellIs" dxfId="69" priority="24" operator="notEqual">
      <formula>0</formula>
    </cfRule>
  </conditionalFormatting>
  <conditionalFormatting sqref="O24">
    <cfRule type="cellIs" dxfId="68" priority="23" operator="notEqual">
      <formula>0</formula>
    </cfRule>
  </conditionalFormatting>
  <conditionalFormatting sqref="U24">
    <cfRule type="cellIs" dxfId="67" priority="22" operator="notEqual">
      <formula>0</formula>
    </cfRule>
  </conditionalFormatting>
  <conditionalFormatting sqref="AA24">
    <cfRule type="cellIs" dxfId="66" priority="21" operator="notEqual">
      <formula>0</formula>
    </cfRule>
  </conditionalFormatting>
  <conditionalFormatting sqref="AG24">
    <cfRule type="cellIs" dxfId="65" priority="20" operator="notEqual">
      <formula>0</formula>
    </cfRule>
  </conditionalFormatting>
  <conditionalFormatting sqref="S27:X27">
    <cfRule type="expression" dxfId="64" priority="19" stopIfTrue="1">
      <formula>OR(AK26&gt;0,H31&gt;0)</formula>
    </cfRule>
  </conditionalFormatting>
  <conditionalFormatting sqref="A25">
    <cfRule type="cellIs" dxfId="63" priority="18" operator="notEqual">
      <formula>0</formula>
    </cfRule>
  </conditionalFormatting>
  <conditionalFormatting sqref="E14:E16">
    <cfRule type="cellIs" dxfId="62" priority="16" stopIfTrue="1" operator="between">
      <formula>1</formula>
      <formula>#REF!-1</formula>
    </cfRule>
    <cfRule type="cellIs" dxfId="61" priority="17" stopIfTrue="1" operator="greaterThan">
      <formula>$C$6</formula>
    </cfRule>
  </conditionalFormatting>
  <conditionalFormatting sqref="AC14:AC16">
    <cfRule type="cellIs" dxfId="60" priority="8" stopIfTrue="1" operator="between">
      <formula>1</formula>
      <formula>#REF!-1</formula>
    </cfRule>
    <cfRule type="cellIs" dxfId="59" priority="9" stopIfTrue="1" operator="greaterThan">
      <formula>$C$6</formula>
    </cfRule>
  </conditionalFormatting>
  <conditionalFormatting sqref="K14:K16">
    <cfRule type="cellIs" dxfId="58" priority="6" stopIfTrue="1" operator="between">
      <formula>1</formula>
      <formula>#REF!-1</formula>
    </cfRule>
    <cfRule type="cellIs" dxfId="57" priority="7" stopIfTrue="1" operator="greaterThan">
      <formula>$C$6</formula>
    </cfRule>
  </conditionalFormatting>
  <conditionalFormatting sqref="Q14:Q16">
    <cfRule type="cellIs" dxfId="56" priority="4" stopIfTrue="1" operator="between">
      <formula>1</formula>
      <formula>#REF!-1</formula>
    </cfRule>
    <cfRule type="cellIs" dxfId="55" priority="5" stopIfTrue="1" operator="greaterThan">
      <formula>$C$6</formula>
    </cfRule>
  </conditionalFormatting>
  <conditionalFormatting sqref="W14:W16">
    <cfRule type="cellIs" dxfId="54" priority="2" stopIfTrue="1" operator="between">
      <formula>1</formula>
      <formula>#REF!-1</formula>
    </cfRule>
    <cfRule type="cellIs" dxfId="53" priority="3" stopIfTrue="1" operator="greaterThan">
      <formula>$C$6</formula>
    </cfRule>
  </conditionalFormatting>
  <conditionalFormatting sqref="A24:F24">
    <cfRule type="expression" dxfId="52" priority="1">
      <formula>C24&gt;0</formula>
    </cfRule>
  </conditionalFormatting>
  <dataValidations count="11">
    <dataValidation allowBlank="1" showInputMessage="1" showErrorMessage="1" prompt="Lehrerstunden wöchentlich in GL _x000a_1 : 1 einzutragen (wie gehalten)" sqref="S852002 G65570 G131106 G196642 G262178 G327714 G393250 G458786 G524322 G589858 G655394 G720930 G786466 G852002 G917538 G983074 S917538 M65570 M131106 M196642 M262178 M327714 M393250 M458786 M524322 M589858 M655394 M720930 M786466 M852002 M917538 M983074 S983074 S65570 S131106 S196642 S262178 S327714 S393250 S458786 S524322 S589858 S655394 S720930 S786466"/>
    <dataValidation allowBlank="1" showInputMessage="1" showErrorMessage="1" prompt="Die Wochensstunden der Individ.LZ sind _x000a_mit 2 : 1 umgerechnet einzutragen _x000a_(gehalten 2  =  1 zu verrechnen)" sqref="T852002:U852002 H65570:I65570 H131106:I131106 H196642:I196642 H262178:I262178 H327714:I327714 H393250:I393250 H458786:I458786 H524322:I524322 H589858:I589858 H655394:I655394 H720930:I720930 H786466:I786466 H852002:I852002 H917538:I917538 H983074:I983074 T917538:U917538 N65570:O65570 N131106:O131106 N196642:O196642 N262178:O262178 N327714:O327714 N393250:O393250 N458786:O458786 N524322:O524322 N589858:O589858 N655394:O655394 N720930:O720930 N786466:O786466 N852002:O852002 N917538:O917538 N983074:O983074 T983074:U983074 T65570:U65570 T131106:U131106 T196642:U196642 T262178:U262178 T327714:U327714 T393250:U393250 T458786:U458786 T524322:U524322 T589858:U589858 T655394:U655394 T720930:U720930 T786466:U786466"/>
    <dataValidation type="whole" allowBlank="1" showInputMessage="1" showErrorMessage="1" error="soviel geht nicht!" prompt="jeder (verschiedene) Schülerkopf = 1_x000a_... unabhängig an wieviel Tagen pro Woche_x000a__x000a_Minuseintrag = selber keine Gruppe_x000a_" sqref="M5 M65543 M131079 M196615 M262151 M327687 M393223 M458759 M524295 M589831 M655367 M720903 M786439 M851975 M917511 M983047">
      <formula1>-J5</formula1>
      <formula2>222</formula2>
    </dataValidation>
    <dataValidation type="time" allowBlank="1" showInputMessage="1" showErrorMessage="1" error="Uhrzeit bitte mit Doppelpunkt eingeben" sqref="A917521:A917529 B65552:B65561 B131088:B131097 B196624:B196633 B262160:B262169 B327696:B327705 B393232:B393241 B458768:B458777 B524304:B524313 B589840:B589849 B655376:B655385 B720912:B720921 B786448:B786457 B851984:B851993 B917520:B917529 B983056:B983065 A983057:A983065 A65553:A65561 A131089:A131097 A196625:A196633 A262161:A262169 A327697:A327705 A393233:A393241 A458769:A458777 A524305:A524313 A589841:A589849 A655377:A655385 A720913:A720921 A786449:A786457 A851985:A851993 A15:A23 B14:B23">
      <formula1>0.291666666666667</formula1>
      <formula2>0.75</formula2>
    </dataValidation>
    <dataValidation type="time" allowBlank="1" showInputMessage="1" showErrorMessage="1" error="Uhrzeit bitte mit Doppelpunkt eingeben" prompt="Uhrzeit bitte mit Doppelpunkt eingeben" sqref="A983056 A65552 A131088 A196624 A262160 A327696 A393232 A458768 A524304 A589840 A655376 A720912 A786448 A851984 A917520 A14">
      <formula1>0.291666666666667</formula1>
      <formula2>0.75</formula2>
    </dataValidation>
    <dataValidation type="whole" operator="lessThanOrEqual" allowBlank="1" showErrorMessage="1" error="diese Zahl passt nicht zusammen mit der Schülerzahl in Zeile 5!" sqref="AE720912:AE720921 G65552:G65561 G131088:G131097 G196624:G196633 G262160:G262169 G327696:G327705 G393232:G393241 G458768:G458777 G524304:G524313 G589840:G589849 G655376:G655385 G720912:G720921 G786448:G786457 G851984:G851993 G917520:G917529 G983056:G983065 AE786448:AE786457 M65552:M65561 M131088:M131097 M196624:M196633 M262160:M262169 M327696:M327705 M393232:M393241 M458768:M458777 M524304:M524313 M589840:M589849 M655376:M655385 M720912:M720921 M786448:M786457 M851984:M851993 M917520:M917529 M983056:M983065 AE851984:AE851993 S65552:S65561 S131088:S131097 S196624:S196633 S262160:S262169 S327696:S327705 S393232:S393241 S458768:S458777 S524304:S524313 S589840:S589849 S655376:S655385 S720912:S720921 S786448:S786457 S851984:S851993 S917520:S917529 S983056:S983065 AE917520:AE917529 Y65552:Y65561 Y131088:Y131097 Y196624:Y196633 Y262160:Y262169 Y327696:Y327705 Y393232:Y393241 Y458768:Y458777 Y524304:Y524313 Y589840:Y589849 Y655376:Y655385 Y720912:Y720921 Y786448:Y786457 Y851984:Y851993 Y917520:Y917529 Y983056:Y983065 AE983056:AE983065 AE65552:AE65561 AE131088:AE131097 AE196624:AE196633 AE262160:AE262169 AE327696:AE327705 AE393232:AE393241 AE458768:AE458777 AE524304:AE524313 AE589840:AE589849 AE655376:AE655385">
      <formula1>$Q$6</formula1>
    </dataValidation>
    <dataValidation type="whole" operator="lessThanOrEqual" allowBlank="1" showInputMessage="1" showErrorMessage="1" error="diese Zahl passt nicht zusammen mit der Schülerzahl in Zeile 5!" prompt="Lehrerstunden wöchentlich  ... nach Umrechnung  2 : 1_x000a__x000a_(gehalten 2  =  1 zu verrechnen)" sqref="AF720912:AH720921 H65552:I65561 H131088:I131097 H196624:I196633 H262160:I262169 H327696:I327705 H393232:I393241 H458768:I458777 H524304:I524313 H589840:I589849 H655376:I655385 H720912:I720921 H786448:I786457 H851984:I851993 H917520:I917529 H983056:I983065 AF786448:AH786457 N65552:O65561 N131088:O131097 N196624:O196633 N262160:O262169 N327696:O327705 N393232:O393241 N458768:O458777 N524304:O524313 N589840:O589849 N655376:O655385 N720912:O720921 N786448:O786457 N851984:O851993 N917520:O917529 N983056:O983065 AF851984:AH851993 T65552:U65561 T131088:U131097 T196624:U196633 T262160:U262169 T327696:U327705 T393232:U393241 T458768:U458777 T524304:U524313 T589840:U589849 T655376:U655385 T720912:U720921 T786448:U786457 T851984:U851993 T917520:U917529 T983056:U983065 AF917520:AH917529 Z65552:AA65561 Z131088:AA131097 Z196624:AA196633 Z262160:AA262169 Z327696:AA327705 Z393232:AA393241 Z458768:AA458777 Z524304:AA524313 Z589840:AA589849 Z655376:AA655385 Z720912:AA720921 Z786448:AA786457 Z851984:AA851993 Z917520:AA917529 Z983056:AA983065 AF983056:AH983065 AF65552:AH65561 AF131088:AH131097 AF196624:AH196633 AF262160:AH262169 AF327696:AH327705 AF393232:AH393241 AF458768:AH458777 AF524304:AH524313 AF589840:AH589849 AF655376:AH655385">
      <formula1>$Q$6</formula1>
    </dataValidation>
    <dataValidation type="whole" allowBlank="1" showInputMessage="1" error="bitte Schüler als Ganzzahl eingeben!_x000a_(mindestens = 8 pro Gruppe)" sqref="AC720912:AD720921 E65552:F65561 E131088:F131097 E196624:F196633 E262160:F262169 E327696:F327705 E393232:F393241 E458768:F458777 E524304:F524313 E589840:F589849 E655376:F655385 E720912:F720921 E786448:F786457 E851984:F851993 E917520:F917529 E983056:F983065 AC786448:AD786457 K65552:L65561 K131088:L131097 K196624:L196633 K262160:L262169 K327696:L327705 K393232:L393241 K458768:L458777 K524304:L524313 K589840:L589849 K655376:L655385 K720912:L720921 K786448:L786457 K851984:L851993 K917520:L917529 K983056:L983065 AC851984:AD851993 Q65552:R65561 Q131088:R131097 Q196624:R196633 Q262160:R262169 Q327696:R327705 Q393232:R393241 Q458768:R458777 Q524304:R524313 Q589840:R589849 Q655376:R655385 Q720912:R720921 Q786448:R786457 Q851984:R851993 Q917520:R917529 Q983056:R983065 AC917520:AD917529 W65552:X65561 W131088:X131097 W196624:X196633 W262160:X262169 W327696:X327705 W393232:X393241 W458768:X458777 W524304:X524313 W589840:X589849 W655376:X655385 W720912:X720921 W786448:X786457 W851984:X851993 W917520:X917529 W983056:X983065 AC983056:AD983065 AC65552:AD65561 AC131088:AD131097 AC196624:AD196633 AC262160:AD262169 AC327696:AD327705 AC393232:AD393241 AC458768:AD458777 AC524304:AD524313 AC589840:AD589849 AC655376:AD655385 A24">
      <formula1>$AL$2</formula1>
      <formula2>333</formula2>
    </dataValidation>
    <dataValidation type="decimal" operator="lessThanOrEqual" allowBlank="1" showInputMessage="1" showErrorMessage="1" error="diese Zahl passt nicht zusammen mit der Schülerzahl in Zeile 5!" prompt="Berechnet wird:_x000a_Pro GLZ Gruppe eine Stunde._x000a_Pro ILZ Gruppe eine halbe Stunden._x000a_Weicht die Unterrichtseinheit von 50 min ab, wird entsprechend aliquotiert." sqref="O14:O23 U14:U23 AA14:AA23 I14:I23 AH14:AH24 AG14:AG23">
      <formula1>$Q$6</formula1>
    </dataValidation>
    <dataValidation type="whole" operator="lessThanOrEqual" allowBlank="1" showInputMessage="1" showErrorMessage="1" error="diese Zahl passt nicht zusammen mit der Schülerzahl in Zeile 5!" prompt="Der berechnete Wert dient als Richtwert und kann überschrieben werden._x000a__x000a_Eingabe der tatsächlich eingerichteten Gruppen der GLZ" sqref="Y14:Z23 M14:N23 S14:T23 G14:H23 AE14:AF23">
      <formula1>$Q$6</formula1>
    </dataValidation>
    <dataValidation type="whole" operator="greaterThanOrEqual" allowBlank="1" showInputMessage="1" showErrorMessage="1" sqref="E14:F23 K14:L23 Q14:R23 W14:X23 AC14:AD23">
      <formula1>$AM$2</formula1>
    </dataValidation>
  </dataValidations>
  <hyperlinks>
    <hyperlink ref="V4" r:id="rId1"/>
  </hyperlinks>
  <printOptions horizontalCentered="1"/>
  <pageMargins left="0.48" right="0.32" top="0.35433070866141736" bottom="0.31496062992125984" header="0.39370078740157483" footer="0.43307086614173229"/>
  <pageSetup paperSize="9" scale="76" fitToHeight="2" orientation="landscape" horizontalDpi="4294967293" r:id="rId2"/>
  <headerFooter alignWithMargins="0">
    <oddFooter>&amp;C&amp;8&amp;F</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DB91B6"/>
    <pageSetUpPr fitToPage="1"/>
  </sheetPr>
  <dimension ref="A1:S89"/>
  <sheetViews>
    <sheetView showGridLines="0" showZeros="0" zoomScaleNormal="100" workbookViewId="0">
      <selection activeCell="A5" sqref="A5"/>
    </sheetView>
  </sheetViews>
  <sheetFormatPr baseColWidth="10" defaultColWidth="11.42578125" defaultRowHeight="15" zeroHeight="1" x14ac:dyDescent="0.25"/>
  <cols>
    <col min="1" max="1" width="7.140625" style="227" customWidth="1"/>
    <col min="2" max="2" width="9.140625" style="227" customWidth="1"/>
    <col min="3" max="3" width="12.85546875" style="227" customWidth="1"/>
    <col min="4" max="4" width="8.85546875" style="227" customWidth="1"/>
    <col min="5" max="5" width="7.7109375" style="227" customWidth="1"/>
    <col min="6" max="6" width="6.85546875" style="227" customWidth="1"/>
    <col min="7" max="7" width="1" style="147" customWidth="1"/>
    <col min="8" max="9" width="9.85546875" style="227" customWidth="1"/>
    <col min="10" max="10" width="1" style="147" customWidth="1"/>
    <col min="11" max="12" width="8.5703125" style="227" customWidth="1"/>
    <col min="13" max="13" width="3.42578125" style="227" customWidth="1"/>
    <col min="14" max="14" width="7.5703125" style="147" customWidth="1"/>
    <col min="15" max="16384" width="11.42578125" style="147"/>
  </cols>
  <sheetData>
    <row r="1" spans="1:19" ht="26.25" x14ac:dyDescent="0.4">
      <c r="A1" s="519" t="s">
        <v>742</v>
      </c>
      <c r="B1" s="502"/>
      <c r="C1" s="503"/>
      <c r="D1" s="503"/>
      <c r="E1" s="503"/>
      <c r="F1" s="504"/>
      <c r="G1" s="505"/>
      <c r="H1" s="503"/>
      <c r="I1" s="503"/>
      <c r="J1" s="506"/>
      <c r="K1" s="503"/>
      <c r="L1" s="507" t="str">
        <f>Konti_VS!C7</f>
        <v>VS  . . .</v>
      </c>
      <c r="M1" s="508">
        <f>Konti_VS!B7</f>
        <v>0</v>
      </c>
      <c r="N1" s="375"/>
      <c r="S1" s="125"/>
    </row>
    <row r="2" spans="1:19" ht="19.5" customHeight="1" x14ac:dyDescent="0.4">
      <c r="A2" s="512" t="s">
        <v>743</v>
      </c>
      <c r="B2" s="509"/>
      <c r="C2" s="510"/>
      <c r="D2" s="510"/>
      <c r="E2" s="510"/>
      <c r="F2" s="334"/>
      <c r="G2" s="511"/>
      <c r="H2" s="510"/>
      <c r="I2" s="510"/>
      <c r="J2" s="211"/>
      <c r="K2" s="510"/>
      <c r="L2" s="258"/>
      <c r="M2" s="508"/>
      <c r="N2" s="375"/>
      <c r="S2" s="125"/>
    </row>
    <row r="3" spans="1:19" ht="4.5" customHeight="1" x14ac:dyDescent="0.25">
      <c r="G3" s="330"/>
      <c r="N3" s="375"/>
    </row>
    <row r="4" spans="1:19" ht="33.75" customHeight="1" x14ac:dyDescent="0.5">
      <c r="B4" s="349"/>
      <c r="D4" s="341" t="str">
        <f>"Bedarfsplanung für 20"&amp;RIGHT(Konti_VS!H1,5)</f>
        <v>Bedarfsplanung für 2024/25</v>
      </c>
      <c r="G4" s="330"/>
      <c r="H4" s="937" t="s">
        <v>744</v>
      </c>
      <c r="I4" s="937" t="s">
        <v>579</v>
      </c>
      <c r="K4" s="940" t="s">
        <v>747</v>
      </c>
      <c r="L4" s="940" t="s">
        <v>580</v>
      </c>
      <c r="N4" s="375"/>
    </row>
    <row r="5" spans="1:19" ht="21" x14ac:dyDescent="0.3">
      <c r="A5" s="228"/>
      <c r="B5" s="348"/>
      <c r="C5" s="229"/>
      <c r="D5" s="345">
        <f>Konti_VS!C17</f>
        <v>0</v>
      </c>
      <c r="F5" s="943">
        <f>COUNTIF(F9:F68,O9)</f>
        <v>0</v>
      </c>
      <c r="G5" s="330"/>
      <c r="H5" s="938"/>
      <c r="I5" s="938"/>
      <c r="K5" s="941"/>
      <c r="L5" s="941"/>
      <c r="N5" s="375"/>
    </row>
    <row r="6" spans="1:19" ht="21" x14ac:dyDescent="0.35">
      <c r="A6" s="230"/>
      <c r="B6" s="231" t="s">
        <v>526</v>
      </c>
      <c r="C6" s="232">
        <f>SUBTOTAL(103,C9:C68)</f>
        <v>0</v>
      </c>
      <c r="D6" s="233">
        <f>IF(AND(C6&gt;0,D5&gt;0),ROUND(C6/D5,3),)</f>
        <v>0</v>
      </c>
      <c r="F6" s="944"/>
      <c r="G6" s="330"/>
      <c r="H6" s="938"/>
      <c r="I6" s="938"/>
      <c r="K6" s="941"/>
      <c r="L6" s="941"/>
      <c r="N6" s="375"/>
    </row>
    <row r="7" spans="1:19" ht="31.5" x14ac:dyDescent="0.5">
      <c r="A7" s="331" t="s">
        <v>509</v>
      </c>
      <c r="B7" s="234" t="s">
        <v>582</v>
      </c>
      <c r="C7" s="235" t="s">
        <v>510</v>
      </c>
      <c r="D7" s="236"/>
      <c r="E7" s="237" t="s">
        <v>511</v>
      </c>
      <c r="F7" s="331" t="s">
        <v>9</v>
      </c>
      <c r="G7" s="347"/>
      <c r="H7" s="939"/>
      <c r="I7" s="939"/>
      <c r="K7" s="942"/>
      <c r="L7" s="942"/>
      <c r="M7" s="238" t="s">
        <v>512</v>
      </c>
      <c r="N7" s="375"/>
    </row>
    <row r="8" spans="1:19" ht="4.5" customHeight="1" x14ac:dyDescent="0.25">
      <c r="M8" s="239"/>
      <c r="N8" s="375"/>
    </row>
    <row r="9" spans="1:19" x14ac:dyDescent="0.25">
      <c r="A9" s="240"/>
      <c r="B9" s="240"/>
      <c r="C9" s="241"/>
      <c r="D9" s="242"/>
      <c r="E9" s="240"/>
      <c r="F9" s="243"/>
      <c r="H9" s="335"/>
      <c r="I9" s="335"/>
      <c r="K9" s="240"/>
      <c r="L9" s="240"/>
      <c r="M9" s="244" t="str">
        <f>IF(C9&gt;0,MAX(M$8:M8)+1,"")</f>
        <v/>
      </c>
      <c r="N9" s="375"/>
      <c r="O9" s="342" t="s">
        <v>774</v>
      </c>
    </row>
    <row r="10" spans="1:19" x14ac:dyDescent="0.25">
      <c r="A10" s="240"/>
      <c r="B10" s="240"/>
      <c r="C10" s="241"/>
      <c r="D10" s="242"/>
      <c r="E10" s="240"/>
      <c r="F10" s="243"/>
      <c r="G10" s="329"/>
      <c r="H10" s="335"/>
      <c r="I10" s="335"/>
      <c r="J10" s="329"/>
      <c r="K10" s="240"/>
      <c r="L10" s="240"/>
      <c r="M10" s="244" t="str">
        <f>IF(C10&gt;0,MAX(M$8:M9)+1,"")</f>
        <v/>
      </c>
      <c r="N10" s="375"/>
      <c r="O10" s="342" t="s">
        <v>775</v>
      </c>
    </row>
    <row r="11" spans="1:19" x14ac:dyDescent="0.25">
      <c r="A11" s="240"/>
      <c r="B11" s="240"/>
      <c r="C11" s="241"/>
      <c r="D11" s="242"/>
      <c r="E11" s="240"/>
      <c r="F11" s="243"/>
      <c r="H11" s="335"/>
      <c r="I11" s="335"/>
      <c r="K11" s="240"/>
      <c r="L11" s="240"/>
      <c r="M11" s="244" t="str">
        <f>IF(C11&gt;0,MAX(M$8:M10)+1,"")</f>
        <v/>
      </c>
      <c r="N11" s="375"/>
      <c r="O11" s="342" t="s">
        <v>518</v>
      </c>
    </row>
    <row r="12" spans="1:19" x14ac:dyDescent="0.25">
      <c r="A12" s="245"/>
      <c r="B12" s="245"/>
      <c r="C12" s="246"/>
      <c r="D12" s="247"/>
      <c r="E12" s="245"/>
      <c r="F12" s="248"/>
      <c r="H12" s="245"/>
      <c r="I12" s="245"/>
      <c r="K12" s="245"/>
      <c r="L12" s="245"/>
      <c r="M12" s="244" t="str">
        <f>IF(C12&gt;0,MAX(M$8:M11)+1,"")</f>
        <v/>
      </c>
      <c r="N12" s="375"/>
      <c r="O12" s="342"/>
    </row>
    <row r="13" spans="1:19" x14ac:dyDescent="0.25">
      <c r="A13" s="245"/>
      <c r="B13" s="245"/>
      <c r="C13" s="246"/>
      <c r="D13" s="247"/>
      <c r="E13" s="245"/>
      <c r="F13" s="248"/>
      <c r="G13" s="329"/>
      <c r="H13" s="245"/>
      <c r="I13" s="245"/>
      <c r="J13" s="329"/>
      <c r="K13" s="245"/>
      <c r="L13" s="245"/>
      <c r="M13" s="244" t="str">
        <f>IF(C13&gt;0,MAX(M$8:M12)+1,"")</f>
        <v/>
      </c>
      <c r="N13" s="375"/>
      <c r="O13" s="342" t="s">
        <v>519</v>
      </c>
    </row>
    <row r="14" spans="1:19" x14ac:dyDescent="0.25">
      <c r="A14" s="245"/>
      <c r="B14" s="245"/>
      <c r="C14" s="246"/>
      <c r="D14" s="247"/>
      <c r="E14" s="249"/>
      <c r="F14" s="250"/>
      <c r="H14" s="251"/>
      <c r="I14" s="251"/>
      <c r="K14" s="251"/>
      <c r="L14" s="252"/>
      <c r="M14" s="244" t="str">
        <f>IF(C14&gt;0,MAX(M$8:M13)+1,"")</f>
        <v/>
      </c>
      <c r="N14" s="375"/>
      <c r="O14" s="342" t="s">
        <v>520</v>
      </c>
    </row>
    <row r="15" spans="1:19" x14ac:dyDescent="0.25">
      <c r="A15" s="245"/>
      <c r="B15" s="245"/>
      <c r="C15" s="246"/>
      <c r="D15" s="247"/>
      <c r="E15" s="249"/>
      <c r="F15" s="250"/>
      <c r="G15" s="329"/>
      <c r="H15" s="251"/>
      <c r="I15" s="251"/>
      <c r="J15" s="329"/>
      <c r="K15" s="251"/>
      <c r="L15" s="252"/>
      <c r="M15" s="244" t="str">
        <f>IF(C15&gt;0,MAX(M$8:M14)+1,"")</f>
        <v/>
      </c>
      <c r="N15" s="375"/>
      <c r="O15" s="342" t="s">
        <v>521</v>
      </c>
    </row>
    <row r="16" spans="1:19" x14ac:dyDescent="0.25">
      <c r="A16" s="245"/>
      <c r="B16" s="245"/>
      <c r="C16" s="246"/>
      <c r="D16" s="247"/>
      <c r="E16" s="249"/>
      <c r="F16" s="250"/>
      <c r="H16" s="251"/>
      <c r="I16" s="251"/>
      <c r="K16" s="251"/>
      <c r="L16" s="252"/>
      <c r="M16" s="244" t="str">
        <f>IF(C16&gt;0,MAX(M$8:M15)+1,"")</f>
        <v/>
      </c>
      <c r="N16" s="375"/>
      <c r="O16" s="342" t="s">
        <v>513</v>
      </c>
    </row>
    <row r="17" spans="1:15" x14ac:dyDescent="0.25">
      <c r="A17" s="245"/>
      <c r="B17" s="245"/>
      <c r="C17" s="246"/>
      <c r="D17" s="247"/>
      <c r="E17" s="249"/>
      <c r="F17" s="250"/>
      <c r="H17" s="251"/>
      <c r="I17" s="251"/>
      <c r="K17" s="251"/>
      <c r="L17" s="252"/>
      <c r="M17" s="244" t="str">
        <f>IF(C17&gt;0,MAX(M$8:M16)+1,"")</f>
        <v/>
      </c>
      <c r="N17" s="375"/>
      <c r="O17" s="342" t="s">
        <v>515</v>
      </c>
    </row>
    <row r="18" spans="1:15" x14ac:dyDescent="0.25">
      <c r="A18" s="245"/>
      <c r="B18" s="245"/>
      <c r="C18" s="246"/>
      <c r="D18" s="247"/>
      <c r="E18" s="249"/>
      <c r="F18" s="250"/>
      <c r="G18" s="329"/>
      <c r="H18" s="251"/>
      <c r="I18" s="251"/>
      <c r="J18" s="329"/>
      <c r="K18" s="251"/>
      <c r="L18" s="252"/>
      <c r="M18" s="244" t="str">
        <f>IF(C18&gt;0,MAX(M$8:M17)+1,"")</f>
        <v/>
      </c>
      <c r="N18" s="375"/>
      <c r="O18" s="342" t="s">
        <v>522</v>
      </c>
    </row>
    <row r="19" spans="1:15" x14ac:dyDescent="0.25">
      <c r="A19" s="245"/>
      <c r="B19" s="245"/>
      <c r="C19" s="246"/>
      <c r="D19" s="247"/>
      <c r="E19" s="249"/>
      <c r="F19" s="250"/>
      <c r="H19" s="251"/>
      <c r="I19" s="251"/>
      <c r="K19" s="251"/>
      <c r="L19" s="252"/>
      <c r="M19" s="244" t="str">
        <f>IF(C19&gt;0,MAX(M$8:M18)+1,"")</f>
        <v/>
      </c>
      <c r="N19" s="375"/>
      <c r="O19" s="342" t="s">
        <v>523</v>
      </c>
    </row>
    <row r="20" spans="1:15" x14ac:dyDescent="0.25">
      <c r="A20" s="245"/>
      <c r="B20" s="245"/>
      <c r="C20" s="246"/>
      <c r="D20" s="247"/>
      <c r="E20" s="249"/>
      <c r="F20" s="250"/>
      <c r="G20" s="329"/>
      <c r="H20" s="251"/>
      <c r="I20" s="251"/>
      <c r="J20" s="329"/>
      <c r="K20" s="251"/>
      <c r="L20" s="252"/>
      <c r="M20" s="244" t="str">
        <f>IF(C20&gt;0,MAX(M$8:M19)+1,"")</f>
        <v/>
      </c>
      <c r="N20" s="375"/>
      <c r="O20" s="342" t="s">
        <v>524</v>
      </c>
    </row>
    <row r="21" spans="1:15" x14ac:dyDescent="0.25">
      <c r="A21" s="245"/>
      <c r="B21" s="245"/>
      <c r="C21" s="246"/>
      <c r="D21" s="247"/>
      <c r="E21" s="249"/>
      <c r="F21" s="250"/>
      <c r="H21" s="251"/>
      <c r="I21" s="251"/>
      <c r="K21" s="251"/>
      <c r="L21" s="252"/>
      <c r="M21" s="244" t="str">
        <f>IF(C21&gt;0,MAX(M$8:M20)+1,"")</f>
        <v/>
      </c>
      <c r="N21" s="375"/>
      <c r="O21" s="342" t="s">
        <v>525</v>
      </c>
    </row>
    <row r="22" spans="1:15" x14ac:dyDescent="0.25">
      <c r="A22" s="245"/>
      <c r="B22" s="245"/>
      <c r="C22" s="246"/>
      <c r="D22" s="247"/>
      <c r="E22" s="249"/>
      <c r="F22" s="250"/>
      <c r="H22" s="251"/>
      <c r="I22" s="251"/>
      <c r="K22" s="251"/>
      <c r="L22" s="252"/>
      <c r="M22" s="244" t="str">
        <f>IF(C22&gt;0,MAX(M$8:M21)+1,"")</f>
        <v/>
      </c>
      <c r="N22" s="375"/>
    </row>
    <row r="23" spans="1:15" x14ac:dyDescent="0.25">
      <c r="A23" s="245"/>
      <c r="B23" s="245"/>
      <c r="C23" s="246"/>
      <c r="D23" s="247"/>
      <c r="E23" s="249"/>
      <c r="F23" s="250"/>
      <c r="G23" s="329"/>
      <c r="H23" s="251"/>
      <c r="I23" s="251"/>
      <c r="J23" s="329"/>
      <c r="K23" s="251"/>
      <c r="L23" s="252"/>
      <c r="M23" s="244" t="str">
        <f>IF(C23&gt;0,MAX(M$8:M22)+1,"")</f>
        <v/>
      </c>
      <c r="N23" s="375"/>
    </row>
    <row r="24" spans="1:15" hidden="1" x14ac:dyDescent="0.25">
      <c r="A24" s="245"/>
      <c r="B24" s="245"/>
      <c r="C24" s="246"/>
      <c r="D24" s="247"/>
      <c r="E24" s="249"/>
      <c r="F24" s="250"/>
      <c r="H24" s="251"/>
      <c r="I24" s="251"/>
      <c r="K24" s="251"/>
      <c r="L24" s="252"/>
      <c r="M24" s="244" t="str">
        <f>IF(C24&gt;0,MAX(M$8:M23)+1,"")</f>
        <v/>
      </c>
      <c r="N24" s="375"/>
    </row>
    <row r="25" spans="1:15" hidden="1" x14ac:dyDescent="0.25">
      <c r="A25" s="245"/>
      <c r="B25" s="245"/>
      <c r="C25" s="246"/>
      <c r="D25" s="247"/>
      <c r="E25" s="249"/>
      <c r="F25" s="250"/>
      <c r="G25" s="329"/>
      <c r="H25" s="251"/>
      <c r="I25" s="251"/>
      <c r="J25" s="329"/>
      <c r="K25" s="251"/>
      <c r="L25" s="252"/>
      <c r="M25" s="244" t="str">
        <f>IF(C25&gt;0,MAX(M$8:M24)+1,"")</f>
        <v/>
      </c>
      <c r="N25" s="375"/>
    </row>
    <row r="26" spans="1:15" hidden="1" x14ac:dyDescent="0.25">
      <c r="A26" s="245"/>
      <c r="B26" s="245"/>
      <c r="C26" s="246"/>
      <c r="D26" s="247"/>
      <c r="E26" s="249"/>
      <c r="F26" s="250"/>
      <c r="H26" s="251"/>
      <c r="I26" s="251"/>
      <c r="K26" s="251"/>
      <c r="L26" s="252"/>
      <c r="M26" s="244" t="str">
        <f>IF(C26&gt;0,MAX(M$8:M25)+1,"")</f>
        <v/>
      </c>
      <c r="N26" s="375"/>
    </row>
    <row r="27" spans="1:15" hidden="1" x14ac:dyDescent="0.25">
      <c r="A27" s="245"/>
      <c r="B27" s="245"/>
      <c r="C27" s="246"/>
      <c r="D27" s="247"/>
      <c r="E27" s="249"/>
      <c r="F27" s="250"/>
      <c r="H27" s="251"/>
      <c r="I27" s="251"/>
      <c r="K27" s="251"/>
      <c r="L27" s="252"/>
      <c r="M27" s="244" t="str">
        <f>IF(C27&gt;0,MAX(M$8:M26)+1,"")</f>
        <v/>
      </c>
      <c r="N27" s="375"/>
    </row>
    <row r="28" spans="1:15" hidden="1" x14ac:dyDescent="0.25">
      <c r="A28" s="245"/>
      <c r="B28" s="245"/>
      <c r="C28" s="246"/>
      <c r="D28" s="247"/>
      <c r="E28" s="249"/>
      <c r="F28" s="250"/>
      <c r="G28" s="329"/>
      <c r="H28" s="251"/>
      <c r="I28" s="251"/>
      <c r="J28" s="329"/>
      <c r="K28" s="251"/>
      <c r="L28" s="252"/>
      <c r="M28" s="244" t="str">
        <f>IF(C28&gt;0,MAX(M$8:M26)+1,"")</f>
        <v/>
      </c>
      <c r="N28" s="375"/>
    </row>
    <row r="29" spans="1:15" hidden="1" x14ac:dyDescent="0.25">
      <c r="A29" s="245"/>
      <c r="B29" s="245"/>
      <c r="C29" s="246"/>
      <c r="D29" s="247"/>
      <c r="E29" s="249"/>
      <c r="F29" s="250"/>
      <c r="H29" s="251"/>
      <c r="I29" s="251"/>
      <c r="K29" s="251"/>
      <c r="L29" s="252"/>
      <c r="M29" s="244" t="str">
        <f>IF(C29&gt;0,MAX(M$8:M28)+1,"")</f>
        <v/>
      </c>
      <c r="N29" s="375"/>
    </row>
    <row r="30" spans="1:15" hidden="1" x14ac:dyDescent="0.25">
      <c r="A30" s="245"/>
      <c r="B30" s="245"/>
      <c r="C30" s="246"/>
      <c r="D30" s="247"/>
      <c r="E30" s="249"/>
      <c r="F30" s="250"/>
      <c r="G30" s="329"/>
      <c r="H30" s="251"/>
      <c r="I30" s="251"/>
      <c r="J30" s="329"/>
      <c r="K30" s="251"/>
      <c r="L30" s="252"/>
      <c r="M30" s="244" t="str">
        <f>IF(C30&gt;0,MAX(M$8:M29)+1,"")</f>
        <v/>
      </c>
      <c r="N30" s="375"/>
    </row>
    <row r="31" spans="1:15" hidden="1" x14ac:dyDescent="0.25">
      <c r="A31" s="245"/>
      <c r="B31" s="245"/>
      <c r="C31" s="246"/>
      <c r="D31" s="247"/>
      <c r="E31" s="249"/>
      <c r="F31" s="250"/>
      <c r="H31" s="251"/>
      <c r="I31" s="251"/>
      <c r="K31" s="251"/>
      <c r="L31" s="252"/>
      <c r="M31" s="244" t="str">
        <f>IF(C31&gt;0,MAX(M$8:M30)+1,"")</f>
        <v/>
      </c>
      <c r="N31" s="375"/>
    </row>
    <row r="32" spans="1:15" hidden="1" x14ac:dyDescent="0.25">
      <c r="A32" s="245"/>
      <c r="B32" s="245"/>
      <c r="C32" s="246"/>
      <c r="D32" s="247"/>
      <c r="E32" s="249"/>
      <c r="F32" s="250"/>
      <c r="H32" s="251"/>
      <c r="I32" s="251"/>
      <c r="K32" s="251"/>
      <c r="L32" s="252"/>
      <c r="M32" s="244" t="str">
        <f>IF(C32&gt;0,MAX(M$8:M31)+1,"")</f>
        <v/>
      </c>
      <c r="N32" s="375"/>
    </row>
    <row r="33" spans="1:14" hidden="1" x14ac:dyDescent="0.25">
      <c r="A33" s="245"/>
      <c r="B33" s="245"/>
      <c r="C33" s="246"/>
      <c r="D33" s="247"/>
      <c r="E33" s="249"/>
      <c r="F33" s="250"/>
      <c r="G33" s="329"/>
      <c r="H33" s="251"/>
      <c r="I33" s="251"/>
      <c r="J33" s="329"/>
      <c r="K33" s="251"/>
      <c r="L33" s="252"/>
      <c r="M33" s="244" t="str">
        <f>IF(C33&gt;0,MAX(M$8:M9)+1,"")</f>
        <v/>
      </c>
      <c r="N33" s="375"/>
    </row>
    <row r="34" spans="1:14" hidden="1" x14ac:dyDescent="0.25">
      <c r="A34" s="245"/>
      <c r="B34" s="245"/>
      <c r="C34" s="246"/>
      <c r="D34" s="247"/>
      <c r="E34" s="249"/>
      <c r="F34" s="250"/>
      <c r="H34" s="251"/>
      <c r="I34" s="251"/>
      <c r="K34" s="251"/>
      <c r="L34" s="252"/>
      <c r="M34" s="244" t="str">
        <f>IF(C34&gt;0,MAX(M$8:M10)+1,"")</f>
        <v/>
      </c>
      <c r="N34" s="375"/>
    </row>
    <row r="35" spans="1:14" hidden="1" x14ac:dyDescent="0.25">
      <c r="A35" s="245"/>
      <c r="B35" s="245"/>
      <c r="C35" s="246"/>
      <c r="D35" s="247"/>
      <c r="E35" s="249"/>
      <c r="F35" s="250"/>
      <c r="G35" s="329"/>
      <c r="H35" s="251"/>
      <c r="I35" s="251"/>
      <c r="J35" s="329"/>
      <c r="K35" s="251"/>
      <c r="L35" s="252"/>
      <c r="M35" s="244" t="str">
        <f>IF(C35&gt;0,MAX(M$8:M11)+1,"")</f>
        <v/>
      </c>
      <c r="N35" s="375"/>
    </row>
    <row r="36" spans="1:14" hidden="1" x14ac:dyDescent="0.25">
      <c r="A36" s="245"/>
      <c r="B36" s="245"/>
      <c r="C36" s="246"/>
      <c r="D36" s="247"/>
      <c r="E36" s="249"/>
      <c r="F36" s="250"/>
      <c r="H36" s="251"/>
      <c r="I36" s="251"/>
      <c r="K36" s="251"/>
      <c r="L36" s="252"/>
      <c r="M36" s="244" t="str">
        <f>IF(C36&gt;0,MAX(M$8:M12)+1,"")</f>
        <v/>
      </c>
      <c r="N36" s="375"/>
    </row>
    <row r="37" spans="1:14" hidden="1" x14ac:dyDescent="0.25">
      <c r="A37" s="245"/>
      <c r="B37" s="245"/>
      <c r="C37" s="246"/>
      <c r="D37" s="247"/>
      <c r="E37" s="249"/>
      <c r="F37" s="250"/>
      <c r="H37" s="251"/>
      <c r="I37" s="251"/>
      <c r="K37" s="251"/>
      <c r="L37" s="252"/>
      <c r="M37" s="244" t="str">
        <f>IF(C37&gt;0,MAX(M$8:M13)+1,"")</f>
        <v/>
      </c>
      <c r="N37" s="375"/>
    </row>
    <row r="38" spans="1:14" hidden="1" x14ac:dyDescent="0.25">
      <c r="A38" s="245"/>
      <c r="B38" s="245"/>
      <c r="C38" s="246"/>
      <c r="D38" s="247"/>
      <c r="E38" s="249"/>
      <c r="F38" s="250"/>
      <c r="G38" s="329"/>
      <c r="H38" s="251"/>
      <c r="I38" s="251"/>
      <c r="J38" s="329"/>
      <c r="K38" s="251"/>
      <c r="L38" s="252"/>
      <c r="M38" s="244" t="str">
        <f>IF(C38&gt;0,MAX(M$8:M14)+1,"")</f>
        <v/>
      </c>
      <c r="N38" s="375"/>
    </row>
    <row r="39" spans="1:14" hidden="1" x14ac:dyDescent="0.25">
      <c r="A39" s="245"/>
      <c r="B39" s="245"/>
      <c r="C39" s="246"/>
      <c r="D39" s="247"/>
      <c r="E39" s="249"/>
      <c r="F39" s="250"/>
      <c r="H39" s="251"/>
      <c r="I39" s="251"/>
      <c r="K39" s="251"/>
      <c r="L39" s="252"/>
      <c r="M39" s="244" t="str">
        <f>IF(C39&gt;0,MAX(M$8:M15)+1,"")</f>
        <v/>
      </c>
      <c r="N39" s="375"/>
    </row>
    <row r="40" spans="1:14" hidden="1" x14ac:dyDescent="0.25">
      <c r="A40" s="245"/>
      <c r="B40" s="245"/>
      <c r="C40" s="246"/>
      <c r="D40" s="247"/>
      <c r="E40" s="249"/>
      <c r="F40" s="250"/>
      <c r="G40" s="329"/>
      <c r="H40" s="251"/>
      <c r="I40" s="251"/>
      <c r="J40" s="329"/>
      <c r="K40" s="251"/>
      <c r="L40" s="252"/>
      <c r="M40" s="244" t="str">
        <f>IF(C40&gt;0,MAX(M6:M$8)+1,"")</f>
        <v/>
      </c>
      <c r="N40" s="375"/>
    </row>
    <row r="41" spans="1:14" hidden="1" x14ac:dyDescent="0.25">
      <c r="A41" s="245"/>
      <c r="B41" s="245"/>
      <c r="C41" s="246"/>
      <c r="D41" s="247"/>
      <c r="E41" s="249"/>
      <c r="F41" s="250"/>
      <c r="H41" s="251"/>
      <c r="I41" s="251"/>
      <c r="K41" s="251"/>
      <c r="L41" s="252"/>
      <c r="M41" s="244" t="str">
        <f>IF(C41&gt;0,MAX(M7:M$8)+1,"")</f>
        <v/>
      </c>
      <c r="N41" s="375"/>
    </row>
    <row r="42" spans="1:14" hidden="1" x14ac:dyDescent="0.25">
      <c r="A42" s="245"/>
      <c r="B42" s="245"/>
      <c r="C42" s="246"/>
      <c r="D42" s="247"/>
      <c r="E42" s="249"/>
      <c r="F42" s="250"/>
      <c r="H42" s="251"/>
      <c r="I42" s="251"/>
      <c r="K42" s="251"/>
      <c r="L42" s="252"/>
      <c r="M42" s="244" t="str">
        <f>IF(C42&gt;0,MAX(M$8:M8)+1,"")</f>
        <v/>
      </c>
      <c r="N42" s="375"/>
    </row>
    <row r="43" spans="1:14" hidden="1" x14ac:dyDescent="0.25">
      <c r="A43" s="245"/>
      <c r="B43" s="245"/>
      <c r="C43" s="246"/>
      <c r="D43" s="247"/>
      <c r="E43" s="249"/>
      <c r="F43" s="250"/>
      <c r="G43" s="329"/>
      <c r="H43" s="251"/>
      <c r="I43" s="251"/>
      <c r="J43" s="329"/>
      <c r="K43" s="251"/>
      <c r="L43" s="252"/>
      <c r="M43" s="244" t="str">
        <f>IF(C43&gt;0,MAX(M$8:M9)+1,"")</f>
        <v/>
      </c>
      <c r="N43" s="375"/>
    </row>
    <row r="44" spans="1:14" hidden="1" x14ac:dyDescent="0.25">
      <c r="A44" s="245"/>
      <c r="B44" s="245"/>
      <c r="C44" s="246"/>
      <c r="D44" s="247"/>
      <c r="E44" s="249"/>
      <c r="F44" s="250"/>
      <c r="H44" s="251"/>
      <c r="I44" s="251"/>
      <c r="K44" s="251"/>
      <c r="L44" s="252"/>
      <c r="M44" s="244" t="str">
        <f>IF(C44&gt;0,MAX(M$8:M10)+1,"")</f>
        <v/>
      </c>
      <c r="N44" s="375"/>
    </row>
    <row r="45" spans="1:14" hidden="1" x14ac:dyDescent="0.25">
      <c r="A45" s="245"/>
      <c r="B45" s="245"/>
      <c r="C45" s="246"/>
      <c r="D45" s="247"/>
      <c r="E45" s="249"/>
      <c r="F45" s="250"/>
      <c r="G45" s="329"/>
      <c r="H45" s="251"/>
      <c r="I45" s="251"/>
      <c r="J45" s="329"/>
      <c r="K45" s="251"/>
      <c r="L45" s="252"/>
      <c r="M45" s="244" t="str">
        <f>IF(C45&gt;0,MAX(M$8:M11)+1,"")</f>
        <v/>
      </c>
      <c r="N45" s="375"/>
    </row>
    <row r="46" spans="1:14" hidden="1" x14ac:dyDescent="0.25">
      <c r="A46" s="245"/>
      <c r="B46" s="245"/>
      <c r="C46" s="246"/>
      <c r="D46" s="247"/>
      <c r="E46" s="249"/>
      <c r="F46" s="250"/>
      <c r="H46" s="251"/>
      <c r="I46" s="251"/>
      <c r="K46" s="251"/>
      <c r="L46" s="252"/>
      <c r="M46" s="244" t="str">
        <f>IF(C46&gt;0,MAX(M$8:M12)+1,"")</f>
        <v/>
      </c>
      <c r="N46" s="375"/>
    </row>
    <row r="47" spans="1:14" hidden="1" x14ac:dyDescent="0.25">
      <c r="A47" s="245"/>
      <c r="B47" s="245"/>
      <c r="C47" s="246"/>
      <c r="D47" s="247"/>
      <c r="E47" s="249"/>
      <c r="F47" s="250"/>
      <c r="H47" s="251"/>
      <c r="I47" s="251"/>
      <c r="K47" s="251"/>
      <c r="L47" s="252"/>
      <c r="M47" s="244" t="str">
        <f>IF(C47&gt;0,MAX(M$8:M13)+1,"")</f>
        <v/>
      </c>
      <c r="N47" s="375"/>
    </row>
    <row r="48" spans="1:14" hidden="1" x14ac:dyDescent="0.25">
      <c r="A48" s="245"/>
      <c r="B48" s="245"/>
      <c r="C48" s="246"/>
      <c r="D48" s="247"/>
      <c r="E48" s="249"/>
      <c r="F48" s="250"/>
      <c r="G48" s="329"/>
      <c r="H48" s="251"/>
      <c r="I48" s="251"/>
      <c r="J48" s="329"/>
      <c r="K48" s="251"/>
      <c r="L48" s="252"/>
      <c r="M48" s="244" t="str">
        <f>IF(C48&gt;0,MAX(M$8:M14)+1,"")</f>
        <v/>
      </c>
      <c r="N48" s="375"/>
    </row>
    <row r="49" spans="1:14" hidden="1" x14ac:dyDescent="0.25">
      <c r="A49" s="245"/>
      <c r="B49" s="245"/>
      <c r="C49" s="246"/>
      <c r="D49" s="247"/>
      <c r="E49" s="249"/>
      <c r="F49" s="250"/>
      <c r="H49" s="251"/>
      <c r="I49" s="251"/>
      <c r="K49" s="251"/>
      <c r="L49" s="252"/>
      <c r="M49" s="244" t="str">
        <f>IF(C49&gt;0,MAX(M$8:M15)+1,"")</f>
        <v/>
      </c>
      <c r="N49" s="375"/>
    </row>
    <row r="50" spans="1:14" hidden="1" x14ac:dyDescent="0.25">
      <c r="A50" s="245"/>
      <c r="B50" s="245"/>
      <c r="C50" s="246"/>
      <c r="D50" s="247"/>
      <c r="E50" s="249"/>
      <c r="F50" s="250"/>
      <c r="G50" s="329"/>
      <c r="H50" s="251"/>
      <c r="I50" s="251"/>
      <c r="J50" s="329"/>
      <c r="K50" s="251"/>
      <c r="L50" s="252"/>
      <c r="M50" s="244" t="str">
        <f>IF(C50&gt;0,MAX(M$8:M16)+1,"")</f>
        <v/>
      </c>
      <c r="N50" s="375"/>
    </row>
    <row r="51" spans="1:14" hidden="1" x14ac:dyDescent="0.25">
      <c r="A51" s="245"/>
      <c r="B51" s="245"/>
      <c r="C51" s="246"/>
      <c r="D51" s="247"/>
      <c r="E51" s="249"/>
      <c r="F51" s="250"/>
      <c r="H51" s="251"/>
      <c r="I51" s="251"/>
      <c r="K51" s="251"/>
      <c r="L51" s="252"/>
      <c r="M51" s="244" t="str">
        <f>IF(C51&gt;0,MAX(M$8:M17)+1,"")</f>
        <v/>
      </c>
      <c r="N51" s="375"/>
    </row>
    <row r="52" spans="1:14" hidden="1" x14ac:dyDescent="0.25">
      <c r="A52" s="245"/>
      <c r="B52" s="245"/>
      <c r="C52" s="246"/>
      <c r="D52" s="247"/>
      <c r="E52" s="249"/>
      <c r="F52" s="250"/>
      <c r="H52" s="251"/>
      <c r="I52" s="251"/>
      <c r="K52" s="251"/>
      <c r="L52" s="252"/>
      <c r="M52" s="244" t="str">
        <f>IF(C52&gt;0,MAX(M$8:M18)+1,"")</f>
        <v/>
      </c>
      <c r="N52" s="375"/>
    </row>
    <row r="53" spans="1:14" hidden="1" x14ac:dyDescent="0.25">
      <c r="A53" s="245"/>
      <c r="B53" s="245"/>
      <c r="C53" s="246"/>
      <c r="D53" s="247"/>
      <c r="E53" s="249"/>
      <c r="F53" s="250"/>
      <c r="G53" s="329"/>
      <c r="H53" s="251"/>
      <c r="I53" s="251"/>
      <c r="J53" s="329"/>
      <c r="K53" s="251"/>
      <c r="L53" s="252"/>
      <c r="M53" s="244" t="str">
        <f>IF(C53&gt;0,MAX(M$8:M19)+1,"")</f>
        <v/>
      </c>
      <c r="N53" s="375"/>
    </row>
    <row r="54" spans="1:14" hidden="1" x14ac:dyDescent="0.25">
      <c r="A54" s="245"/>
      <c r="B54" s="245"/>
      <c r="C54" s="246"/>
      <c r="D54" s="247"/>
      <c r="E54" s="249"/>
      <c r="F54" s="250"/>
      <c r="H54" s="251"/>
      <c r="I54" s="251"/>
      <c r="K54" s="251"/>
      <c r="L54" s="252"/>
      <c r="M54" s="244" t="str">
        <f>IF(C54&gt;0,MAX(M$8:M20)+1,"")</f>
        <v/>
      </c>
      <c r="N54" s="375"/>
    </row>
    <row r="55" spans="1:14" hidden="1" x14ac:dyDescent="0.25">
      <c r="A55" s="245"/>
      <c r="B55" s="245"/>
      <c r="C55" s="246"/>
      <c r="D55" s="247"/>
      <c r="E55" s="249"/>
      <c r="F55" s="250"/>
      <c r="G55" s="329"/>
      <c r="H55" s="251"/>
      <c r="I55" s="251"/>
      <c r="J55" s="329"/>
      <c r="K55" s="251"/>
      <c r="L55" s="252"/>
      <c r="M55" s="244" t="str">
        <f>IF(C55&gt;0,MAX(M$8:M21)+1,"")</f>
        <v/>
      </c>
      <c r="N55" s="375"/>
    </row>
    <row r="56" spans="1:14" hidden="1" x14ac:dyDescent="0.25">
      <c r="A56" s="245"/>
      <c r="B56" s="245"/>
      <c r="C56" s="246"/>
      <c r="D56" s="247"/>
      <c r="E56" s="249"/>
      <c r="F56" s="250"/>
      <c r="H56" s="251"/>
      <c r="I56" s="251"/>
      <c r="K56" s="251"/>
      <c r="L56" s="252"/>
      <c r="M56" s="244" t="str">
        <f>IF(C56&gt;0,MAX(M$8:M22)+1,"")</f>
        <v/>
      </c>
      <c r="N56" s="375"/>
    </row>
    <row r="57" spans="1:14" hidden="1" x14ac:dyDescent="0.25">
      <c r="A57" s="245"/>
      <c r="B57" s="245"/>
      <c r="C57" s="246"/>
      <c r="D57" s="247"/>
      <c r="E57" s="249"/>
      <c r="F57" s="250"/>
      <c r="H57" s="251"/>
      <c r="I57" s="251"/>
      <c r="K57" s="251"/>
      <c r="L57" s="252"/>
      <c r="M57" s="244" t="str">
        <f>IF(C57&gt;0,MAX(M$8:M23)+1,"")</f>
        <v/>
      </c>
      <c r="N57" s="375"/>
    </row>
    <row r="58" spans="1:14" hidden="1" x14ac:dyDescent="0.25">
      <c r="A58" s="245"/>
      <c r="B58" s="245"/>
      <c r="C58" s="246"/>
      <c r="D58" s="247"/>
      <c r="E58" s="249"/>
      <c r="F58" s="250"/>
      <c r="G58" s="329"/>
      <c r="H58" s="251"/>
      <c r="I58" s="251"/>
      <c r="J58" s="329"/>
      <c r="K58" s="251"/>
      <c r="L58" s="252"/>
      <c r="M58" s="244" t="str">
        <f>IF(C58&gt;0,MAX(M$8:M24)+1,"")</f>
        <v/>
      </c>
      <c r="N58" s="375"/>
    </row>
    <row r="59" spans="1:14" hidden="1" x14ac:dyDescent="0.25">
      <c r="A59" s="245"/>
      <c r="B59" s="245"/>
      <c r="C59" s="246"/>
      <c r="D59" s="247"/>
      <c r="E59" s="249"/>
      <c r="F59" s="250"/>
      <c r="H59" s="251"/>
      <c r="I59" s="251"/>
      <c r="K59" s="251"/>
      <c r="L59" s="252"/>
      <c r="M59" s="244" t="str">
        <f>IF(C59&gt;0,MAX(M$8:M25)+1,"")</f>
        <v/>
      </c>
      <c r="N59" s="375"/>
    </row>
    <row r="60" spans="1:14" hidden="1" x14ac:dyDescent="0.25">
      <c r="A60" s="245"/>
      <c r="B60" s="245"/>
      <c r="C60" s="246"/>
      <c r="D60" s="247"/>
      <c r="E60" s="249"/>
      <c r="F60" s="250"/>
      <c r="G60" s="329"/>
      <c r="H60" s="251"/>
      <c r="I60" s="251"/>
      <c r="J60" s="329"/>
      <c r="K60" s="251"/>
      <c r="L60" s="252"/>
      <c r="M60" s="244" t="str">
        <f>IF(C60&gt;0,MAX(M$8:M26)+1,"")</f>
        <v/>
      </c>
      <c r="N60" s="375"/>
    </row>
    <row r="61" spans="1:14" hidden="1" x14ac:dyDescent="0.25">
      <c r="A61" s="245"/>
      <c r="B61" s="245"/>
      <c r="C61" s="246"/>
      <c r="D61" s="247"/>
      <c r="E61" s="249"/>
      <c r="F61" s="250"/>
      <c r="H61" s="251"/>
      <c r="I61" s="251"/>
      <c r="K61" s="251"/>
      <c r="L61" s="252"/>
      <c r="M61" s="244" t="str">
        <f>IF(C61&gt;0,MAX(M$8:M27)+1,"")</f>
        <v/>
      </c>
      <c r="N61" s="375"/>
    </row>
    <row r="62" spans="1:14" hidden="1" x14ac:dyDescent="0.25">
      <c r="A62" s="245"/>
      <c r="B62" s="245"/>
      <c r="C62" s="246"/>
      <c r="D62" s="247"/>
      <c r="E62" s="249"/>
      <c r="F62" s="250"/>
      <c r="H62" s="251"/>
      <c r="I62" s="251"/>
      <c r="K62" s="251"/>
      <c r="L62" s="252"/>
      <c r="M62" s="244" t="str">
        <f>IF(C62&gt;0,MAX(M$8:M28)+1,"")</f>
        <v/>
      </c>
      <c r="N62" s="375"/>
    </row>
    <row r="63" spans="1:14" hidden="1" x14ac:dyDescent="0.25">
      <c r="A63" s="245"/>
      <c r="B63" s="245"/>
      <c r="C63" s="246"/>
      <c r="D63" s="247"/>
      <c r="E63" s="249"/>
      <c r="F63" s="250"/>
      <c r="G63" s="329"/>
      <c r="H63" s="251"/>
      <c r="I63" s="251"/>
      <c r="J63" s="329"/>
      <c r="K63" s="251"/>
      <c r="L63" s="252"/>
      <c r="M63" s="244" t="str">
        <f>IF(C63&gt;0,MAX(M$8:M29)+1,"")</f>
        <v/>
      </c>
      <c r="N63" s="375"/>
    </row>
    <row r="64" spans="1:14" hidden="1" x14ac:dyDescent="0.25">
      <c r="A64" s="245"/>
      <c r="B64" s="245"/>
      <c r="C64" s="246"/>
      <c r="D64" s="247"/>
      <c r="E64" s="249"/>
      <c r="F64" s="250"/>
      <c r="H64" s="251"/>
      <c r="I64" s="251"/>
      <c r="K64" s="251"/>
      <c r="L64" s="252"/>
      <c r="M64" s="244" t="str">
        <f>IF(C64&gt;0,MAX(M$8:M30)+1,"")</f>
        <v/>
      </c>
      <c r="N64" s="375"/>
    </row>
    <row r="65" spans="1:15" hidden="1" x14ac:dyDescent="0.25">
      <c r="A65" s="245"/>
      <c r="B65" s="245"/>
      <c r="C65" s="246"/>
      <c r="D65" s="247"/>
      <c r="E65" s="249"/>
      <c r="F65" s="250"/>
      <c r="G65" s="329"/>
      <c r="H65" s="251"/>
      <c r="I65" s="251"/>
      <c r="J65" s="329"/>
      <c r="K65" s="251"/>
      <c r="L65" s="252"/>
      <c r="M65" s="244" t="str">
        <f>IF(C65&gt;0,MAX(M$8:M31)+1,"")</f>
        <v/>
      </c>
      <c r="N65" s="375"/>
    </row>
    <row r="66" spans="1:15" hidden="1" x14ac:dyDescent="0.25">
      <c r="A66" s="245"/>
      <c r="B66" s="245"/>
      <c r="C66" s="246"/>
      <c r="D66" s="247"/>
      <c r="E66" s="249"/>
      <c r="F66" s="250"/>
      <c r="H66" s="251"/>
      <c r="I66" s="251"/>
      <c r="K66" s="251"/>
      <c r="L66" s="252"/>
      <c r="M66" s="244" t="str">
        <f>IF(C66&gt;0,MAX(M$8:M32)+1,"")</f>
        <v/>
      </c>
      <c r="N66" s="375"/>
    </row>
    <row r="67" spans="1:15" x14ac:dyDescent="0.25">
      <c r="A67" s="245"/>
      <c r="B67" s="245"/>
      <c r="C67" s="246"/>
      <c r="D67" s="247"/>
      <c r="E67" s="245"/>
      <c r="F67" s="248"/>
      <c r="H67" s="245"/>
      <c r="I67" s="245"/>
      <c r="K67" s="245"/>
      <c r="L67" s="245"/>
      <c r="M67" s="244" t="str">
        <f>IF(C67&gt;0,MAX(M$8:M66)+1,"")</f>
        <v/>
      </c>
      <c r="N67" s="375"/>
    </row>
    <row r="68" spans="1:15" x14ac:dyDescent="0.25">
      <c r="A68" s="245"/>
      <c r="B68" s="245"/>
      <c r="C68" s="246"/>
      <c r="D68" s="247"/>
      <c r="E68" s="245"/>
      <c r="F68" s="248"/>
      <c r="G68" s="329"/>
      <c r="H68" s="245"/>
      <c r="I68" s="245"/>
      <c r="J68" s="329"/>
      <c r="K68" s="245"/>
      <c r="L68" s="245"/>
      <c r="M68" s="244" t="str">
        <f>IF(C68&gt;0,MAX(M$8:M67)+1,"")</f>
        <v/>
      </c>
      <c r="N68" s="375"/>
    </row>
    <row r="69" spans="1:15" ht="17.25" x14ac:dyDescent="0.3">
      <c r="A69" s="253" t="s">
        <v>517</v>
      </c>
      <c r="B69" s="344"/>
      <c r="C69" s="254"/>
      <c r="D69" s="255"/>
      <c r="E69" s="255"/>
      <c r="F69" s="255"/>
      <c r="M69" s="256">
        <f>MAX(M$8:M68)</f>
        <v>0</v>
      </c>
      <c r="N69" s="375"/>
    </row>
    <row r="70" spans="1:15" ht="17.25" x14ac:dyDescent="0.3">
      <c r="A70" s="257"/>
      <c r="B70" s="516" t="s">
        <v>745</v>
      </c>
      <c r="H70" s="343">
        <f>SUM(H9:H68)</f>
        <v>0</v>
      </c>
      <c r="J70" s="332" t="s">
        <v>578</v>
      </c>
      <c r="N70" s="375"/>
    </row>
    <row r="71" spans="1:15" ht="18" thickBot="1" x14ac:dyDescent="0.35">
      <c r="A71" s="257"/>
      <c r="B71" s="257"/>
      <c r="C71" s="515" t="s">
        <v>746</v>
      </c>
      <c r="H71" s="514"/>
      <c r="I71" s="343">
        <f>SUM(I9:I68)</f>
        <v>0</v>
      </c>
      <c r="K71" s="333">
        <f>IF(I71&gt;0,"Wochenstunden",)</f>
        <v>0</v>
      </c>
      <c r="N71" s="375"/>
    </row>
    <row r="72" spans="1:15" ht="20.25" customHeight="1" thickTop="1" thickBot="1" x14ac:dyDescent="0.35">
      <c r="A72" s="147"/>
      <c r="B72" s="257"/>
      <c r="D72" s="337"/>
      <c r="F72" s="339">
        <f>IF(L72&gt;0,"Wochenstunden für ",)</f>
        <v>0</v>
      </c>
      <c r="G72" s="340">
        <f>IF(L72&gt;0,"Assistenzleistungen in Summe: ",)</f>
        <v>0</v>
      </c>
      <c r="H72" s="338"/>
      <c r="J72" s="227"/>
      <c r="K72" s="513"/>
      <c r="L72" s="336">
        <f>SUM(H70,I71)</f>
        <v>0</v>
      </c>
      <c r="N72" s="375"/>
      <c r="O72" s="227"/>
    </row>
    <row r="73" spans="1:15" ht="20.25" customHeight="1" thickTop="1" x14ac:dyDescent="0.3">
      <c r="A73" s="346"/>
      <c r="B73" s="257"/>
      <c r="D73" s="337"/>
      <c r="F73" s="339"/>
      <c r="G73" s="340"/>
      <c r="H73" s="518"/>
      <c r="J73" s="227"/>
      <c r="K73" s="554">
        <f>IF(L72&gt;0,"SAF-Personal:",)</f>
        <v>0</v>
      </c>
      <c r="L73" s="562"/>
      <c r="N73" s="375"/>
      <c r="O73" s="227"/>
    </row>
    <row r="74" spans="1:15" ht="20.25" customHeight="1" x14ac:dyDescent="0.3">
      <c r="A74" s="346" t="s">
        <v>528</v>
      </c>
      <c r="B74" s="257"/>
      <c r="C74" s="517"/>
      <c r="F74" s="339"/>
      <c r="G74" s="340"/>
      <c r="J74" s="227"/>
      <c r="K74" s="554">
        <f>IF(L72&gt;0,"Lehrpersonal mit der Verwendung Stütz- und BegleitlehrerIn:",)</f>
        <v>0</v>
      </c>
      <c r="L74" s="562"/>
      <c r="N74" s="375"/>
      <c r="O74" s="227"/>
    </row>
    <row r="75" spans="1:15" ht="23.25" x14ac:dyDescent="0.35">
      <c r="A75" s="945" t="s">
        <v>533</v>
      </c>
      <c r="B75" s="945"/>
      <c r="C75" s="945"/>
      <c r="D75" s="945"/>
      <c r="E75" s="945"/>
      <c r="F75" s="945"/>
      <c r="G75" s="945"/>
      <c r="H75" s="945"/>
      <c r="I75" s="945"/>
      <c r="J75" s="945"/>
      <c r="K75" s="945"/>
      <c r="L75" s="945"/>
      <c r="M75" s="945"/>
      <c r="N75" s="377"/>
    </row>
    <row r="76" spans="1:15" ht="23.25" x14ac:dyDescent="0.35">
      <c r="A76" s="945"/>
      <c r="B76" s="945"/>
      <c r="C76" s="945"/>
      <c r="D76" s="945"/>
      <c r="E76" s="945"/>
      <c r="F76" s="945"/>
      <c r="G76" s="945"/>
      <c r="H76" s="945"/>
      <c r="I76" s="945"/>
      <c r="J76" s="945"/>
      <c r="K76" s="945"/>
      <c r="L76" s="945"/>
      <c r="M76" s="945"/>
      <c r="N76" s="377"/>
    </row>
    <row r="77" spans="1:15" ht="23.25" x14ac:dyDescent="0.35">
      <c r="A77" s="945"/>
      <c r="B77" s="945"/>
      <c r="C77" s="945"/>
      <c r="D77" s="945"/>
      <c r="E77" s="945"/>
      <c r="F77" s="945"/>
      <c r="G77" s="945"/>
      <c r="H77" s="945"/>
      <c r="I77" s="945"/>
      <c r="J77" s="945"/>
      <c r="K77" s="945"/>
      <c r="L77" s="945"/>
      <c r="M77" s="945"/>
      <c r="N77" s="377"/>
    </row>
    <row r="78" spans="1:15" ht="23.25" x14ac:dyDescent="0.35">
      <c r="A78" s="945"/>
      <c r="B78" s="945"/>
      <c r="C78" s="945"/>
      <c r="D78" s="945"/>
      <c r="E78" s="945"/>
      <c r="F78" s="945"/>
      <c r="G78" s="945"/>
      <c r="H78" s="945"/>
      <c r="I78" s="945"/>
      <c r="J78" s="945"/>
      <c r="K78" s="945"/>
      <c r="L78" s="945"/>
      <c r="M78" s="945"/>
      <c r="N78" s="377"/>
    </row>
    <row r="79" spans="1:15" ht="23.25" x14ac:dyDescent="0.35">
      <c r="A79" s="945"/>
      <c r="B79" s="945"/>
      <c r="C79" s="945"/>
      <c r="D79" s="945"/>
      <c r="E79" s="945"/>
      <c r="F79" s="945"/>
      <c r="G79" s="945"/>
      <c r="H79" s="945"/>
      <c r="I79" s="945"/>
      <c r="J79" s="945"/>
      <c r="K79" s="945"/>
      <c r="L79" s="945"/>
      <c r="M79" s="945"/>
      <c r="N79" s="377"/>
    </row>
    <row r="80" spans="1:15" ht="23.25" x14ac:dyDescent="0.35">
      <c r="A80" s="945"/>
      <c r="B80" s="945"/>
      <c r="C80" s="945"/>
      <c r="D80" s="945"/>
      <c r="E80" s="945"/>
      <c r="F80" s="945"/>
      <c r="G80" s="945"/>
      <c r="H80" s="945"/>
      <c r="I80" s="945"/>
      <c r="J80" s="945"/>
      <c r="K80" s="945"/>
      <c r="L80" s="945"/>
      <c r="M80" s="945"/>
      <c r="N80" s="377"/>
    </row>
    <row r="81" spans="1:14" x14ac:dyDescent="0.25">
      <c r="A81" s="375"/>
      <c r="B81" s="375"/>
      <c r="C81" s="375"/>
      <c r="D81" s="375"/>
      <c r="E81" s="375"/>
      <c r="F81" s="375"/>
      <c r="G81" s="376"/>
      <c r="H81" s="375"/>
      <c r="I81" s="375"/>
      <c r="J81" s="376"/>
      <c r="K81" s="375"/>
      <c r="L81" s="375"/>
      <c r="M81" s="375"/>
      <c r="N81" s="375"/>
    </row>
    <row r="82" spans="1:14" ht="23.25" x14ac:dyDescent="0.35">
      <c r="A82" s="375"/>
      <c r="B82" s="375"/>
      <c r="C82" s="377"/>
      <c r="D82" s="375"/>
      <c r="E82" s="375"/>
      <c r="F82" s="375"/>
      <c r="G82" s="376"/>
      <c r="H82" s="375"/>
      <c r="I82" s="375"/>
      <c r="J82" s="376"/>
      <c r="K82" s="375"/>
      <c r="L82" s="375"/>
      <c r="M82" s="375"/>
      <c r="N82" s="375"/>
    </row>
    <row r="83" spans="1:14" s="366" customFormat="1" ht="23.25" x14ac:dyDescent="0.35">
      <c r="A83" s="363" t="s">
        <v>597</v>
      </c>
      <c r="B83" s="364"/>
      <c r="C83" s="365"/>
      <c r="D83" s="364"/>
      <c r="E83" s="378"/>
      <c r="F83" s="378"/>
      <c r="G83" s="379"/>
      <c r="H83" s="378"/>
      <c r="I83" s="378"/>
      <c r="J83" s="379"/>
      <c r="K83" s="378"/>
      <c r="L83" s="378"/>
      <c r="M83" s="378"/>
      <c r="N83" s="375"/>
    </row>
    <row r="84" spans="1:14" s="366" customFormat="1" x14ac:dyDescent="0.25">
      <c r="A84" s="367" t="s">
        <v>529</v>
      </c>
      <c r="B84" s="367">
        <v>21</v>
      </c>
      <c r="C84" s="368" t="s">
        <v>530</v>
      </c>
      <c r="D84" s="369"/>
      <c r="E84" s="367" t="s">
        <v>521</v>
      </c>
      <c r="F84" s="370" t="s">
        <v>514</v>
      </c>
      <c r="H84" s="371">
        <v>5</v>
      </c>
      <c r="I84" s="371"/>
      <c r="K84" s="367" t="s">
        <v>581</v>
      </c>
      <c r="L84" s="372"/>
      <c r="M84" s="380"/>
      <c r="N84" s="375"/>
    </row>
    <row r="85" spans="1:14" s="366" customFormat="1" x14ac:dyDescent="0.25">
      <c r="A85" s="367" t="s">
        <v>531</v>
      </c>
      <c r="B85" s="367">
        <v>19</v>
      </c>
      <c r="C85" s="368" t="s">
        <v>532</v>
      </c>
      <c r="D85" s="369"/>
      <c r="E85" s="367" t="s">
        <v>515</v>
      </c>
      <c r="F85" s="370" t="s">
        <v>514</v>
      </c>
      <c r="G85" s="373"/>
      <c r="H85" s="371">
        <v>7.5</v>
      </c>
      <c r="I85" s="371">
        <v>1.5</v>
      </c>
      <c r="J85" s="373"/>
      <c r="K85" s="367" t="s">
        <v>581</v>
      </c>
      <c r="L85" s="372" t="s">
        <v>581</v>
      </c>
      <c r="M85" s="380"/>
      <c r="N85" s="375"/>
    </row>
    <row r="86" spans="1:14" s="366" customFormat="1" x14ac:dyDescent="0.25">
      <c r="A86" s="367" t="s">
        <v>531</v>
      </c>
      <c r="B86" s="367">
        <v>19</v>
      </c>
      <c r="C86" s="368" t="s">
        <v>598</v>
      </c>
      <c r="D86" s="369"/>
      <c r="E86" s="367" t="s">
        <v>515</v>
      </c>
      <c r="F86" s="370" t="s">
        <v>516</v>
      </c>
      <c r="H86" s="371">
        <v>2</v>
      </c>
      <c r="I86" s="371"/>
      <c r="K86" s="367"/>
      <c r="L86" s="372" t="s">
        <v>599</v>
      </c>
      <c r="M86" s="380"/>
      <c r="N86" s="375"/>
    </row>
    <row r="87" spans="1:14" ht="23.25" x14ac:dyDescent="0.35">
      <c r="A87" s="375"/>
      <c r="B87" s="375"/>
      <c r="C87" s="377"/>
      <c r="D87" s="375"/>
      <c r="E87" s="375"/>
      <c r="F87" s="375"/>
      <c r="G87" s="376"/>
      <c r="H87" s="375"/>
      <c r="I87" s="375"/>
      <c r="J87" s="376"/>
      <c r="K87" s="375"/>
      <c r="L87" s="375"/>
      <c r="M87" s="375"/>
      <c r="N87" s="375"/>
    </row>
    <row r="88" spans="1:14" s="366" customFormat="1" hidden="1" x14ac:dyDescent="0.25">
      <c r="A88" s="374"/>
      <c r="B88" s="374"/>
      <c r="C88" s="374"/>
      <c r="D88" s="374"/>
      <c r="E88" s="374"/>
      <c r="F88" s="374"/>
      <c r="H88" s="374"/>
      <c r="I88" s="374"/>
      <c r="K88" s="374"/>
      <c r="L88" s="374"/>
      <c r="M88" s="374"/>
    </row>
    <row r="89" spans="1:14" s="366" customFormat="1" hidden="1" x14ac:dyDescent="0.25">
      <c r="A89" s="374"/>
      <c r="B89" s="374"/>
      <c r="C89" s="374"/>
      <c r="D89" s="374"/>
      <c r="E89" s="374"/>
      <c r="F89" s="374"/>
      <c r="H89" s="374"/>
      <c r="I89" s="374"/>
      <c r="K89" s="374"/>
      <c r="L89" s="374"/>
      <c r="M89" s="374"/>
    </row>
  </sheetData>
  <sheetProtection algorithmName="SHA-512" hashValue="Nk1EH8+srtBr0SteDa8NQO0p0epIOV6xxVofU3XUlTwW5egfOfxWHis860EzrZU3jyOmPEu9DyBjBj2UbvMicA==" saltValue="udC9qa4s0BHCVz9mpDc+zw==" spinCount="100000" sheet="1" formatRows="0"/>
  <mergeCells count="6">
    <mergeCell ref="H4:H7"/>
    <mergeCell ref="K4:K7"/>
    <mergeCell ref="F5:F6"/>
    <mergeCell ref="L4:L7"/>
    <mergeCell ref="A75:M80"/>
    <mergeCell ref="I4:I7"/>
  </mergeCells>
  <conditionalFormatting sqref="F14:F65 H14:I65 K14:K65">
    <cfRule type="expression" dxfId="51" priority="77">
      <formula>$C14&gt;0</formula>
    </cfRule>
  </conditionalFormatting>
  <conditionalFormatting sqref="F27">
    <cfRule type="expression" dxfId="50" priority="76">
      <formula>$C27&gt;0</formula>
    </cfRule>
  </conditionalFormatting>
  <conditionalFormatting sqref="F65">
    <cfRule type="expression" dxfId="49" priority="75">
      <formula>$C65&gt;0</formula>
    </cfRule>
  </conditionalFormatting>
  <conditionalFormatting sqref="F64">
    <cfRule type="expression" dxfId="48" priority="74">
      <formula>$C64&gt;0</formula>
    </cfRule>
  </conditionalFormatting>
  <conditionalFormatting sqref="F63">
    <cfRule type="expression" dxfId="47" priority="73">
      <formula>$C63&gt;0</formula>
    </cfRule>
  </conditionalFormatting>
  <conditionalFormatting sqref="F62">
    <cfRule type="expression" dxfId="46" priority="72">
      <formula>$C62&gt;0</formula>
    </cfRule>
  </conditionalFormatting>
  <conditionalFormatting sqref="F61">
    <cfRule type="expression" dxfId="45" priority="71">
      <formula>$C61&gt;0</formula>
    </cfRule>
  </conditionalFormatting>
  <conditionalFormatting sqref="F60">
    <cfRule type="expression" dxfId="44" priority="70">
      <formula>$C60&gt;0</formula>
    </cfRule>
  </conditionalFormatting>
  <conditionalFormatting sqref="F59">
    <cfRule type="expression" dxfId="43" priority="69">
      <formula>$C59&gt;0</formula>
    </cfRule>
  </conditionalFormatting>
  <conditionalFormatting sqref="F58">
    <cfRule type="expression" dxfId="42" priority="68">
      <formula>$C58&gt;0</formula>
    </cfRule>
  </conditionalFormatting>
  <conditionalFormatting sqref="F57">
    <cfRule type="expression" dxfId="41" priority="67">
      <formula>$C57&gt;0</formula>
    </cfRule>
  </conditionalFormatting>
  <conditionalFormatting sqref="F56">
    <cfRule type="expression" dxfId="40" priority="66">
      <formula>$C56&gt;0</formula>
    </cfRule>
  </conditionalFormatting>
  <conditionalFormatting sqref="F55">
    <cfRule type="expression" dxfId="39" priority="65">
      <formula>$C55&gt;0</formula>
    </cfRule>
  </conditionalFormatting>
  <conditionalFormatting sqref="F54">
    <cfRule type="expression" dxfId="38" priority="64">
      <formula>$C54&gt;0</formula>
    </cfRule>
  </conditionalFormatting>
  <conditionalFormatting sqref="F53">
    <cfRule type="expression" dxfId="37" priority="63">
      <formula>$C53&gt;0</formula>
    </cfRule>
  </conditionalFormatting>
  <conditionalFormatting sqref="F52">
    <cfRule type="expression" dxfId="36" priority="62">
      <formula>$C52&gt;0</formula>
    </cfRule>
  </conditionalFormatting>
  <conditionalFormatting sqref="F51">
    <cfRule type="expression" dxfId="35" priority="61">
      <formula>$C51&gt;0</formula>
    </cfRule>
  </conditionalFormatting>
  <conditionalFormatting sqref="F50">
    <cfRule type="expression" dxfId="34" priority="60">
      <formula>$C50&gt;0</formula>
    </cfRule>
  </conditionalFormatting>
  <conditionalFormatting sqref="F39">
    <cfRule type="expression" dxfId="33" priority="59">
      <formula>$C39&gt;0</formula>
    </cfRule>
  </conditionalFormatting>
  <conditionalFormatting sqref="F38">
    <cfRule type="expression" dxfId="32" priority="58">
      <formula>$C38&gt;0</formula>
    </cfRule>
  </conditionalFormatting>
  <conditionalFormatting sqref="F37">
    <cfRule type="expression" dxfId="31" priority="57">
      <formula>$C37&gt;0</formula>
    </cfRule>
  </conditionalFormatting>
  <conditionalFormatting sqref="F36">
    <cfRule type="expression" dxfId="30" priority="56">
      <formula>$C36&gt;0</formula>
    </cfRule>
  </conditionalFormatting>
  <conditionalFormatting sqref="F35">
    <cfRule type="expression" dxfId="29" priority="55">
      <formula>$C35&gt;0</formula>
    </cfRule>
  </conditionalFormatting>
  <conditionalFormatting sqref="F34">
    <cfRule type="expression" dxfId="28" priority="54">
      <formula>$C34&gt;0</formula>
    </cfRule>
  </conditionalFormatting>
  <conditionalFormatting sqref="F33">
    <cfRule type="expression" dxfId="27" priority="53">
      <formula>$C33&gt;0</formula>
    </cfRule>
  </conditionalFormatting>
  <conditionalFormatting sqref="F49">
    <cfRule type="expression" dxfId="26" priority="52">
      <formula>$C49&gt;0</formula>
    </cfRule>
  </conditionalFormatting>
  <conditionalFormatting sqref="F48">
    <cfRule type="expression" dxfId="25" priority="51">
      <formula>$C48&gt;0</formula>
    </cfRule>
  </conditionalFormatting>
  <conditionalFormatting sqref="F47">
    <cfRule type="expression" dxfId="24" priority="50">
      <formula>$C47&gt;0</formula>
    </cfRule>
  </conditionalFormatting>
  <conditionalFormatting sqref="F46">
    <cfRule type="expression" dxfId="23" priority="49">
      <formula>$C46&gt;0</formula>
    </cfRule>
  </conditionalFormatting>
  <conditionalFormatting sqref="F45">
    <cfRule type="expression" dxfId="22" priority="48">
      <formula>$C45&gt;0</formula>
    </cfRule>
  </conditionalFormatting>
  <conditionalFormatting sqref="F44">
    <cfRule type="expression" dxfId="21" priority="47">
      <formula>$C44&gt;0</formula>
    </cfRule>
  </conditionalFormatting>
  <conditionalFormatting sqref="F43">
    <cfRule type="expression" dxfId="20" priority="46">
      <formula>$C43&gt;0</formula>
    </cfRule>
  </conditionalFormatting>
  <conditionalFormatting sqref="F42">
    <cfRule type="expression" dxfId="19" priority="45">
      <formula>$C42&gt;0</formula>
    </cfRule>
  </conditionalFormatting>
  <conditionalFormatting sqref="F41">
    <cfRule type="expression" dxfId="18" priority="44">
      <formula>$C41&gt;0</formula>
    </cfRule>
  </conditionalFormatting>
  <conditionalFormatting sqref="F40">
    <cfRule type="expression" dxfId="17" priority="43">
      <formula>$C40&gt;0</formula>
    </cfRule>
  </conditionalFormatting>
  <conditionalFormatting sqref="L73:L74">
    <cfRule type="expression" dxfId="16" priority="2">
      <formula>SUM($L$73:$L$74)=$L$72</formula>
    </cfRule>
    <cfRule type="expression" dxfId="15" priority="3">
      <formula>SUM($L$73:$L$74)&lt;&gt;$L$72</formula>
    </cfRule>
  </conditionalFormatting>
  <conditionalFormatting sqref="K73:L74">
    <cfRule type="expression" dxfId="14" priority="1">
      <formula>$L$72=0</formula>
    </cfRule>
  </conditionalFormatting>
  <dataValidations xWindow="52" yWindow="473" count="11">
    <dataValidation type="list" allowBlank="1" showInputMessage="1" showErrorMessage="1" sqref="F983031:F983090 F917495:F917554 F851959:F852018 F786423:F786482 F720887:F720946 F655351:F655410 F589815:F589874 F524279:F524338 F458743:F458802 F393207:F393266 F327671:F327730 F262135:F262194 F196599:F196658 F131063:F131122 F65527:F65586">
      <formula1>$O$9:$O$12</formula1>
    </dataValidation>
    <dataValidation type="list" allowBlank="1" showInputMessage="1" showErrorMessage="1" sqref="E9:E68 E65527:E65586 E131063:E131122 E196599:E196658 E262135:E262194 E327671:E327730 E393207:E393266 E458743:E458802 E524279:E524338 E589815:E589874 E655351:E655410 E720887:E720946 E786423:E786482 E851959:E852018 E917495:E917554 E983031:E983090">
      <formula1>$O$13:$O$21</formula1>
    </dataValidation>
    <dataValidation type="decimal" allowBlank="1" showInputMessage="1" showErrorMessage="1" error="Bitte eine gültige Zahl eingeben" sqref="H9:I68">
      <formula1>-8</formula1>
      <formula2>33</formula2>
    </dataValidation>
    <dataValidation type="list" allowBlank="1" showDropDown="1" showInputMessage="1" showErrorMessage="1" error="Bitte &quot;X&quot; eingeben bei Zutreffen" sqref="K12:L68">
      <formula1>"X,x"</formula1>
    </dataValidation>
    <dataValidation type="list" allowBlank="1" showDropDown="1" showInputMessage="1" showErrorMessage="1" prompt="Bitte &quot;X&quot; eingeben bei Zutreffen" sqref="K9:L11">
      <formula1>"X,x"</formula1>
    </dataValidation>
    <dataValidation type="whole" allowBlank="1" showInputMessage="1" showErrorMessage="1" error="Bitte eine gültige Zahl eingeben" sqref="B10:B68">
      <formula1>0</formula1>
      <formula2>33</formula2>
    </dataValidation>
    <dataValidation type="whole" allowBlank="1" showInputMessage="1" showErrorMessage="1" error="Bitte eine gültige Zahl eingeben" prompt="Beispiele zum Ausfüllen_x000a_siehe unten in den Zeilen 81 bis 83" sqref="B9">
      <formula1>0</formula1>
      <formula2>33</formula2>
    </dataValidation>
    <dataValidation allowBlank="1" showInputMessage="1" showErrorMessage="1" prompt="Beispiele zum Ausfüllen_x000a_siehe unten in den Zeilen 81 bis 83" sqref="A9"/>
    <dataValidation type="decimal" allowBlank="1" showInputMessage="1" showErrorMessage="1" errorTitle="Zu viele Stunden" error="Es können nicht mehr Stunden vergeben werden, als beantragt wurden." sqref="L73">
      <formula1>0</formula1>
      <formula2>L72</formula2>
    </dataValidation>
    <dataValidation type="decimal" allowBlank="1" showInputMessage="1" showErrorMessage="1" errorTitle="Zu viele Stunden" error="Durch Lehrpersonen dürfen nur Assistenzleistungen im Unterricht geleistet werden._x000a_Es wurden Mehr Stunden eingegeben, als für diesen Bereich beantragt wurden." promptTitle="Nur Unterricht" prompt="Ausschließlich Lehrpersonen welche eine Verwendung als &quot;Stütz- und BegleitlehrerInnen&quot; haben dürfen Assistenzleistungen im Unterricht geleistet erbringen._x000a__x000a_Nicht jedoch im Freizeitbereich." sqref="L74">
      <formula1>0</formula1>
      <formula2>H70</formula2>
    </dataValidation>
    <dataValidation type="list" allowBlank="1" showInputMessage="1" showErrorMessage="1" sqref="F9 F10:F68">
      <formula1>$O$9:$O$11</formula1>
    </dataValidation>
  </dataValidations>
  <printOptions horizontalCentered="1" verticalCentered="1"/>
  <pageMargins left="0.59055118110236227" right="0.35433070866141736" top="0.62992125984251968" bottom="0.62992125984251968" header="0.31496062992125984" footer="0.31496062992125984"/>
  <pageSetup paperSize="9" scale="98" fitToHeight="0" orientation="portrait" horizontalDpi="4294967293" r:id="rId1"/>
  <headerFooter>
    <oddFooter>&amp;C&amp;5&amp;Z&amp;11&amp;F&amp;R&amp;D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9" tint="0.59999389629810485"/>
    <pageSetUpPr fitToPage="1"/>
  </sheetPr>
  <dimension ref="A1:M44"/>
  <sheetViews>
    <sheetView showGridLines="0" showZeros="0" zoomScaleNormal="100" workbookViewId="0">
      <selection activeCell="A10" sqref="A10"/>
    </sheetView>
  </sheetViews>
  <sheetFormatPr baseColWidth="10" defaultColWidth="11.42578125" defaultRowHeight="15" zeroHeight="1" x14ac:dyDescent="0.25"/>
  <cols>
    <col min="1" max="2" width="7.5703125" style="390" customWidth="1"/>
    <col min="3" max="3" width="9.85546875" style="390" customWidth="1"/>
    <col min="4" max="4" width="8.5703125" style="390" customWidth="1"/>
    <col min="5" max="5" width="9.5703125" style="390" customWidth="1"/>
    <col min="6" max="6" width="6" style="390" customWidth="1"/>
    <col min="7" max="7" width="4.5703125" style="390" customWidth="1"/>
    <col min="8" max="8" width="9.42578125" style="390" customWidth="1"/>
    <col min="9" max="9" width="21.28515625" style="390" customWidth="1"/>
    <col min="10" max="10" width="8.5703125" style="390" customWidth="1"/>
    <col min="11" max="11" width="51" style="390" customWidth="1"/>
    <col min="12" max="13" width="3.7109375" style="390" customWidth="1"/>
    <col min="14" max="16384" width="11.42578125" style="389"/>
  </cols>
  <sheetData>
    <row r="1" spans="1:13" s="390" customFormat="1" ht="26.25" x14ac:dyDescent="0.4">
      <c r="A1" s="946" t="s">
        <v>621</v>
      </c>
      <c r="B1" s="946"/>
      <c r="C1" s="946"/>
      <c r="D1" s="946"/>
      <c r="E1" s="946"/>
      <c r="J1" s="437" t="s">
        <v>619</v>
      </c>
      <c r="K1" s="391"/>
      <c r="L1" s="391"/>
      <c r="M1" s="423"/>
    </row>
    <row r="2" spans="1:13" s="390" customFormat="1" ht="26.25" x14ac:dyDescent="0.4">
      <c r="A2" s="946"/>
      <c r="B2" s="946"/>
      <c r="C2" s="946"/>
      <c r="D2" s="946"/>
      <c r="E2" s="946"/>
      <c r="I2" s="438"/>
      <c r="J2" s="422" t="str">
        <f>"im Schuljahr 20"&amp;RIGHT(Konti_VS!H1,5)</f>
        <v>im Schuljahr 2024/25</v>
      </c>
      <c r="K2" s="391"/>
      <c r="L2" s="391"/>
      <c r="M2" s="391"/>
    </row>
    <row r="3" spans="1:13" s="390" customFormat="1" ht="18.75" x14ac:dyDescent="0.3">
      <c r="A3" s="439" t="str">
        <f>Konti_VS!C7</f>
        <v>VS  . . .</v>
      </c>
      <c r="B3" s="440"/>
      <c r="C3" s="440"/>
      <c r="D3" s="440"/>
      <c r="E3" s="440"/>
      <c r="F3" s="440"/>
      <c r="G3" s="421">
        <f ca="1">IF(A3&lt;&gt;" . . .",TODAY(),"")</f>
        <v>45364</v>
      </c>
      <c r="H3" s="420"/>
      <c r="K3" s="391"/>
      <c r="L3" s="391"/>
      <c r="M3" s="391"/>
    </row>
    <row r="4" spans="1:13" s="390" customFormat="1" ht="15.75" x14ac:dyDescent="0.2">
      <c r="A4" s="441"/>
      <c r="B4" s="417"/>
      <c r="C4" s="417"/>
      <c r="D4" s="417"/>
      <c r="E4" s="417"/>
      <c r="G4" s="419" t="s">
        <v>495</v>
      </c>
      <c r="H4" s="418"/>
      <c r="K4" s="391"/>
      <c r="L4" s="391"/>
      <c r="M4" s="391"/>
    </row>
    <row r="5" spans="1:13" s="390" customFormat="1" ht="18.75" x14ac:dyDescent="0.3">
      <c r="A5" s="416" t="s">
        <v>620</v>
      </c>
      <c r="B5" s="415"/>
      <c r="H5" s="414" t="s">
        <v>618</v>
      </c>
      <c r="K5" s="391"/>
      <c r="L5" s="391"/>
      <c r="M5" s="391"/>
    </row>
    <row r="6" spans="1:13" s="390" customFormat="1" ht="4.5" customHeight="1" x14ac:dyDescent="0.2">
      <c r="K6" s="391"/>
      <c r="L6" s="391"/>
      <c r="M6" s="391"/>
    </row>
    <row r="7" spans="1:13" s="390" customFormat="1" ht="80.25" customHeight="1" x14ac:dyDescent="0.2">
      <c r="A7" s="410" t="s">
        <v>509</v>
      </c>
      <c r="B7" s="410" t="s">
        <v>616</v>
      </c>
      <c r="C7" s="410" t="s">
        <v>615</v>
      </c>
      <c r="D7" s="410" t="s">
        <v>614</v>
      </c>
      <c r="E7" s="413" t="s">
        <v>613</v>
      </c>
      <c r="F7" s="412" t="s">
        <v>612</v>
      </c>
      <c r="G7" s="411" t="s">
        <v>611</v>
      </c>
      <c r="H7" s="410" t="s">
        <v>610</v>
      </c>
      <c r="I7" s="409" t="s">
        <v>609</v>
      </c>
      <c r="J7" s="408" t="s">
        <v>608</v>
      </c>
      <c r="K7" s="951" t="str">
        <f>IF(L7&gt;0,"Sind hier (zB wegen vermiedener Kürzungen) nicht zuviel Stunden vorgesehen?"," ")</f>
        <v xml:space="preserve"> </v>
      </c>
      <c r="L7" s="407">
        <f>H37-M7</f>
        <v>0</v>
      </c>
      <c r="M7" s="406">
        <f>SUM(M8:M36,M1)</f>
        <v>0</v>
      </c>
    </row>
    <row r="8" spans="1:13" s="390" customFormat="1" ht="4.5" customHeight="1" x14ac:dyDescent="0.2">
      <c r="A8" s="401"/>
      <c r="B8" s="405"/>
      <c r="C8" s="402"/>
      <c r="D8" s="401"/>
      <c r="E8" s="404"/>
      <c r="F8" s="403"/>
      <c r="G8" s="402"/>
      <c r="H8" s="401"/>
      <c r="K8" s="951"/>
      <c r="L8" s="391"/>
      <c r="M8" s="391"/>
    </row>
    <row r="9" spans="1:13" s="390" customFormat="1" ht="4.5" customHeight="1" x14ac:dyDescent="0.2">
      <c r="K9" s="391"/>
      <c r="L9" s="391"/>
      <c r="M9" s="398">
        <f>IF(OR(AND(F10&gt;15,SUBTOTAL(103,Konti_VS!C12:C16)&gt;2,Konti_VS!D29=1),AND(F10&gt;18,SUBTOTAL(103,Konti_VS!C12:C14)&gt;2,SUM(Konti_VS!N13:'Konti_VS'!N14)=1)),2,)</f>
        <v>0</v>
      </c>
    </row>
    <row r="10" spans="1:13" s="390" customFormat="1" ht="20.45" customHeight="1" x14ac:dyDescent="0.2">
      <c r="A10" s="429" t="s">
        <v>626</v>
      </c>
      <c r="B10" s="430"/>
      <c r="C10" s="445"/>
      <c r="D10" s="446"/>
      <c r="E10" s="447"/>
      <c r="F10" s="953" t="str">
        <f t="shared" ref="F10:F36" si="0">L10</f>
        <v xml:space="preserve"> </v>
      </c>
      <c r="G10" s="954"/>
      <c r="H10" s="448" t="str">
        <f t="shared" ref="H10:H36" si="1">M10</f>
        <v xml:space="preserve"> </v>
      </c>
      <c r="I10" s="449"/>
      <c r="J10" s="450"/>
      <c r="K10" s="400" t="str">
        <f>IF(M9&gt;0,"4 Std möglich ab "&amp;IF(Konti_VS!D29=1,16,19)&amp;" SuS in mind. 3 Stufen!"," ")</f>
        <v xml:space="preserve"> </v>
      </c>
      <c r="L10" s="399" t="str">
        <f t="shared" ref="L10:L36" si="2">IF(B10&lt;&gt;"",C10-D10+E10," ")</f>
        <v xml:space="preserve"> </v>
      </c>
      <c r="M10" s="398" t="str">
        <f t="shared" ref="M10:M36" si="3">IF(OR(F10=" ",F10&lt;4)," ",IF(OR(F10&gt;=10,F10*2&gt;=B10),2,1))</f>
        <v xml:space="preserve"> </v>
      </c>
    </row>
    <row r="11" spans="1:13" s="390" customFormat="1" ht="20.45" customHeight="1" x14ac:dyDescent="0.2">
      <c r="A11" s="431"/>
      <c r="B11" s="432"/>
      <c r="C11" s="451"/>
      <c r="D11" s="452"/>
      <c r="E11" s="453"/>
      <c r="F11" s="947" t="str">
        <f t="shared" si="0"/>
        <v xml:space="preserve"> </v>
      </c>
      <c r="G11" s="948"/>
      <c r="H11" s="454" t="str">
        <f t="shared" si="1"/>
        <v xml:space="preserve"> </v>
      </c>
      <c r="I11" s="449"/>
      <c r="J11" s="450"/>
      <c r="K11" s="952" t="str">
        <f>IF(K7&lt;&gt;" ","Statt zu vermindern müssten dann "&amp;TEXT(L7,"#,0")&amp;" 
 aus dem RestKonti abgedeckt werden!"," ")</f>
        <v xml:space="preserve"> </v>
      </c>
      <c r="L11" s="399" t="str">
        <f t="shared" si="2"/>
        <v xml:space="preserve"> </v>
      </c>
      <c r="M11" s="398" t="str">
        <f t="shared" si="3"/>
        <v xml:space="preserve"> </v>
      </c>
    </row>
    <row r="12" spans="1:13" s="390" customFormat="1" ht="20.45" customHeight="1" x14ac:dyDescent="0.2">
      <c r="A12" s="431"/>
      <c r="B12" s="432"/>
      <c r="C12" s="451"/>
      <c r="D12" s="452"/>
      <c r="E12" s="453"/>
      <c r="F12" s="947" t="str">
        <f t="shared" si="0"/>
        <v xml:space="preserve"> </v>
      </c>
      <c r="G12" s="948"/>
      <c r="H12" s="454" t="str">
        <f t="shared" si="1"/>
        <v xml:space="preserve"> </v>
      </c>
      <c r="I12" s="449"/>
      <c r="J12" s="450"/>
      <c r="K12" s="952"/>
      <c r="L12" s="399" t="str">
        <f t="shared" si="2"/>
        <v xml:space="preserve"> </v>
      </c>
      <c r="M12" s="398" t="str">
        <f t="shared" si="3"/>
        <v xml:space="preserve"> </v>
      </c>
    </row>
    <row r="13" spans="1:13" s="390" customFormat="1" ht="20.45" customHeight="1" x14ac:dyDescent="0.2">
      <c r="A13" s="431"/>
      <c r="B13" s="432"/>
      <c r="C13" s="451"/>
      <c r="D13" s="452"/>
      <c r="E13" s="453"/>
      <c r="F13" s="947" t="str">
        <f t="shared" si="0"/>
        <v xml:space="preserve"> </v>
      </c>
      <c r="G13" s="948"/>
      <c r="H13" s="454" t="str">
        <f t="shared" si="1"/>
        <v xml:space="preserve"> </v>
      </c>
      <c r="I13" s="449"/>
      <c r="J13" s="450"/>
      <c r="K13" s="952"/>
      <c r="L13" s="399" t="str">
        <f t="shared" si="2"/>
        <v xml:space="preserve"> </v>
      </c>
      <c r="M13" s="398" t="str">
        <f t="shared" si="3"/>
        <v xml:space="preserve"> </v>
      </c>
    </row>
    <row r="14" spans="1:13" s="390" customFormat="1" ht="20.45" customHeight="1" x14ac:dyDescent="0.2">
      <c r="A14" s="431"/>
      <c r="B14" s="432"/>
      <c r="C14" s="451"/>
      <c r="D14" s="452"/>
      <c r="E14" s="453"/>
      <c r="F14" s="947" t="str">
        <f t="shared" si="0"/>
        <v xml:space="preserve"> </v>
      </c>
      <c r="G14" s="948"/>
      <c r="H14" s="454" t="str">
        <f t="shared" si="1"/>
        <v xml:space="preserve"> </v>
      </c>
      <c r="I14" s="449"/>
      <c r="J14" s="450"/>
      <c r="K14" s="391"/>
      <c r="L14" s="399" t="str">
        <f t="shared" si="2"/>
        <v xml:space="preserve"> </v>
      </c>
      <c r="M14" s="398" t="str">
        <f t="shared" si="3"/>
        <v xml:space="preserve"> </v>
      </c>
    </row>
    <row r="15" spans="1:13" s="390" customFormat="1" ht="20.45" customHeight="1" x14ac:dyDescent="0.2">
      <c r="A15" s="431"/>
      <c r="B15" s="432"/>
      <c r="C15" s="451"/>
      <c r="D15" s="452"/>
      <c r="E15" s="453"/>
      <c r="F15" s="947" t="str">
        <f t="shared" si="0"/>
        <v xml:space="preserve"> </v>
      </c>
      <c r="G15" s="948"/>
      <c r="H15" s="454" t="str">
        <f t="shared" si="1"/>
        <v xml:space="preserve"> </v>
      </c>
      <c r="I15" s="449"/>
      <c r="J15" s="450"/>
      <c r="K15" s="391"/>
      <c r="L15" s="399" t="str">
        <f t="shared" si="2"/>
        <v xml:space="preserve"> </v>
      </c>
      <c r="M15" s="398" t="str">
        <f t="shared" si="3"/>
        <v xml:space="preserve"> </v>
      </c>
    </row>
    <row r="16" spans="1:13" s="390" customFormat="1" ht="20.25" customHeight="1" x14ac:dyDescent="0.2">
      <c r="A16" s="431"/>
      <c r="B16" s="432"/>
      <c r="C16" s="451"/>
      <c r="D16" s="452"/>
      <c r="E16" s="453"/>
      <c r="F16" s="947" t="str">
        <f t="shared" si="0"/>
        <v xml:space="preserve"> </v>
      </c>
      <c r="G16" s="948"/>
      <c r="H16" s="454" t="str">
        <f t="shared" si="1"/>
        <v xml:space="preserve"> </v>
      </c>
      <c r="I16" s="449"/>
      <c r="J16" s="450"/>
      <c r="K16" s="391"/>
      <c r="L16" s="399" t="str">
        <f t="shared" si="2"/>
        <v xml:space="preserve"> </v>
      </c>
      <c r="M16" s="398" t="str">
        <f t="shared" si="3"/>
        <v xml:space="preserve"> </v>
      </c>
    </row>
    <row r="17" spans="1:13" s="390" customFormat="1" ht="20.25" customHeight="1" x14ac:dyDescent="0.2">
      <c r="A17" s="431"/>
      <c r="B17" s="432"/>
      <c r="C17" s="451"/>
      <c r="D17" s="452"/>
      <c r="E17" s="453"/>
      <c r="F17" s="947" t="str">
        <f t="shared" si="0"/>
        <v xml:space="preserve"> </v>
      </c>
      <c r="G17" s="948"/>
      <c r="H17" s="454" t="str">
        <f t="shared" si="1"/>
        <v xml:space="preserve"> </v>
      </c>
      <c r="I17" s="449"/>
      <c r="J17" s="450"/>
      <c r="K17" s="391"/>
      <c r="L17" s="399" t="str">
        <f t="shared" si="2"/>
        <v xml:space="preserve"> </v>
      </c>
      <c r="M17" s="398" t="str">
        <f t="shared" si="3"/>
        <v xml:space="preserve"> </v>
      </c>
    </row>
    <row r="18" spans="1:13" s="390" customFormat="1" ht="20.25" customHeight="1" x14ac:dyDescent="0.2">
      <c r="A18" s="431"/>
      <c r="B18" s="432"/>
      <c r="C18" s="451"/>
      <c r="D18" s="452"/>
      <c r="E18" s="453"/>
      <c r="F18" s="947" t="str">
        <f t="shared" si="0"/>
        <v xml:space="preserve"> </v>
      </c>
      <c r="G18" s="948"/>
      <c r="H18" s="454" t="str">
        <f t="shared" si="1"/>
        <v xml:space="preserve"> </v>
      </c>
      <c r="I18" s="449"/>
      <c r="J18" s="450"/>
      <c r="K18" s="391"/>
      <c r="L18" s="399" t="str">
        <f t="shared" si="2"/>
        <v xml:space="preserve"> </v>
      </c>
      <c r="M18" s="398" t="str">
        <f t="shared" si="3"/>
        <v xml:space="preserve"> </v>
      </c>
    </row>
    <row r="19" spans="1:13" s="390" customFormat="1" ht="20.25" customHeight="1" x14ac:dyDescent="0.2">
      <c r="A19" s="431"/>
      <c r="B19" s="432"/>
      <c r="C19" s="451"/>
      <c r="D19" s="452"/>
      <c r="E19" s="453"/>
      <c r="F19" s="947" t="str">
        <f t="shared" si="0"/>
        <v xml:space="preserve"> </v>
      </c>
      <c r="G19" s="948"/>
      <c r="H19" s="454" t="str">
        <f t="shared" si="1"/>
        <v xml:space="preserve"> </v>
      </c>
      <c r="I19" s="449"/>
      <c r="J19" s="450"/>
      <c r="K19" s="391"/>
      <c r="L19" s="399" t="str">
        <f t="shared" si="2"/>
        <v xml:space="preserve"> </v>
      </c>
      <c r="M19" s="398" t="str">
        <f t="shared" si="3"/>
        <v xml:space="preserve"> </v>
      </c>
    </row>
    <row r="20" spans="1:13" s="390" customFormat="1" ht="20.25" customHeight="1" x14ac:dyDescent="0.2">
      <c r="A20" s="431"/>
      <c r="B20" s="432"/>
      <c r="C20" s="451"/>
      <c r="D20" s="452"/>
      <c r="E20" s="453"/>
      <c r="F20" s="947" t="str">
        <f t="shared" si="0"/>
        <v xml:space="preserve"> </v>
      </c>
      <c r="G20" s="948"/>
      <c r="H20" s="454" t="str">
        <f t="shared" si="1"/>
        <v xml:space="preserve"> </v>
      </c>
      <c r="I20" s="449"/>
      <c r="J20" s="450"/>
      <c r="K20" s="391"/>
      <c r="L20" s="399" t="str">
        <f t="shared" si="2"/>
        <v xml:space="preserve"> </v>
      </c>
      <c r="M20" s="398" t="str">
        <f t="shared" si="3"/>
        <v xml:space="preserve"> </v>
      </c>
    </row>
    <row r="21" spans="1:13" s="390" customFormat="1" ht="20.25" hidden="1" customHeight="1" x14ac:dyDescent="0.2">
      <c r="A21" s="431"/>
      <c r="B21" s="432"/>
      <c r="C21" s="451"/>
      <c r="D21" s="452"/>
      <c r="E21" s="453"/>
      <c r="F21" s="947" t="str">
        <f t="shared" si="0"/>
        <v xml:space="preserve"> </v>
      </c>
      <c r="G21" s="948"/>
      <c r="H21" s="454" t="str">
        <f t="shared" si="1"/>
        <v xml:space="preserve"> </v>
      </c>
      <c r="I21" s="449"/>
      <c r="J21" s="450"/>
      <c r="K21" s="391"/>
      <c r="L21" s="399" t="str">
        <f t="shared" si="2"/>
        <v xml:space="preserve"> </v>
      </c>
      <c r="M21" s="398" t="str">
        <f t="shared" si="3"/>
        <v xml:space="preserve"> </v>
      </c>
    </row>
    <row r="22" spans="1:13" s="390" customFormat="1" ht="20.25" hidden="1" customHeight="1" x14ac:dyDescent="0.2">
      <c r="A22" s="431"/>
      <c r="B22" s="432"/>
      <c r="C22" s="451"/>
      <c r="D22" s="452"/>
      <c r="E22" s="453"/>
      <c r="F22" s="947" t="str">
        <f t="shared" si="0"/>
        <v xml:space="preserve"> </v>
      </c>
      <c r="G22" s="948"/>
      <c r="H22" s="454" t="str">
        <f t="shared" si="1"/>
        <v xml:space="preserve"> </v>
      </c>
      <c r="I22" s="449"/>
      <c r="J22" s="450"/>
      <c r="K22" s="391"/>
      <c r="L22" s="399" t="str">
        <f t="shared" si="2"/>
        <v xml:space="preserve"> </v>
      </c>
      <c r="M22" s="398" t="str">
        <f t="shared" si="3"/>
        <v xml:space="preserve"> </v>
      </c>
    </row>
    <row r="23" spans="1:13" s="390" customFormat="1" ht="20.25" hidden="1" customHeight="1" x14ac:dyDescent="0.2">
      <c r="A23" s="431"/>
      <c r="B23" s="432"/>
      <c r="C23" s="451"/>
      <c r="D23" s="452"/>
      <c r="E23" s="453"/>
      <c r="F23" s="947" t="str">
        <f t="shared" si="0"/>
        <v xml:space="preserve"> </v>
      </c>
      <c r="G23" s="948"/>
      <c r="H23" s="454" t="str">
        <f t="shared" si="1"/>
        <v xml:space="preserve"> </v>
      </c>
      <c r="I23" s="449"/>
      <c r="J23" s="450"/>
      <c r="K23" s="391"/>
      <c r="L23" s="399" t="str">
        <f t="shared" si="2"/>
        <v xml:space="preserve"> </v>
      </c>
      <c r="M23" s="398" t="str">
        <f t="shared" si="3"/>
        <v xml:space="preserve"> </v>
      </c>
    </row>
    <row r="24" spans="1:13" s="390" customFormat="1" ht="20.25" hidden="1" customHeight="1" x14ac:dyDescent="0.2">
      <c r="A24" s="431"/>
      <c r="B24" s="432"/>
      <c r="C24" s="451"/>
      <c r="D24" s="452"/>
      <c r="E24" s="453"/>
      <c r="F24" s="947" t="str">
        <f t="shared" si="0"/>
        <v xml:space="preserve"> </v>
      </c>
      <c r="G24" s="948"/>
      <c r="H24" s="454" t="str">
        <f t="shared" si="1"/>
        <v xml:space="preserve"> </v>
      </c>
      <c r="I24" s="449"/>
      <c r="J24" s="450"/>
      <c r="K24" s="391"/>
      <c r="L24" s="399" t="str">
        <f t="shared" si="2"/>
        <v xml:space="preserve"> </v>
      </c>
      <c r="M24" s="398" t="str">
        <f t="shared" si="3"/>
        <v xml:space="preserve"> </v>
      </c>
    </row>
    <row r="25" spans="1:13" s="390" customFormat="1" ht="20.25" hidden="1" customHeight="1" x14ac:dyDescent="0.2">
      <c r="A25" s="431"/>
      <c r="B25" s="432"/>
      <c r="C25" s="451"/>
      <c r="D25" s="452"/>
      <c r="E25" s="453"/>
      <c r="F25" s="947" t="str">
        <f t="shared" si="0"/>
        <v xml:space="preserve"> </v>
      </c>
      <c r="G25" s="948"/>
      <c r="H25" s="454" t="str">
        <f t="shared" si="1"/>
        <v xml:space="preserve"> </v>
      </c>
      <c r="I25" s="449"/>
      <c r="J25" s="450"/>
      <c r="K25" s="391"/>
      <c r="L25" s="399" t="str">
        <f t="shared" si="2"/>
        <v xml:space="preserve"> </v>
      </c>
      <c r="M25" s="398" t="str">
        <f t="shared" si="3"/>
        <v xml:space="preserve"> </v>
      </c>
    </row>
    <row r="26" spans="1:13" s="390" customFormat="1" ht="20.25" hidden="1" customHeight="1" x14ac:dyDescent="0.2">
      <c r="A26" s="431"/>
      <c r="B26" s="432"/>
      <c r="C26" s="451"/>
      <c r="D26" s="452"/>
      <c r="E26" s="453"/>
      <c r="F26" s="947" t="str">
        <f t="shared" si="0"/>
        <v xml:space="preserve"> </v>
      </c>
      <c r="G26" s="948"/>
      <c r="H26" s="454" t="str">
        <f t="shared" si="1"/>
        <v xml:space="preserve"> </v>
      </c>
      <c r="I26" s="449"/>
      <c r="J26" s="450"/>
      <c r="K26" s="391"/>
      <c r="L26" s="399" t="str">
        <f t="shared" si="2"/>
        <v xml:space="preserve"> </v>
      </c>
      <c r="M26" s="398" t="str">
        <f t="shared" si="3"/>
        <v xml:space="preserve"> </v>
      </c>
    </row>
    <row r="27" spans="1:13" s="390" customFormat="1" ht="20.25" hidden="1" customHeight="1" x14ac:dyDescent="0.2">
      <c r="A27" s="431"/>
      <c r="B27" s="432"/>
      <c r="C27" s="451"/>
      <c r="D27" s="452"/>
      <c r="E27" s="453"/>
      <c r="F27" s="947" t="str">
        <f t="shared" si="0"/>
        <v xml:space="preserve"> </v>
      </c>
      <c r="G27" s="948"/>
      <c r="H27" s="454" t="str">
        <f t="shared" si="1"/>
        <v xml:space="preserve"> </v>
      </c>
      <c r="I27" s="449"/>
      <c r="J27" s="450"/>
      <c r="K27" s="391"/>
      <c r="L27" s="399" t="str">
        <f t="shared" si="2"/>
        <v xml:space="preserve"> </v>
      </c>
      <c r="M27" s="398" t="str">
        <f t="shared" si="3"/>
        <v xml:space="preserve"> </v>
      </c>
    </row>
    <row r="28" spans="1:13" s="390" customFormat="1" ht="20.25" hidden="1" customHeight="1" x14ac:dyDescent="0.2">
      <c r="A28" s="431"/>
      <c r="B28" s="432"/>
      <c r="C28" s="451"/>
      <c r="D28" s="452"/>
      <c r="E28" s="453"/>
      <c r="F28" s="947" t="str">
        <f t="shared" si="0"/>
        <v xml:space="preserve"> </v>
      </c>
      <c r="G28" s="948"/>
      <c r="H28" s="454" t="str">
        <f t="shared" si="1"/>
        <v xml:space="preserve"> </v>
      </c>
      <c r="I28" s="449"/>
      <c r="J28" s="450"/>
      <c r="K28" s="391"/>
      <c r="L28" s="399" t="str">
        <f t="shared" si="2"/>
        <v xml:space="preserve"> </v>
      </c>
      <c r="M28" s="398" t="str">
        <f t="shared" si="3"/>
        <v xml:space="preserve"> </v>
      </c>
    </row>
    <row r="29" spans="1:13" s="390" customFormat="1" ht="20.25" hidden="1" customHeight="1" x14ac:dyDescent="0.2">
      <c r="A29" s="431"/>
      <c r="B29" s="432"/>
      <c r="C29" s="451"/>
      <c r="D29" s="452"/>
      <c r="E29" s="453"/>
      <c r="F29" s="947" t="str">
        <f t="shared" si="0"/>
        <v xml:space="preserve"> </v>
      </c>
      <c r="G29" s="948"/>
      <c r="H29" s="454" t="str">
        <f t="shared" si="1"/>
        <v xml:space="preserve"> </v>
      </c>
      <c r="I29" s="449"/>
      <c r="J29" s="450"/>
      <c r="K29" s="391"/>
      <c r="L29" s="399" t="str">
        <f t="shared" si="2"/>
        <v xml:space="preserve"> </v>
      </c>
      <c r="M29" s="398" t="str">
        <f t="shared" si="3"/>
        <v xml:space="preserve"> </v>
      </c>
    </row>
    <row r="30" spans="1:13" s="390" customFormat="1" ht="20.25" hidden="1" customHeight="1" x14ac:dyDescent="0.2">
      <c r="A30" s="431"/>
      <c r="B30" s="432"/>
      <c r="C30" s="451"/>
      <c r="D30" s="452"/>
      <c r="E30" s="453"/>
      <c r="F30" s="947" t="str">
        <f t="shared" si="0"/>
        <v xml:space="preserve"> </v>
      </c>
      <c r="G30" s="948"/>
      <c r="H30" s="454" t="str">
        <f t="shared" si="1"/>
        <v xml:space="preserve"> </v>
      </c>
      <c r="I30" s="449"/>
      <c r="J30" s="450"/>
      <c r="K30" s="391"/>
      <c r="L30" s="399" t="str">
        <f t="shared" si="2"/>
        <v xml:space="preserve"> </v>
      </c>
      <c r="M30" s="398" t="str">
        <f t="shared" si="3"/>
        <v xml:space="preserve"> </v>
      </c>
    </row>
    <row r="31" spans="1:13" s="390" customFormat="1" ht="20.25" hidden="1" customHeight="1" x14ac:dyDescent="0.2">
      <c r="A31" s="431"/>
      <c r="B31" s="432"/>
      <c r="C31" s="451"/>
      <c r="D31" s="452"/>
      <c r="E31" s="453"/>
      <c r="F31" s="947" t="str">
        <f t="shared" si="0"/>
        <v xml:space="preserve"> </v>
      </c>
      <c r="G31" s="948"/>
      <c r="H31" s="454" t="str">
        <f t="shared" si="1"/>
        <v xml:space="preserve"> </v>
      </c>
      <c r="I31" s="449"/>
      <c r="J31" s="450"/>
      <c r="K31" s="391"/>
      <c r="L31" s="399" t="str">
        <f t="shared" si="2"/>
        <v xml:space="preserve"> </v>
      </c>
      <c r="M31" s="398" t="str">
        <f t="shared" si="3"/>
        <v xml:space="preserve"> </v>
      </c>
    </row>
    <row r="32" spans="1:13" s="390" customFormat="1" ht="20.25" hidden="1" customHeight="1" x14ac:dyDescent="0.2">
      <c r="A32" s="431"/>
      <c r="B32" s="432"/>
      <c r="C32" s="451"/>
      <c r="D32" s="452"/>
      <c r="E32" s="453"/>
      <c r="F32" s="947" t="str">
        <f t="shared" si="0"/>
        <v xml:space="preserve"> </v>
      </c>
      <c r="G32" s="948"/>
      <c r="H32" s="454" t="str">
        <f t="shared" si="1"/>
        <v xml:space="preserve"> </v>
      </c>
      <c r="I32" s="449"/>
      <c r="J32" s="450"/>
      <c r="K32" s="391"/>
      <c r="L32" s="399" t="str">
        <f t="shared" si="2"/>
        <v xml:space="preserve"> </v>
      </c>
      <c r="M32" s="398" t="str">
        <f t="shared" si="3"/>
        <v xml:space="preserve"> </v>
      </c>
    </row>
    <row r="33" spans="1:13" s="390" customFormat="1" ht="20.25" hidden="1" customHeight="1" x14ac:dyDescent="0.2">
      <c r="A33" s="431"/>
      <c r="B33" s="432"/>
      <c r="C33" s="451"/>
      <c r="D33" s="452"/>
      <c r="E33" s="453"/>
      <c r="F33" s="947" t="str">
        <f t="shared" si="0"/>
        <v xml:space="preserve"> </v>
      </c>
      <c r="G33" s="948"/>
      <c r="H33" s="454" t="str">
        <f t="shared" si="1"/>
        <v xml:space="preserve"> </v>
      </c>
      <c r="I33" s="449"/>
      <c r="J33" s="450"/>
      <c r="K33" s="391"/>
      <c r="L33" s="399" t="str">
        <f t="shared" si="2"/>
        <v xml:space="preserve"> </v>
      </c>
      <c r="M33" s="398" t="str">
        <f t="shared" si="3"/>
        <v xml:space="preserve"> </v>
      </c>
    </row>
    <row r="34" spans="1:13" s="390" customFormat="1" ht="20.25" customHeight="1" x14ac:dyDescent="0.2">
      <c r="A34" s="431"/>
      <c r="B34" s="432"/>
      <c r="C34" s="451"/>
      <c r="D34" s="452"/>
      <c r="E34" s="453"/>
      <c r="F34" s="947" t="str">
        <f t="shared" si="0"/>
        <v xml:space="preserve"> </v>
      </c>
      <c r="G34" s="948"/>
      <c r="H34" s="454" t="str">
        <f t="shared" si="1"/>
        <v xml:space="preserve"> </v>
      </c>
      <c r="I34" s="449"/>
      <c r="J34" s="450"/>
      <c r="K34" s="391"/>
      <c r="L34" s="399" t="str">
        <f t="shared" si="2"/>
        <v xml:space="preserve"> </v>
      </c>
      <c r="M34" s="398" t="str">
        <f t="shared" si="3"/>
        <v xml:space="preserve"> </v>
      </c>
    </row>
    <row r="35" spans="1:13" s="390" customFormat="1" ht="20.25" customHeight="1" x14ac:dyDescent="0.2">
      <c r="A35" s="431"/>
      <c r="B35" s="432"/>
      <c r="C35" s="451"/>
      <c r="D35" s="452"/>
      <c r="E35" s="453"/>
      <c r="F35" s="947" t="str">
        <f t="shared" si="0"/>
        <v xml:space="preserve"> </v>
      </c>
      <c r="G35" s="948"/>
      <c r="H35" s="454" t="str">
        <f t="shared" si="1"/>
        <v xml:space="preserve"> </v>
      </c>
      <c r="I35" s="449"/>
      <c r="J35" s="450"/>
      <c r="K35" s="391"/>
      <c r="L35" s="399" t="str">
        <f t="shared" si="2"/>
        <v xml:space="preserve"> </v>
      </c>
      <c r="M35" s="398" t="str">
        <f t="shared" si="3"/>
        <v xml:space="preserve"> </v>
      </c>
    </row>
    <row r="36" spans="1:13" s="390" customFormat="1" ht="20.25" customHeight="1" x14ac:dyDescent="0.2">
      <c r="A36" s="433"/>
      <c r="B36" s="434"/>
      <c r="C36" s="451"/>
      <c r="D36" s="455"/>
      <c r="E36" s="456"/>
      <c r="F36" s="949" t="str">
        <f t="shared" si="0"/>
        <v xml:space="preserve"> </v>
      </c>
      <c r="G36" s="950"/>
      <c r="H36" s="457" t="str">
        <f t="shared" si="1"/>
        <v xml:space="preserve"> </v>
      </c>
      <c r="I36" s="449"/>
      <c r="J36" s="450"/>
      <c r="K36" s="391"/>
      <c r="L36" s="399" t="str">
        <f t="shared" si="2"/>
        <v xml:space="preserve"> </v>
      </c>
      <c r="M36" s="398" t="str">
        <f t="shared" si="3"/>
        <v xml:space="preserve"> </v>
      </c>
    </row>
    <row r="37" spans="1:13" s="390" customFormat="1" ht="19.5" customHeight="1" x14ac:dyDescent="0.25">
      <c r="A37" s="436" t="s">
        <v>607</v>
      </c>
      <c r="B37" s="396">
        <f>SUM(B10:B36)</f>
        <v>0</v>
      </c>
      <c r="C37" s="397">
        <f>SUM(C10:C36)</f>
        <v>0</v>
      </c>
      <c r="D37" s="397">
        <f>SUM(D10:D36)</f>
        <v>0</v>
      </c>
      <c r="E37" s="396">
        <f>SUM(E10:E36)</f>
        <v>0</v>
      </c>
      <c r="F37" s="458">
        <f>SUM(F10:F36)</f>
        <v>0</v>
      </c>
      <c r="G37" s="395"/>
      <c r="H37" s="459">
        <f>SUM(H10:H36)</f>
        <v>0</v>
      </c>
      <c r="I37" s="393"/>
      <c r="K37" s="394"/>
      <c r="L37" s="391"/>
      <c r="M37" s="391"/>
    </row>
    <row r="38" spans="1:13" s="390" customFormat="1" ht="9" customHeight="1" x14ac:dyDescent="0.2">
      <c r="K38" s="391"/>
      <c r="L38" s="391"/>
      <c r="M38" s="391"/>
    </row>
    <row r="39" spans="1:13" s="390" customFormat="1" x14ac:dyDescent="0.25">
      <c r="A39" s="444">
        <f>SUBTOTAL(103,A10:A36)</f>
        <v>1</v>
      </c>
      <c r="D39" s="463" t="s">
        <v>622</v>
      </c>
      <c r="E39" s="443"/>
      <c r="F39" s="464"/>
      <c r="G39" s="464"/>
      <c r="H39" s="465"/>
      <c r="I39" s="443"/>
      <c r="J39" s="392"/>
      <c r="K39" s="391"/>
      <c r="L39" s="391"/>
      <c r="M39" s="391"/>
    </row>
    <row r="40" spans="1:13" s="390" customFormat="1" ht="12.75" x14ac:dyDescent="0.2">
      <c r="D40" s="466"/>
      <c r="E40" s="467" t="str">
        <f>IF(E39&lt;&gt;" ","Name  DirektorIn"," ")</f>
        <v>Name  DirektorIn</v>
      </c>
      <c r="F40" s="468"/>
      <c r="G40" s="468"/>
      <c r="H40" s="468"/>
      <c r="I40" s="469" t="s">
        <v>617</v>
      </c>
      <c r="J40" s="442"/>
      <c r="K40" s="391"/>
      <c r="L40" s="391"/>
      <c r="M40" s="391"/>
    </row>
    <row r="41" spans="1:13" x14ac:dyDescent="0.25"/>
    <row r="42" spans="1:13" x14ac:dyDescent="0.25"/>
    <row r="43" spans="1:13" x14ac:dyDescent="0.25"/>
    <row r="44" spans="1:13" x14ac:dyDescent="0.25"/>
  </sheetData>
  <sheetProtection algorithmName="SHA-512" hashValue="Aj5iZZEucd0E3m2iZq1LgciEDKTPRlV7u2gwD5G9VQWCT9cJZDtpmFPaodOyprfU0v+/lBNuFcEslsn/M5W55g==" saltValue="erRG0Uk/saXJgvaOvoZmmg==" spinCount="100000" sheet="1" formatRows="0"/>
  <mergeCells count="30">
    <mergeCell ref="K7:K8"/>
    <mergeCell ref="K11:K13"/>
    <mergeCell ref="F31:G31"/>
    <mergeCell ref="F10:G10"/>
    <mergeCell ref="F11:G11"/>
    <mergeCell ref="F12:G12"/>
    <mergeCell ref="F13:G13"/>
    <mergeCell ref="F14:G14"/>
    <mergeCell ref="F15:G15"/>
    <mergeCell ref="F26:G26"/>
    <mergeCell ref="F34:G34"/>
    <mergeCell ref="F36:G36"/>
    <mergeCell ref="F35:G35"/>
    <mergeCell ref="F17:G17"/>
    <mergeCell ref="F18:G18"/>
    <mergeCell ref="F19:G19"/>
    <mergeCell ref="F20:G20"/>
    <mergeCell ref="F21:G21"/>
    <mergeCell ref="F27:G27"/>
    <mergeCell ref="A1:E2"/>
    <mergeCell ref="F32:G32"/>
    <mergeCell ref="F33:G33"/>
    <mergeCell ref="F22:G22"/>
    <mergeCell ref="F23:G23"/>
    <mergeCell ref="F24:G24"/>
    <mergeCell ref="F25:G25"/>
    <mergeCell ref="F28:G28"/>
    <mergeCell ref="F29:G29"/>
    <mergeCell ref="F30:G30"/>
    <mergeCell ref="F16:G16"/>
  </mergeCells>
  <conditionalFormatting sqref="H36 H10:H29">
    <cfRule type="cellIs" dxfId="13" priority="9" stopIfTrue="1" operator="notEqual">
      <formula>$M10</formula>
    </cfRule>
  </conditionalFormatting>
  <conditionalFormatting sqref="C10:C29 C36">
    <cfRule type="cellIs" dxfId="12" priority="10" stopIfTrue="1" operator="greaterThan">
      <formula>$B10</formula>
    </cfRule>
  </conditionalFormatting>
  <conditionalFormatting sqref="C30:C34">
    <cfRule type="cellIs" dxfId="11" priority="8" stopIfTrue="1" operator="greaterThan">
      <formula>$B30</formula>
    </cfRule>
  </conditionalFormatting>
  <conditionalFormatting sqref="H30:H34">
    <cfRule type="cellIs" dxfId="10" priority="7" stopIfTrue="1" operator="notEqual">
      <formula>$M30</formula>
    </cfRule>
  </conditionalFormatting>
  <conditionalFormatting sqref="C35">
    <cfRule type="cellIs" dxfId="9" priority="6" stopIfTrue="1" operator="greaterThan">
      <formula>$B35</formula>
    </cfRule>
  </conditionalFormatting>
  <conditionalFormatting sqref="H35">
    <cfRule type="cellIs" dxfId="8" priority="5" stopIfTrue="1" operator="notEqual">
      <formula>$M35</formula>
    </cfRule>
  </conditionalFormatting>
  <conditionalFormatting sqref="K10">
    <cfRule type="cellIs" dxfId="7" priority="4" stopIfTrue="1" operator="notEqual">
      <formula>" "</formula>
    </cfRule>
  </conditionalFormatting>
  <conditionalFormatting sqref="K11">
    <cfRule type="cellIs" dxfId="6" priority="3" stopIfTrue="1" operator="notEqual">
      <formula>" "</formula>
    </cfRule>
  </conditionalFormatting>
  <conditionalFormatting sqref="K7">
    <cfRule type="cellIs" dxfId="5" priority="2" stopIfTrue="1" operator="notEqual">
      <formula>" "</formula>
    </cfRule>
  </conditionalFormatting>
  <conditionalFormatting sqref="M1">
    <cfRule type="cellIs" dxfId="4" priority="1" stopIfTrue="1" operator="notEqual">
      <formula>0</formula>
    </cfRule>
  </conditionalFormatting>
  <dataValidations count="7">
    <dataValidation type="whole" allowBlank="1" showInputMessage="1" showErrorMessage="1" prompt="hier Schätzwert eingeben, obwohl die tatsächli. Abmeldung ausschließlich in der ersten Schulwoche erfolgen kann!"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formula1>0</formula1>
      <formula2>36</formula2>
    </dataValidation>
    <dataValidation type="whole" allowBlank="1" showInputMessage="1" showErrorMessage="1" prompt="Andere gesetzlich anerkannte Bekenntnisse dürfen nicht teilnehmen und hier keinesfalls gezählt werden!" sqref="E10:E11 JA10:JA11 SW10:SW11 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E65546:E65547 JA65546:JA65547 SW65546:SW65547 ACS65546:ACS65547 AMO65546:AMO65547 AWK65546:AWK65547 BGG65546:BGG65547 BQC65546:BQC65547 BZY65546:BZY65547 CJU65546:CJU65547 CTQ65546:CTQ65547 DDM65546:DDM65547 DNI65546:DNI65547 DXE65546:DXE65547 EHA65546:EHA65547 EQW65546:EQW65547 FAS65546:FAS65547 FKO65546:FKO65547 FUK65546:FUK65547 GEG65546:GEG65547 GOC65546:GOC65547 GXY65546:GXY65547 HHU65546:HHU65547 HRQ65546:HRQ65547 IBM65546:IBM65547 ILI65546:ILI65547 IVE65546:IVE65547 JFA65546:JFA65547 JOW65546:JOW65547 JYS65546:JYS65547 KIO65546:KIO65547 KSK65546:KSK65547 LCG65546:LCG65547 LMC65546:LMC65547 LVY65546:LVY65547 MFU65546:MFU65547 MPQ65546:MPQ65547 MZM65546:MZM65547 NJI65546:NJI65547 NTE65546:NTE65547 ODA65546:ODA65547 OMW65546:OMW65547 OWS65546:OWS65547 PGO65546:PGO65547 PQK65546:PQK65547 QAG65546:QAG65547 QKC65546:QKC65547 QTY65546:QTY65547 RDU65546:RDU65547 RNQ65546:RNQ65547 RXM65546:RXM65547 SHI65546:SHI65547 SRE65546:SRE65547 TBA65546:TBA65547 TKW65546:TKW65547 TUS65546:TUS65547 UEO65546:UEO65547 UOK65546:UOK65547 UYG65546:UYG65547 VIC65546:VIC65547 VRY65546:VRY65547 WBU65546:WBU65547 WLQ65546:WLQ65547 WVM65546:WVM65547 E131082:E131083 JA131082:JA131083 SW131082:SW131083 ACS131082:ACS131083 AMO131082:AMO131083 AWK131082:AWK131083 BGG131082:BGG131083 BQC131082:BQC131083 BZY131082:BZY131083 CJU131082:CJU131083 CTQ131082:CTQ131083 DDM131082:DDM131083 DNI131082:DNI131083 DXE131082:DXE131083 EHA131082:EHA131083 EQW131082:EQW131083 FAS131082:FAS131083 FKO131082:FKO131083 FUK131082:FUK131083 GEG131082:GEG131083 GOC131082:GOC131083 GXY131082:GXY131083 HHU131082:HHU131083 HRQ131082:HRQ131083 IBM131082:IBM131083 ILI131082:ILI131083 IVE131082:IVE131083 JFA131082:JFA131083 JOW131082:JOW131083 JYS131082:JYS131083 KIO131082:KIO131083 KSK131082:KSK131083 LCG131082:LCG131083 LMC131082:LMC131083 LVY131082:LVY131083 MFU131082:MFU131083 MPQ131082:MPQ131083 MZM131082:MZM131083 NJI131082:NJI131083 NTE131082:NTE131083 ODA131082:ODA131083 OMW131082:OMW131083 OWS131082:OWS131083 PGO131082:PGO131083 PQK131082:PQK131083 QAG131082:QAG131083 QKC131082:QKC131083 QTY131082:QTY131083 RDU131082:RDU131083 RNQ131082:RNQ131083 RXM131082:RXM131083 SHI131082:SHI131083 SRE131082:SRE131083 TBA131082:TBA131083 TKW131082:TKW131083 TUS131082:TUS131083 UEO131082:UEO131083 UOK131082:UOK131083 UYG131082:UYG131083 VIC131082:VIC131083 VRY131082:VRY131083 WBU131082:WBU131083 WLQ131082:WLQ131083 WVM131082:WVM131083 E196618:E196619 JA196618:JA196619 SW196618:SW196619 ACS196618:ACS196619 AMO196618:AMO196619 AWK196618:AWK196619 BGG196618:BGG196619 BQC196618:BQC196619 BZY196618:BZY196619 CJU196618:CJU196619 CTQ196618:CTQ196619 DDM196618:DDM196619 DNI196618:DNI196619 DXE196618:DXE196619 EHA196618:EHA196619 EQW196618:EQW196619 FAS196618:FAS196619 FKO196618:FKO196619 FUK196618:FUK196619 GEG196618:GEG196619 GOC196618:GOC196619 GXY196618:GXY196619 HHU196618:HHU196619 HRQ196618:HRQ196619 IBM196618:IBM196619 ILI196618:ILI196619 IVE196618:IVE196619 JFA196618:JFA196619 JOW196618:JOW196619 JYS196618:JYS196619 KIO196618:KIO196619 KSK196618:KSK196619 LCG196618:LCG196619 LMC196618:LMC196619 LVY196618:LVY196619 MFU196618:MFU196619 MPQ196618:MPQ196619 MZM196618:MZM196619 NJI196618:NJI196619 NTE196618:NTE196619 ODA196618:ODA196619 OMW196618:OMW196619 OWS196618:OWS196619 PGO196618:PGO196619 PQK196618:PQK196619 QAG196618:QAG196619 QKC196618:QKC196619 QTY196618:QTY196619 RDU196618:RDU196619 RNQ196618:RNQ196619 RXM196618:RXM196619 SHI196618:SHI196619 SRE196618:SRE196619 TBA196618:TBA196619 TKW196618:TKW196619 TUS196618:TUS196619 UEO196618:UEO196619 UOK196618:UOK196619 UYG196618:UYG196619 VIC196618:VIC196619 VRY196618:VRY196619 WBU196618:WBU196619 WLQ196618:WLQ196619 WVM196618:WVM196619 E262154:E262155 JA262154:JA262155 SW262154:SW262155 ACS262154:ACS262155 AMO262154:AMO262155 AWK262154:AWK262155 BGG262154:BGG262155 BQC262154:BQC262155 BZY262154:BZY262155 CJU262154:CJU262155 CTQ262154:CTQ262155 DDM262154:DDM262155 DNI262154:DNI262155 DXE262154:DXE262155 EHA262154:EHA262155 EQW262154:EQW262155 FAS262154:FAS262155 FKO262154:FKO262155 FUK262154:FUK262155 GEG262154:GEG262155 GOC262154:GOC262155 GXY262154:GXY262155 HHU262154:HHU262155 HRQ262154:HRQ262155 IBM262154:IBM262155 ILI262154:ILI262155 IVE262154:IVE262155 JFA262154:JFA262155 JOW262154:JOW262155 JYS262154:JYS262155 KIO262154:KIO262155 KSK262154:KSK262155 LCG262154:LCG262155 LMC262154:LMC262155 LVY262154:LVY262155 MFU262154:MFU262155 MPQ262154:MPQ262155 MZM262154:MZM262155 NJI262154:NJI262155 NTE262154:NTE262155 ODA262154:ODA262155 OMW262154:OMW262155 OWS262154:OWS262155 PGO262154:PGO262155 PQK262154:PQK262155 QAG262154:QAG262155 QKC262154:QKC262155 QTY262154:QTY262155 RDU262154:RDU262155 RNQ262154:RNQ262155 RXM262154:RXM262155 SHI262154:SHI262155 SRE262154:SRE262155 TBA262154:TBA262155 TKW262154:TKW262155 TUS262154:TUS262155 UEO262154:UEO262155 UOK262154:UOK262155 UYG262154:UYG262155 VIC262154:VIC262155 VRY262154:VRY262155 WBU262154:WBU262155 WLQ262154:WLQ262155 WVM262154:WVM262155 E327690:E327691 JA327690:JA327691 SW327690:SW327691 ACS327690:ACS327691 AMO327690:AMO327691 AWK327690:AWK327691 BGG327690:BGG327691 BQC327690:BQC327691 BZY327690:BZY327691 CJU327690:CJU327691 CTQ327690:CTQ327691 DDM327690:DDM327691 DNI327690:DNI327691 DXE327690:DXE327691 EHA327690:EHA327691 EQW327690:EQW327691 FAS327690:FAS327691 FKO327690:FKO327691 FUK327690:FUK327691 GEG327690:GEG327691 GOC327690:GOC327691 GXY327690:GXY327691 HHU327690:HHU327691 HRQ327690:HRQ327691 IBM327690:IBM327691 ILI327690:ILI327691 IVE327690:IVE327691 JFA327690:JFA327691 JOW327690:JOW327691 JYS327690:JYS327691 KIO327690:KIO327691 KSK327690:KSK327691 LCG327690:LCG327691 LMC327690:LMC327691 LVY327690:LVY327691 MFU327690:MFU327691 MPQ327690:MPQ327691 MZM327690:MZM327691 NJI327690:NJI327691 NTE327690:NTE327691 ODA327690:ODA327691 OMW327690:OMW327691 OWS327690:OWS327691 PGO327690:PGO327691 PQK327690:PQK327691 QAG327690:QAG327691 QKC327690:QKC327691 QTY327690:QTY327691 RDU327690:RDU327691 RNQ327690:RNQ327691 RXM327690:RXM327691 SHI327690:SHI327691 SRE327690:SRE327691 TBA327690:TBA327691 TKW327690:TKW327691 TUS327690:TUS327691 UEO327690:UEO327691 UOK327690:UOK327691 UYG327690:UYG327691 VIC327690:VIC327691 VRY327690:VRY327691 WBU327690:WBU327691 WLQ327690:WLQ327691 WVM327690:WVM327691 E393226:E393227 JA393226:JA393227 SW393226:SW393227 ACS393226:ACS393227 AMO393226:AMO393227 AWK393226:AWK393227 BGG393226:BGG393227 BQC393226:BQC393227 BZY393226:BZY393227 CJU393226:CJU393227 CTQ393226:CTQ393227 DDM393226:DDM393227 DNI393226:DNI393227 DXE393226:DXE393227 EHA393226:EHA393227 EQW393226:EQW393227 FAS393226:FAS393227 FKO393226:FKO393227 FUK393226:FUK393227 GEG393226:GEG393227 GOC393226:GOC393227 GXY393226:GXY393227 HHU393226:HHU393227 HRQ393226:HRQ393227 IBM393226:IBM393227 ILI393226:ILI393227 IVE393226:IVE393227 JFA393226:JFA393227 JOW393226:JOW393227 JYS393226:JYS393227 KIO393226:KIO393227 KSK393226:KSK393227 LCG393226:LCG393227 LMC393226:LMC393227 LVY393226:LVY393227 MFU393226:MFU393227 MPQ393226:MPQ393227 MZM393226:MZM393227 NJI393226:NJI393227 NTE393226:NTE393227 ODA393226:ODA393227 OMW393226:OMW393227 OWS393226:OWS393227 PGO393226:PGO393227 PQK393226:PQK393227 QAG393226:QAG393227 QKC393226:QKC393227 QTY393226:QTY393227 RDU393226:RDU393227 RNQ393226:RNQ393227 RXM393226:RXM393227 SHI393226:SHI393227 SRE393226:SRE393227 TBA393226:TBA393227 TKW393226:TKW393227 TUS393226:TUS393227 UEO393226:UEO393227 UOK393226:UOK393227 UYG393226:UYG393227 VIC393226:VIC393227 VRY393226:VRY393227 WBU393226:WBU393227 WLQ393226:WLQ393227 WVM393226:WVM393227 E458762:E458763 JA458762:JA458763 SW458762:SW458763 ACS458762:ACS458763 AMO458762:AMO458763 AWK458762:AWK458763 BGG458762:BGG458763 BQC458762:BQC458763 BZY458762:BZY458763 CJU458762:CJU458763 CTQ458762:CTQ458763 DDM458762:DDM458763 DNI458762:DNI458763 DXE458762:DXE458763 EHA458762:EHA458763 EQW458762:EQW458763 FAS458762:FAS458763 FKO458762:FKO458763 FUK458762:FUK458763 GEG458762:GEG458763 GOC458762:GOC458763 GXY458762:GXY458763 HHU458762:HHU458763 HRQ458762:HRQ458763 IBM458762:IBM458763 ILI458762:ILI458763 IVE458762:IVE458763 JFA458762:JFA458763 JOW458762:JOW458763 JYS458762:JYS458763 KIO458762:KIO458763 KSK458762:KSK458763 LCG458762:LCG458763 LMC458762:LMC458763 LVY458762:LVY458763 MFU458762:MFU458763 MPQ458762:MPQ458763 MZM458762:MZM458763 NJI458762:NJI458763 NTE458762:NTE458763 ODA458762:ODA458763 OMW458762:OMW458763 OWS458762:OWS458763 PGO458762:PGO458763 PQK458762:PQK458763 QAG458762:QAG458763 QKC458762:QKC458763 QTY458762:QTY458763 RDU458762:RDU458763 RNQ458762:RNQ458763 RXM458762:RXM458763 SHI458762:SHI458763 SRE458762:SRE458763 TBA458762:TBA458763 TKW458762:TKW458763 TUS458762:TUS458763 UEO458762:UEO458763 UOK458762:UOK458763 UYG458762:UYG458763 VIC458762:VIC458763 VRY458762:VRY458763 WBU458762:WBU458763 WLQ458762:WLQ458763 WVM458762:WVM458763 E524298:E524299 JA524298:JA524299 SW524298:SW524299 ACS524298:ACS524299 AMO524298:AMO524299 AWK524298:AWK524299 BGG524298:BGG524299 BQC524298:BQC524299 BZY524298:BZY524299 CJU524298:CJU524299 CTQ524298:CTQ524299 DDM524298:DDM524299 DNI524298:DNI524299 DXE524298:DXE524299 EHA524298:EHA524299 EQW524298:EQW524299 FAS524298:FAS524299 FKO524298:FKO524299 FUK524298:FUK524299 GEG524298:GEG524299 GOC524298:GOC524299 GXY524298:GXY524299 HHU524298:HHU524299 HRQ524298:HRQ524299 IBM524298:IBM524299 ILI524298:ILI524299 IVE524298:IVE524299 JFA524298:JFA524299 JOW524298:JOW524299 JYS524298:JYS524299 KIO524298:KIO524299 KSK524298:KSK524299 LCG524298:LCG524299 LMC524298:LMC524299 LVY524298:LVY524299 MFU524298:MFU524299 MPQ524298:MPQ524299 MZM524298:MZM524299 NJI524298:NJI524299 NTE524298:NTE524299 ODA524298:ODA524299 OMW524298:OMW524299 OWS524298:OWS524299 PGO524298:PGO524299 PQK524298:PQK524299 QAG524298:QAG524299 QKC524298:QKC524299 QTY524298:QTY524299 RDU524298:RDU524299 RNQ524298:RNQ524299 RXM524298:RXM524299 SHI524298:SHI524299 SRE524298:SRE524299 TBA524298:TBA524299 TKW524298:TKW524299 TUS524298:TUS524299 UEO524298:UEO524299 UOK524298:UOK524299 UYG524298:UYG524299 VIC524298:VIC524299 VRY524298:VRY524299 WBU524298:WBU524299 WLQ524298:WLQ524299 WVM524298:WVM524299 E589834:E589835 JA589834:JA589835 SW589834:SW589835 ACS589834:ACS589835 AMO589834:AMO589835 AWK589834:AWK589835 BGG589834:BGG589835 BQC589834:BQC589835 BZY589834:BZY589835 CJU589834:CJU589835 CTQ589834:CTQ589835 DDM589834:DDM589835 DNI589834:DNI589835 DXE589834:DXE589835 EHA589834:EHA589835 EQW589834:EQW589835 FAS589834:FAS589835 FKO589834:FKO589835 FUK589834:FUK589835 GEG589834:GEG589835 GOC589834:GOC589835 GXY589834:GXY589835 HHU589834:HHU589835 HRQ589834:HRQ589835 IBM589834:IBM589835 ILI589834:ILI589835 IVE589834:IVE589835 JFA589834:JFA589835 JOW589834:JOW589835 JYS589834:JYS589835 KIO589834:KIO589835 KSK589834:KSK589835 LCG589834:LCG589835 LMC589834:LMC589835 LVY589834:LVY589835 MFU589834:MFU589835 MPQ589834:MPQ589835 MZM589834:MZM589835 NJI589834:NJI589835 NTE589834:NTE589835 ODA589834:ODA589835 OMW589834:OMW589835 OWS589834:OWS589835 PGO589834:PGO589835 PQK589834:PQK589835 QAG589834:QAG589835 QKC589834:QKC589835 QTY589834:QTY589835 RDU589834:RDU589835 RNQ589834:RNQ589835 RXM589834:RXM589835 SHI589834:SHI589835 SRE589834:SRE589835 TBA589834:TBA589835 TKW589834:TKW589835 TUS589834:TUS589835 UEO589834:UEO589835 UOK589834:UOK589835 UYG589834:UYG589835 VIC589834:VIC589835 VRY589834:VRY589835 WBU589834:WBU589835 WLQ589834:WLQ589835 WVM589834:WVM589835 E655370:E655371 JA655370:JA655371 SW655370:SW655371 ACS655370:ACS655371 AMO655370:AMO655371 AWK655370:AWK655371 BGG655370:BGG655371 BQC655370:BQC655371 BZY655370:BZY655371 CJU655370:CJU655371 CTQ655370:CTQ655371 DDM655370:DDM655371 DNI655370:DNI655371 DXE655370:DXE655371 EHA655370:EHA655371 EQW655370:EQW655371 FAS655370:FAS655371 FKO655370:FKO655371 FUK655370:FUK655371 GEG655370:GEG655371 GOC655370:GOC655371 GXY655370:GXY655371 HHU655370:HHU655371 HRQ655370:HRQ655371 IBM655370:IBM655371 ILI655370:ILI655371 IVE655370:IVE655371 JFA655370:JFA655371 JOW655370:JOW655371 JYS655370:JYS655371 KIO655370:KIO655371 KSK655370:KSK655371 LCG655370:LCG655371 LMC655370:LMC655371 LVY655370:LVY655371 MFU655370:MFU655371 MPQ655370:MPQ655371 MZM655370:MZM655371 NJI655370:NJI655371 NTE655370:NTE655371 ODA655370:ODA655371 OMW655370:OMW655371 OWS655370:OWS655371 PGO655370:PGO655371 PQK655370:PQK655371 QAG655370:QAG655371 QKC655370:QKC655371 QTY655370:QTY655371 RDU655370:RDU655371 RNQ655370:RNQ655371 RXM655370:RXM655371 SHI655370:SHI655371 SRE655370:SRE655371 TBA655370:TBA655371 TKW655370:TKW655371 TUS655370:TUS655371 UEO655370:UEO655371 UOK655370:UOK655371 UYG655370:UYG655371 VIC655370:VIC655371 VRY655370:VRY655371 WBU655370:WBU655371 WLQ655370:WLQ655371 WVM655370:WVM655371 E720906:E720907 JA720906:JA720907 SW720906:SW720907 ACS720906:ACS720907 AMO720906:AMO720907 AWK720906:AWK720907 BGG720906:BGG720907 BQC720906:BQC720907 BZY720906:BZY720907 CJU720906:CJU720907 CTQ720906:CTQ720907 DDM720906:DDM720907 DNI720906:DNI720907 DXE720906:DXE720907 EHA720906:EHA720907 EQW720906:EQW720907 FAS720906:FAS720907 FKO720906:FKO720907 FUK720906:FUK720907 GEG720906:GEG720907 GOC720906:GOC720907 GXY720906:GXY720907 HHU720906:HHU720907 HRQ720906:HRQ720907 IBM720906:IBM720907 ILI720906:ILI720907 IVE720906:IVE720907 JFA720906:JFA720907 JOW720906:JOW720907 JYS720906:JYS720907 KIO720906:KIO720907 KSK720906:KSK720907 LCG720906:LCG720907 LMC720906:LMC720907 LVY720906:LVY720907 MFU720906:MFU720907 MPQ720906:MPQ720907 MZM720906:MZM720907 NJI720906:NJI720907 NTE720906:NTE720907 ODA720906:ODA720907 OMW720906:OMW720907 OWS720906:OWS720907 PGO720906:PGO720907 PQK720906:PQK720907 QAG720906:QAG720907 QKC720906:QKC720907 QTY720906:QTY720907 RDU720906:RDU720907 RNQ720906:RNQ720907 RXM720906:RXM720907 SHI720906:SHI720907 SRE720906:SRE720907 TBA720906:TBA720907 TKW720906:TKW720907 TUS720906:TUS720907 UEO720906:UEO720907 UOK720906:UOK720907 UYG720906:UYG720907 VIC720906:VIC720907 VRY720906:VRY720907 WBU720906:WBU720907 WLQ720906:WLQ720907 WVM720906:WVM720907 E786442:E786443 JA786442:JA786443 SW786442:SW786443 ACS786442:ACS786443 AMO786442:AMO786443 AWK786442:AWK786443 BGG786442:BGG786443 BQC786442:BQC786443 BZY786442:BZY786443 CJU786442:CJU786443 CTQ786442:CTQ786443 DDM786442:DDM786443 DNI786442:DNI786443 DXE786442:DXE786443 EHA786442:EHA786443 EQW786442:EQW786443 FAS786442:FAS786443 FKO786442:FKO786443 FUK786442:FUK786443 GEG786442:GEG786443 GOC786442:GOC786443 GXY786442:GXY786443 HHU786442:HHU786443 HRQ786442:HRQ786443 IBM786442:IBM786443 ILI786442:ILI786443 IVE786442:IVE786443 JFA786442:JFA786443 JOW786442:JOW786443 JYS786442:JYS786443 KIO786442:KIO786443 KSK786442:KSK786443 LCG786442:LCG786443 LMC786442:LMC786443 LVY786442:LVY786443 MFU786442:MFU786443 MPQ786442:MPQ786443 MZM786442:MZM786443 NJI786442:NJI786443 NTE786442:NTE786443 ODA786442:ODA786443 OMW786442:OMW786443 OWS786442:OWS786443 PGO786442:PGO786443 PQK786442:PQK786443 QAG786442:QAG786443 QKC786442:QKC786443 QTY786442:QTY786443 RDU786442:RDU786443 RNQ786442:RNQ786443 RXM786442:RXM786443 SHI786442:SHI786443 SRE786442:SRE786443 TBA786442:TBA786443 TKW786442:TKW786443 TUS786442:TUS786443 UEO786442:UEO786443 UOK786442:UOK786443 UYG786442:UYG786443 VIC786442:VIC786443 VRY786442:VRY786443 WBU786442:WBU786443 WLQ786442:WLQ786443 WVM786442:WVM786443 E851978:E851979 JA851978:JA851979 SW851978:SW851979 ACS851978:ACS851979 AMO851978:AMO851979 AWK851978:AWK851979 BGG851978:BGG851979 BQC851978:BQC851979 BZY851978:BZY851979 CJU851978:CJU851979 CTQ851978:CTQ851979 DDM851978:DDM851979 DNI851978:DNI851979 DXE851978:DXE851979 EHA851978:EHA851979 EQW851978:EQW851979 FAS851978:FAS851979 FKO851978:FKO851979 FUK851978:FUK851979 GEG851978:GEG851979 GOC851978:GOC851979 GXY851978:GXY851979 HHU851978:HHU851979 HRQ851978:HRQ851979 IBM851978:IBM851979 ILI851978:ILI851979 IVE851978:IVE851979 JFA851978:JFA851979 JOW851978:JOW851979 JYS851978:JYS851979 KIO851978:KIO851979 KSK851978:KSK851979 LCG851978:LCG851979 LMC851978:LMC851979 LVY851978:LVY851979 MFU851978:MFU851979 MPQ851978:MPQ851979 MZM851978:MZM851979 NJI851978:NJI851979 NTE851978:NTE851979 ODA851978:ODA851979 OMW851978:OMW851979 OWS851978:OWS851979 PGO851978:PGO851979 PQK851978:PQK851979 QAG851978:QAG851979 QKC851978:QKC851979 QTY851978:QTY851979 RDU851978:RDU851979 RNQ851978:RNQ851979 RXM851978:RXM851979 SHI851978:SHI851979 SRE851978:SRE851979 TBA851978:TBA851979 TKW851978:TKW851979 TUS851978:TUS851979 UEO851978:UEO851979 UOK851978:UOK851979 UYG851978:UYG851979 VIC851978:VIC851979 VRY851978:VRY851979 WBU851978:WBU851979 WLQ851978:WLQ851979 WVM851978:WVM851979 E917514:E917515 JA917514:JA917515 SW917514:SW917515 ACS917514:ACS917515 AMO917514:AMO917515 AWK917514:AWK917515 BGG917514:BGG917515 BQC917514:BQC917515 BZY917514:BZY917515 CJU917514:CJU917515 CTQ917514:CTQ917515 DDM917514:DDM917515 DNI917514:DNI917515 DXE917514:DXE917515 EHA917514:EHA917515 EQW917514:EQW917515 FAS917514:FAS917515 FKO917514:FKO917515 FUK917514:FUK917515 GEG917514:GEG917515 GOC917514:GOC917515 GXY917514:GXY917515 HHU917514:HHU917515 HRQ917514:HRQ917515 IBM917514:IBM917515 ILI917514:ILI917515 IVE917514:IVE917515 JFA917514:JFA917515 JOW917514:JOW917515 JYS917514:JYS917515 KIO917514:KIO917515 KSK917514:KSK917515 LCG917514:LCG917515 LMC917514:LMC917515 LVY917514:LVY917515 MFU917514:MFU917515 MPQ917514:MPQ917515 MZM917514:MZM917515 NJI917514:NJI917515 NTE917514:NTE917515 ODA917514:ODA917515 OMW917514:OMW917515 OWS917514:OWS917515 PGO917514:PGO917515 PQK917514:PQK917515 QAG917514:QAG917515 QKC917514:QKC917515 QTY917514:QTY917515 RDU917514:RDU917515 RNQ917514:RNQ917515 RXM917514:RXM917515 SHI917514:SHI917515 SRE917514:SRE917515 TBA917514:TBA917515 TKW917514:TKW917515 TUS917514:TUS917515 UEO917514:UEO917515 UOK917514:UOK917515 UYG917514:UYG917515 VIC917514:VIC917515 VRY917514:VRY917515 WBU917514:WBU917515 WLQ917514:WLQ917515 WVM917514:WVM917515 E983050:E983051 JA983050:JA983051 SW983050:SW983051 ACS983050:ACS983051 AMO983050:AMO983051 AWK983050:AWK983051 BGG983050:BGG983051 BQC983050:BQC983051 BZY983050:BZY983051 CJU983050:CJU983051 CTQ983050:CTQ983051 DDM983050:DDM983051 DNI983050:DNI983051 DXE983050:DXE983051 EHA983050:EHA983051 EQW983050:EQW983051 FAS983050:FAS983051 FKO983050:FKO983051 FUK983050:FUK983051 GEG983050:GEG983051 GOC983050:GOC983051 GXY983050:GXY983051 HHU983050:HHU983051 HRQ983050:HRQ983051 IBM983050:IBM983051 ILI983050:ILI983051 IVE983050:IVE983051 JFA983050:JFA983051 JOW983050:JOW983051 JYS983050:JYS983051 KIO983050:KIO983051 KSK983050:KSK983051 LCG983050:LCG983051 LMC983050:LMC983051 LVY983050:LVY983051 MFU983050:MFU983051 MPQ983050:MPQ983051 MZM983050:MZM983051 NJI983050:NJI983051 NTE983050:NTE983051 ODA983050:ODA983051 OMW983050:OMW983051 OWS983050:OWS983051 PGO983050:PGO983051 PQK983050:PQK983051 QAG983050:QAG983051 QKC983050:QKC983051 QTY983050:QTY983051 RDU983050:RDU983051 RNQ983050:RNQ983051 RXM983050:RXM983051 SHI983050:SHI983051 SRE983050:SRE983051 TBA983050:TBA983051 TKW983050:TKW983051 TUS983050:TUS983051 UEO983050:UEO983051 UOK983050:UOK983051 UYG983050:UYG983051 VIC983050:VIC983051 VRY983050:VRY983051 WBU983050:WBU983051 WLQ983050:WLQ983051 WVM983050:WVM983051">
      <formula1>0</formula1>
      <formula2>36</formula2>
    </dataValidation>
    <dataValidation allowBlank="1" showInputMessage="1" prompt="Bei mindestens 3 Schulstufen im Rel.Unterricht darf in 2+2=4 geteilt werden an niederorganisierten VS ab 19 bzw. an Einklassigen ab 16 Teilnehmenden"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dataValidation type="whole" allowBlank="1" showInputMessage="1" showErrorMessage="1" error="dies ist kein gültiger Eingabewert!" prompt="!! Hier nur eingeben,  wenn_x000a_Sondergenehmigung erteilt !!"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6 JI65536 TE65536 ADA65536 AMW65536 AWS65536 BGO65536 BQK65536 CAG65536 CKC65536 CTY65536 DDU65536 DNQ65536 DXM65536 EHI65536 ERE65536 FBA65536 FKW65536 FUS65536 GEO65536 GOK65536 GYG65536 HIC65536 HRY65536 IBU65536 ILQ65536 IVM65536 JFI65536 JPE65536 JZA65536 KIW65536 KSS65536 LCO65536 LMK65536 LWG65536 MGC65536 MPY65536 MZU65536 NJQ65536 NTM65536 ODI65536 ONE65536 OXA65536 PGW65536 PQS65536 QAO65536 QKK65536 QUG65536 REC65536 RNY65536 RXU65536 SHQ65536 SRM65536 TBI65536 TLE65536 TVA65536 UEW65536 UOS65536 UYO65536 VIK65536 VSG65536 WCC65536 WLY65536 WVU65536 M131072 JI131072 TE131072 ADA131072 AMW131072 AWS131072 BGO131072 BQK131072 CAG131072 CKC131072 CTY131072 DDU131072 DNQ131072 DXM131072 EHI131072 ERE131072 FBA131072 FKW131072 FUS131072 GEO131072 GOK131072 GYG131072 HIC131072 HRY131072 IBU131072 ILQ131072 IVM131072 JFI131072 JPE131072 JZA131072 KIW131072 KSS131072 LCO131072 LMK131072 LWG131072 MGC131072 MPY131072 MZU131072 NJQ131072 NTM131072 ODI131072 ONE131072 OXA131072 PGW131072 PQS131072 QAO131072 QKK131072 QUG131072 REC131072 RNY131072 RXU131072 SHQ131072 SRM131072 TBI131072 TLE131072 TVA131072 UEW131072 UOS131072 UYO131072 VIK131072 VSG131072 WCC131072 WLY131072 WVU131072 M196608 JI196608 TE196608 ADA196608 AMW196608 AWS196608 BGO196608 BQK196608 CAG196608 CKC196608 CTY196608 DDU196608 DNQ196608 DXM196608 EHI196608 ERE196608 FBA196608 FKW196608 FUS196608 GEO196608 GOK196608 GYG196608 HIC196608 HRY196608 IBU196608 ILQ196608 IVM196608 JFI196608 JPE196608 JZA196608 KIW196608 KSS196608 LCO196608 LMK196608 LWG196608 MGC196608 MPY196608 MZU196608 NJQ196608 NTM196608 ODI196608 ONE196608 OXA196608 PGW196608 PQS196608 QAO196608 QKK196608 QUG196608 REC196608 RNY196608 RXU196608 SHQ196608 SRM196608 TBI196608 TLE196608 TVA196608 UEW196608 UOS196608 UYO196608 VIK196608 VSG196608 WCC196608 WLY196608 WVU196608 M262144 JI262144 TE262144 ADA262144 AMW262144 AWS262144 BGO262144 BQK262144 CAG262144 CKC262144 CTY262144 DDU262144 DNQ262144 DXM262144 EHI262144 ERE262144 FBA262144 FKW262144 FUS262144 GEO262144 GOK262144 GYG262144 HIC262144 HRY262144 IBU262144 ILQ262144 IVM262144 JFI262144 JPE262144 JZA262144 KIW262144 KSS262144 LCO262144 LMK262144 LWG262144 MGC262144 MPY262144 MZU262144 NJQ262144 NTM262144 ODI262144 ONE262144 OXA262144 PGW262144 PQS262144 QAO262144 QKK262144 QUG262144 REC262144 RNY262144 RXU262144 SHQ262144 SRM262144 TBI262144 TLE262144 TVA262144 UEW262144 UOS262144 UYO262144 VIK262144 VSG262144 WCC262144 WLY262144 WVU262144 M327680 JI327680 TE327680 ADA327680 AMW327680 AWS327680 BGO327680 BQK327680 CAG327680 CKC327680 CTY327680 DDU327680 DNQ327680 DXM327680 EHI327680 ERE327680 FBA327680 FKW327680 FUS327680 GEO327680 GOK327680 GYG327680 HIC327680 HRY327680 IBU327680 ILQ327680 IVM327680 JFI327680 JPE327680 JZA327680 KIW327680 KSS327680 LCO327680 LMK327680 LWG327680 MGC327680 MPY327680 MZU327680 NJQ327680 NTM327680 ODI327680 ONE327680 OXA327680 PGW327680 PQS327680 QAO327680 QKK327680 QUG327680 REC327680 RNY327680 RXU327680 SHQ327680 SRM327680 TBI327680 TLE327680 TVA327680 UEW327680 UOS327680 UYO327680 VIK327680 VSG327680 WCC327680 WLY327680 WVU327680 M393216 JI393216 TE393216 ADA393216 AMW393216 AWS393216 BGO393216 BQK393216 CAG393216 CKC393216 CTY393216 DDU393216 DNQ393216 DXM393216 EHI393216 ERE393216 FBA393216 FKW393216 FUS393216 GEO393216 GOK393216 GYG393216 HIC393216 HRY393216 IBU393216 ILQ393216 IVM393216 JFI393216 JPE393216 JZA393216 KIW393216 KSS393216 LCO393216 LMK393216 LWG393216 MGC393216 MPY393216 MZU393216 NJQ393216 NTM393216 ODI393216 ONE393216 OXA393216 PGW393216 PQS393216 QAO393216 QKK393216 QUG393216 REC393216 RNY393216 RXU393216 SHQ393216 SRM393216 TBI393216 TLE393216 TVA393216 UEW393216 UOS393216 UYO393216 VIK393216 VSG393216 WCC393216 WLY393216 WVU393216 M458752 JI458752 TE458752 ADA458752 AMW458752 AWS458752 BGO458752 BQK458752 CAG458752 CKC458752 CTY458752 DDU458752 DNQ458752 DXM458752 EHI458752 ERE458752 FBA458752 FKW458752 FUS458752 GEO458752 GOK458752 GYG458752 HIC458752 HRY458752 IBU458752 ILQ458752 IVM458752 JFI458752 JPE458752 JZA458752 KIW458752 KSS458752 LCO458752 LMK458752 LWG458752 MGC458752 MPY458752 MZU458752 NJQ458752 NTM458752 ODI458752 ONE458752 OXA458752 PGW458752 PQS458752 QAO458752 QKK458752 QUG458752 REC458752 RNY458752 RXU458752 SHQ458752 SRM458752 TBI458752 TLE458752 TVA458752 UEW458752 UOS458752 UYO458752 VIK458752 VSG458752 WCC458752 WLY458752 WVU458752 M524288 JI524288 TE524288 ADA524288 AMW524288 AWS524288 BGO524288 BQK524288 CAG524288 CKC524288 CTY524288 DDU524288 DNQ524288 DXM524288 EHI524288 ERE524288 FBA524288 FKW524288 FUS524288 GEO524288 GOK524288 GYG524288 HIC524288 HRY524288 IBU524288 ILQ524288 IVM524288 JFI524288 JPE524288 JZA524288 KIW524288 KSS524288 LCO524288 LMK524288 LWG524288 MGC524288 MPY524288 MZU524288 NJQ524288 NTM524288 ODI524288 ONE524288 OXA524288 PGW524288 PQS524288 QAO524288 QKK524288 QUG524288 REC524288 RNY524288 RXU524288 SHQ524288 SRM524288 TBI524288 TLE524288 TVA524288 UEW524288 UOS524288 UYO524288 VIK524288 VSG524288 WCC524288 WLY524288 WVU524288 M589824 JI589824 TE589824 ADA589824 AMW589824 AWS589824 BGO589824 BQK589824 CAG589824 CKC589824 CTY589824 DDU589824 DNQ589824 DXM589824 EHI589824 ERE589824 FBA589824 FKW589824 FUS589824 GEO589824 GOK589824 GYG589824 HIC589824 HRY589824 IBU589824 ILQ589824 IVM589824 JFI589824 JPE589824 JZA589824 KIW589824 KSS589824 LCO589824 LMK589824 LWG589824 MGC589824 MPY589824 MZU589824 NJQ589824 NTM589824 ODI589824 ONE589824 OXA589824 PGW589824 PQS589824 QAO589824 QKK589824 QUG589824 REC589824 RNY589824 RXU589824 SHQ589824 SRM589824 TBI589824 TLE589824 TVA589824 UEW589824 UOS589824 UYO589824 VIK589824 VSG589824 WCC589824 WLY589824 WVU589824 M655360 JI655360 TE655360 ADA655360 AMW655360 AWS655360 BGO655360 BQK655360 CAG655360 CKC655360 CTY655360 DDU655360 DNQ655360 DXM655360 EHI655360 ERE655360 FBA655360 FKW655360 FUS655360 GEO655360 GOK655360 GYG655360 HIC655360 HRY655360 IBU655360 ILQ655360 IVM655360 JFI655360 JPE655360 JZA655360 KIW655360 KSS655360 LCO655360 LMK655360 LWG655360 MGC655360 MPY655360 MZU655360 NJQ655360 NTM655360 ODI655360 ONE655360 OXA655360 PGW655360 PQS655360 QAO655360 QKK655360 QUG655360 REC655360 RNY655360 RXU655360 SHQ655360 SRM655360 TBI655360 TLE655360 TVA655360 UEW655360 UOS655360 UYO655360 VIK655360 VSG655360 WCC655360 WLY655360 WVU655360 M720896 JI720896 TE720896 ADA720896 AMW720896 AWS720896 BGO720896 BQK720896 CAG720896 CKC720896 CTY720896 DDU720896 DNQ720896 DXM720896 EHI720896 ERE720896 FBA720896 FKW720896 FUS720896 GEO720896 GOK720896 GYG720896 HIC720896 HRY720896 IBU720896 ILQ720896 IVM720896 JFI720896 JPE720896 JZA720896 KIW720896 KSS720896 LCO720896 LMK720896 LWG720896 MGC720896 MPY720896 MZU720896 NJQ720896 NTM720896 ODI720896 ONE720896 OXA720896 PGW720896 PQS720896 QAO720896 QKK720896 QUG720896 REC720896 RNY720896 RXU720896 SHQ720896 SRM720896 TBI720896 TLE720896 TVA720896 UEW720896 UOS720896 UYO720896 VIK720896 VSG720896 WCC720896 WLY720896 WVU720896 M786432 JI786432 TE786432 ADA786432 AMW786432 AWS786432 BGO786432 BQK786432 CAG786432 CKC786432 CTY786432 DDU786432 DNQ786432 DXM786432 EHI786432 ERE786432 FBA786432 FKW786432 FUS786432 GEO786432 GOK786432 GYG786432 HIC786432 HRY786432 IBU786432 ILQ786432 IVM786432 JFI786432 JPE786432 JZA786432 KIW786432 KSS786432 LCO786432 LMK786432 LWG786432 MGC786432 MPY786432 MZU786432 NJQ786432 NTM786432 ODI786432 ONE786432 OXA786432 PGW786432 PQS786432 QAO786432 QKK786432 QUG786432 REC786432 RNY786432 RXU786432 SHQ786432 SRM786432 TBI786432 TLE786432 TVA786432 UEW786432 UOS786432 UYO786432 VIK786432 VSG786432 WCC786432 WLY786432 WVU786432 M851968 JI851968 TE851968 ADA851968 AMW851968 AWS851968 BGO851968 BQK851968 CAG851968 CKC851968 CTY851968 DDU851968 DNQ851968 DXM851968 EHI851968 ERE851968 FBA851968 FKW851968 FUS851968 GEO851968 GOK851968 GYG851968 HIC851968 HRY851968 IBU851968 ILQ851968 IVM851968 JFI851968 JPE851968 JZA851968 KIW851968 KSS851968 LCO851968 LMK851968 LWG851968 MGC851968 MPY851968 MZU851968 NJQ851968 NTM851968 ODI851968 ONE851968 OXA851968 PGW851968 PQS851968 QAO851968 QKK851968 QUG851968 REC851968 RNY851968 RXU851968 SHQ851968 SRM851968 TBI851968 TLE851968 TVA851968 UEW851968 UOS851968 UYO851968 VIK851968 VSG851968 WCC851968 WLY851968 WVU851968 M917504 JI917504 TE917504 ADA917504 AMW917504 AWS917504 BGO917504 BQK917504 CAG917504 CKC917504 CTY917504 DDU917504 DNQ917504 DXM917504 EHI917504 ERE917504 FBA917504 FKW917504 FUS917504 GEO917504 GOK917504 GYG917504 HIC917504 HRY917504 IBU917504 ILQ917504 IVM917504 JFI917504 JPE917504 JZA917504 KIW917504 KSS917504 LCO917504 LMK917504 LWG917504 MGC917504 MPY917504 MZU917504 NJQ917504 NTM917504 ODI917504 ONE917504 OXA917504 PGW917504 PQS917504 QAO917504 QKK917504 QUG917504 REC917504 RNY917504 RXU917504 SHQ917504 SRM917504 TBI917504 TLE917504 TVA917504 UEW917504 UOS917504 UYO917504 VIK917504 VSG917504 WCC917504 WLY917504 WVU917504 M983040 JI983040 TE983040 ADA983040 AMW983040 AWS983040 BGO983040 BQK983040 CAG983040 CKC983040 CTY983040 DDU983040 DNQ983040 DXM983040 EHI983040 ERE983040 FBA983040 FKW983040 FUS983040 GEO983040 GOK983040 GYG983040 HIC983040 HRY983040 IBU983040 ILQ983040 IVM983040 JFI983040 JPE983040 JZA983040 KIW983040 KSS983040 LCO983040 LMK983040 LWG983040 MGC983040 MPY983040 MZU983040 NJQ983040 NTM983040 ODI983040 ONE983040 OXA983040 PGW983040 PQS983040 QAO983040 QKK983040 QUG983040 REC983040 RNY983040 RXU983040 SHQ983040 SRM983040 TBI983040 TLE983040 TVA983040 UEW983040 UOS983040 UYO983040 VIK983040 VSG983040 WCC983040 WLY983040 WVU983040">
      <formula1>-1</formula1>
      <formula2>4</formula2>
    </dataValidation>
    <dataValidation allowBlank="1" showInputMessage="1" showErrorMessage="1" prompt="Beispiele zum Ausfüllen:  siehe unten!" sqref="WVK98305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dataValidation type="decimal" allowBlank="1" showInputMessage="1" showErrorMessage="1" error="maximal 4,0" sqref="WVP983050:WVP983076 JD10:JD36 SZ10:SZ36 ACV10:ACV36 AMR10:AMR36 AWN10:AWN36 BGJ10:BGJ36 BQF10:BQF36 CAB10:CAB36 CJX10:CJX36 CTT10:CTT36 DDP10:DDP36 DNL10:DNL36 DXH10:DXH36 EHD10:EHD36 EQZ10:EQZ36 FAV10:FAV36 FKR10:FKR36 FUN10:FUN36 GEJ10:GEJ36 GOF10:GOF36 GYB10:GYB36 HHX10:HHX36 HRT10:HRT36 IBP10:IBP36 ILL10:ILL36 IVH10:IVH36 JFD10:JFD36 JOZ10:JOZ36 JYV10:JYV36 KIR10:KIR36 KSN10:KSN36 LCJ10:LCJ36 LMF10:LMF36 LWB10:LWB36 MFX10:MFX36 MPT10:MPT36 MZP10:MZP36 NJL10:NJL36 NTH10:NTH36 ODD10:ODD36 OMZ10:OMZ36 OWV10:OWV36 PGR10:PGR36 PQN10:PQN36 QAJ10:QAJ36 QKF10:QKF36 QUB10:QUB36 RDX10:RDX36 RNT10:RNT36 RXP10:RXP36 SHL10:SHL36 SRH10:SRH36 TBD10:TBD36 TKZ10:TKZ36 TUV10:TUV36 UER10:UER36 UON10:UON36 UYJ10:UYJ36 VIF10:VIF36 VSB10:VSB36 WBX10:WBX36 WLT10:WLT36 WVP10:WVP36 H65546:H65572 JD65546:JD65572 SZ65546:SZ65572 ACV65546:ACV65572 AMR65546:AMR65572 AWN65546:AWN65572 BGJ65546:BGJ65572 BQF65546:BQF65572 CAB65546:CAB65572 CJX65546:CJX65572 CTT65546:CTT65572 DDP65546:DDP65572 DNL65546:DNL65572 DXH65546:DXH65572 EHD65546:EHD65572 EQZ65546:EQZ65572 FAV65546:FAV65572 FKR65546:FKR65572 FUN65546:FUN65572 GEJ65546:GEJ65572 GOF65546:GOF65572 GYB65546:GYB65572 HHX65546:HHX65572 HRT65546:HRT65572 IBP65546:IBP65572 ILL65546:ILL65572 IVH65546:IVH65572 JFD65546:JFD65572 JOZ65546:JOZ65572 JYV65546:JYV65572 KIR65546:KIR65572 KSN65546:KSN65572 LCJ65546:LCJ65572 LMF65546:LMF65572 LWB65546:LWB65572 MFX65546:MFX65572 MPT65546:MPT65572 MZP65546:MZP65572 NJL65546:NJL65572 NTH65546:NTH65572 ODD65546:ODD65572 OMZ65546:OMZ65572 OWV65546:OWV65572 PGR65546:PGR65572 PQN65546:PQN65572 QAJ65546:QAJ65572 QKF65546:QKF65572 QUB65546:QUB65572 RDX65546:RDX65572 RNT65546:RNT65572 RXP65546:RXP65572 SHL65546:SHL65572 SRH65546:SRH65572 TBD65546:TBD65572 TKZ65546:TKZ65572 TUV65546:TUV65572 UER65546:UER65572 UON65546:UON65572 UYJ65546:UYJ65572 VIF65546:VIF65572 VSB65546:VSB65572 WBX65546:WBX65572 WLT65546:WLT65572 WVP65546:WVP65572 H131082:H131108 JD131082:JD131108 SZ131082:SZ131108 ACV131082:ACV131108 AMR131082:AMR131108 AWN131082:AWN131108 BGJ131082:BGJ131108 BQF131082:BQF131108 CAB131082:CAB131108 CJX131082:CJX131108 CTT131082:CTT131108 DDP131082:DDP131108 DNL131082:DNL131108 DXH131082:DXH131108 EHD131082:EHD131108 EQZ131082:EQZ131108 FAV131082:FAV131108 FKR131082:FKR131108 FUN131082:FUN131108 GEJ131082:GEJ131108 GOF131082:GOF131108 GYB131082:GYB131108 HHX131082:HHX131108 HRT131082:HRT131108 IBP131082:IBP131108 ILL131082:ILL131108 IVH131082:IVH131108 JFD131082:JFD131108 JOZ131082:JOZ131108 JYV131082:JYV131108 KIR131082:KIR131108 KSN131082:KSN131108 LCJ131082:LCJ131108 LMF131082:LMF131108 LWB131082:LWB131108 MFX131082:MFX131108 MPT131082:MPT131108 MZP131082:MZP131108 NJL131082:NJL131108 NTH131082:NTH131108 ODD131082:ODD131108 OMZ131082:OMZ131108 OWV131082:OWV131108 PGR131082:PGR131108 PQN131082:PQN131108 QAJ131082:QAJ131108 QKF131082:QKF131108 QUB131082:QUB131108 RDX131082:RDX131108 RNT131082:RNT131108 RXP131082:RXP131108 SHL131082:SHL131108 SRH131082:SRH131108 TBD131082:TBD131108 TKZ131082:TKZ131108 TUV131082:TUV131108 UER131082:UER131108 UON131082:UON131108 UYJ131082:UYJ131108 VIF131082:VIF131108 VSB131082:VSB131108 WBX131082:WBX131108 WLT131082:WLT131108 WVP131082:WVP131108 H196618:H196644 JD196618:JD196644 SZ196618:SZ196644 ACV196618:ACV196644 AMR196618:AMR196644 AWN196618:AWN196644 BGJ196618:BGJ196644 BQF196618:BQF196644 CAB196618:CAB196644 CJX196618:CJX196644 CTT196618:CTT196644 DDP196618:DDP196644 DNL196618:DNL196644 DXH196618:DXH196644 EHD196618:EHD196644 EQZ196618:EQZ196644 FAV196618:FAV196644 FKR196618:FKR196644 FUN196618:FUN196644 GEJ196618:GEJ196644 GOF196618:GOF196644 GYB196618:GYB196644 HHX196618:HHX196644 HRT196618:HRT196644 IBP196618:IBP196644 ILL196618:ILL196644 IVH196618:IVH196644 JFD196618:JFD196644 JOZ196618:JOZ196644 JYV196618:JYV196644 KIR196618:KIR196644 KSN196618:KSN196644 LCJ196618:LCJ196644 LMF196618:LMF196644 LWB196618:LWB196644 MFX196618:MFX196644 MPT196618:MPT196644 MZP196618:MZP196644 NJL196618:NJL196644 NTH196618:NTH196644 ODD196618:ODD196644 OMZ196618:OMZ196644 OWV196618:OWV196644 PGR196618:PGR196644 PQN196618:PQN196644 QAJ196618:QAJ196644 QKF196618:QKF196644 QUB196618:QUB196644 RDX196618:RDX196644 RNT196618:RNT196644 RXP196618:RXP196644 SHL196618:SHL196644 SRH196618:SRH196644 TBD196618:TBD196644 TKZ196618:TKZ196644 TUV196618:TUV196644 UER196618:UER196644 UON196618:UON196644 UYJ196618:UYJ196644 VIF196618:VIF196644 VSB196618:VSB196644 WBX196618:WBX196644 WLT196618:WLT196644 WVP196618:WVP196644 H262154:H262180 JD262154:JD262180 SZ262154:SZ262180 ACV262154:ACV262180 AMR262154:AMR262180 AWN262154:AWN262180 BGJ262154:BGJ262180 BQF262154:BQF262180 CAB262154:CAB262180 CJX262154:CJX262180 CTT262154:CTT262180 DDP262154:DDP262180 DNL262154:DNL262180 DXH262154:DXH262180 EHD262154:EHD262180 EQZ262154:EQZ262180 FAV262154:FAV262180 FKR262154:FKR262180 FUN262154:FUN262180 GEJ262154:GEJ262180 GOF262154:GOF262180 GYB262154:GYB262180 HHX262154:HHX262180 HRT262154:HRT262180 IBP262154:IBP262180 ILL262154:ILL262180 IVH262154:IVH262180 JFD262154:JFD262180 JOZ262154:JOZ262180 JYV262154:JYV262180 KIR262154:KIR262180 KSN262154:KSN262180 LCJ262154:LCJ262180 LMF262154:LMF262180 LWB262154:LWB262180 MFX262154:MFX262180 MPT262154:MPT262180 MZP262154:MZP262180 NJL262154:NJL262180 NTH262154:NTH262180 ODD262154:ODD262180 OMZ262154:OMZ262180 OWV262154:OWV262180 PGR262154:PGR262180 PQN262154:PQN262180 QAJ262154:QAJ262180 QKF262154:QKF262180 QUB262154:QUB262180 RDX262154:RDX262180 RNT262154:RNT262180 RXP262154:RXP262180 SHL262154:SHL262180 SRH262154:SRH262180 TBD262154:TBD262180 TKZ262154:TKZ262180 TUV262154:TUV262180 UER262154:UER262180 UON262154:UON262180 UYJ262154:UYJ262180 VIF262154:VIF262180 VSB262154:VSB262180 WBX262154:WBX262180 WLT262154:WLT262180 WVP262154:WVP262180 H327690:H327716 JD327690:JD327716 SZ327690:SZ327716 ACV327690:ACV327716 AMR327690:AMR327716 AWN327690:AWN327716 BGJ327690:BGJ327716 BQF327690:BQF327716 CAB327690:CAB327716 CJX327690:CJX327716 CTT327690:CTT327716 DDP327690:DDP327716 DNL327690:DNL327716 DXH327690:DXH327716 EHD327690:EHD327716 EQZ327690:EQZ327716 FAV327690:FAV327716 FKR327690:FKR327716 FUN327690:FUN327716 GEJ327690:GEJ327716 GOF327690:GOF327716 GYB327690:GYB327716 HHX327690:HHX327716 HRT327690:HRT327716 IBP327690:IBP327716 ILL327690:ILL327716 IVH327690:IVH327716 JFD327690:JFD327716 JOZ327690:JOZ327716 JYV327690:JYV327716 KIR327690:KIR327716 KSN327690:KSN327716 LCJ327690:LCJ327716 LMF327690:LMF327716 LWB327690:LWB327716 MFX327690:MFX327716 MPT327690:MPT327716 MZP327690:MZP327716 NJL327690:NJL327716 NTH327690:NTH327716 ODD327690:ODD327716 OMZ327690:OMZ327716 OWV327690:OWV327716 PGR327690:PGR327716 PQN327690:PQN327716 QAJ327690:QAJ327716 QKF327690:QKF327716 QUB327690:QUB327716 RDX327690:RDX327716 RNT327690:RNT327716 RXP327690:RXP327716 SHL327690:SHL327716 SRH327690:SRH327716 TBD327690:TBD327716 TKZ327690:TKZ327716 TUV327690:TUV327716 UER327690:UER327716 UON327690:UON327716 UYJ327690:UYJ327716 VIF327690:VIF327716 VSB327690:VSB327716 WBX327690:WBX327716 WLT327690:WLT327716 WVP327690:WVP327716 H393226:H393252 JD393226:JD393252 SZ393226:SZ393252 ACV393226:ACV393252 AMR393226:AMR393252 AWN393226:AWN393252 BGJ393226:BGJ393252 BQF393226:BQF393252 CAB393226:CAB393252 CJX393226:CJX393252 CTT393226:CTT393252 DDP393226:DDP393252 DNL393226:DNL393252 DXH393226:DXH393252 EHD393226:EHD393252 EQZ393226:EQZ393252 FAV393226:FAV393252 FKR393226:FKR393252 FUN393226:FUN393252 GEJ393226:GEJ393252 GOF393226:GOF393252 GYB393226:GYB393252 HHX393226:HHX393252 HRT393226:HRT393252 IBP393226:IBP393252 ILL393226:ILL393252 IVH393226:IVH393252 JFD393226:JFD393252 JOZ393226:JOZ393252 JYV393226:JYV393252 KIR393226:KIR393252 KSN393226:KSN393252 LCJ393226:LCJ393252 LMF393226:LMF393252 LWB393226:LWB393252 MFX393226:MFX393252 MPT393226:MPT393252 MZP393226:MZP393252 NJL393226:NJL393252 NTH393226:NTH393252 ODD393226:ODD393252 OMZ393226:OMZ393252 OWV393226:OWV393252 PGR393226:PGR393252 PQN393226:PQN393252 QAJ393226:QAJ393252 QKF393226:QKF393252 QUB393226:QUB393252 RDX393226:RDX393252 RNT393226:RNT393252 RXP393226:RXP393252 SHL393226:SHL393252 SRH393226:SRH393252 TBD393226:TBD393252 TKZ393226:TKZ393252 TUV393226:TUV393252 UER393226:UER393252 UON393226:UON393252 UYJ393226:UYJ393252 VIF393226:VIF393252 VSB393226:VSB393252 WBX393226:WBX393252 WLT393226:WLT393252 WVP393226:WVP393252 H458762:H458788 JD458762:JD458788 SZ458762:SZ458788 ACV458762:ACV458788 AMR458762:AMR458788 AWN458762:AWN458788 BGJ458762:BGJ458788 BQF458762:BQF458788 CAB458762:CAB458788 CJX458762:CJX458788 CTT458762:CTT458788 DDP458762:DDP458788 DNL458762:DNL458788 DXH458762:DXH458788 EHD458762:EHD458788 EQZ458762:EQZ458788 FAV458762:FAV458788 FKR458762:FKR458788 FUN458762:FUN458788 GEJ458762:GEJ458788 GOF458762:GOF458788 GYB458762:GYB458788 HHX458762:HHX458788 HRT458762:HRT458788 IBP458762:IBP458788 ILL458762:ILL458788 IVH458762:IVH458788 JFD458762:JFD458788 JOZ458762:JOZ458788 JYV458762:JYV458788 KIR458762:KIR458788 KSN458762:KSN458788 LCJ458762:LCJ458788 LMF458762:LMF458788 LWB458762:LWB458788 MFX458762:MFX458788 MPT458762:MPT458788 MZP458762:MZP458788 NJL458762:NJL458788 NTH458762:NTH458788 ODD458762:ODD458788 OMZ458762:OMZ458788 OWV458762:OWV458788 PGR458762:PGR458788 PQN458762:PQN458788 QAJ458762:QAJ458788 QKF458762:QKF458788 QUB458762:QUB458788 RDX458762:RDX458788 RNT458762:RNT458788 RXP458762:RXP458788 SHL458762:SHL458788 SRH458762:SRH458788 TBD458762:TBD458788 TKZ458762:TKZ458788 TUV458762:TUV458788 UER458762:UER458788 UON458762:UON458788 UYJ458762:UYJ458788 VIF458762:VIF458788 VSB458762:VSB458788 WBX458762:WBX458788 WLT458762:WLT458788 WVP458762:WVP458788 H524298:H524324 JD524298:JD524324 SZ524298:SZ524324 ACV524298:ACV524324 AMR524298:AMR524324 AWN524298:AWN524324 BGJ524298:BGJ524324 BQF524298:BQF524324 CAB524298:CAB524324 CJX524298:CJX524324 CTT524298:CTT524324 DDP524298:DDP524324 DNL524298:DNL524324 DXH524298:DXH524324 EHD524298:EHD524324 EQZ524298:EQZ524324 FAV524298:FAV524324 FKR524298:FKR524324 FUN524298:FUN524324 GEJ524298:GEJ524324 GOF524298:GOF524324 GYB524298:GYB524324 HHX524298:HHX524324 HRT524298:HRT524324 IBP524298:IBP524324 ILL524298:ILL524324 IVH524298:IVH524324 JFD524298:JFD524324 JOZ524298:JOZ524324 JYV524298:JYV524324 KIR524298:KIR524324 KSN524298:KSN524324 LCJ524298:LCJ524324 LMF524298:LMF524324 LWB524298:LWB524324 MFX524298:MFX524324 MPT524298:MPT524324 MZP524298:MZP524324 NJL524298:NJL524324 NTH524298:NTH524324 ODD524298:ODD524324 OMZ524298:OMZ524324 OWV524298:OWV524324 PGR524298:PGR524324 PQN524298:PQN524324 QAJ524298:QAJ524324 QKF524298:QKF524324 QUB524298:QUB524324 RDX524298:RDX524324 RNT524298:RNT524324 RXP524298:RXP524324 SHL524298:SHL524324 SRH524298:SRH524324 TBD524298:TBD524324 TKZ524298:TKZ524324 TUV524298:TUV524324 UER524298:UER524324 UON524298:UON524324 UYJ524298:UYJ524324 VIF524298:VIF524324 VSB524298:VSB524324 WBX524298:WBX524324 WLT524298:WLT524324 WVP524298:WVP524324 H589834:H589860 JD589834:JD589860 SZ589834:SZ589860 ACV589834:ACV589860 AMR589834:AMR589860 AWN589834:AWN589860 BGJ589834:BGJ589860 BQF589834:BQF589860 CAB589834:CAB589860 CJX589834:CJX589860 CTT589834:CTT589860 DDP589834:DDP589860 DNL589834:DNL589860 DXH589834:DXH589860 EHD589834:EHD589860 EQZ589834:EQZ589860 FAV589834:FAV589860 FKR589834:FKR589860 FUN589834:FUN589860 GEJ589834:GEJ589860 GOF589834:GOF589860 GYB589834:GYB589860 HHX589834:HHX589860 HRT589834:HRT589860 IBP589834:IBP589860 ILL589834:ILL589860 IVH589834:IVH589860 JFD589834:JFD589860 JOZ589834:JOZ589860 JYV589834:JYV589860 KIR589834:KIR589860 KSN589834:KSN589860 LCJ589834:LCJ589860 LMF589834:LMF589860 LWB589834:LWB589860 MFX589834:MFX589860 MPT589834:MPT589860 MZP589834:MZP589860 NJL589834:NJL589860 NTH589834:NTH589860 ODD589834:ODD589860 OMZ589834:OMZ589860 OWV589834:OWV589860 PGR589834:PGR589860 PQN589834:PQN589860 QAJ589834:QAJ589860 QKF589834:QKF589860 QUB589834:QUB589860 RDX589834:RDX589860 RNT589834:RNT589860 RXP589834:RXP589860 SHL589834:SHL589860 SRH589834:SRH589860 TBD589834:TBD589860 TKZ589834:TKZ589860 TUV589834:TUV589860 UER589834:UER589860 UON589834:UON589860 UYJ589834:UYJ589860 VIF589834:VIF589860 VSB589834:VSB589860 WBX589834:WBX589860 WLT589834:WLT589860 WVP589834:WVP589860 H655370:H655396 JD655370:JD655396 SZ655370:SZ655396 ACV655370:ACV655396 AMR655370:AMR655396 AWN655370:AWN655396 BGJ655370:BGJ655396 BQF655370:BQF655396 CAB655370:CAB655396 CJX655370:CJX655396 CTT655370:CTT655396 DDP655370:DDP655396 DNL655370:DNL655396 DXH655370:DXH655396 EHD655370:EHD655396 EQZ655370:EQZ655396 FAV655370:FAV655396 FKR655370:FKR655396 FUN655370:FUN655396 GEJ655370:GEJ655396 GOF655370:GOF655396 GYB655370:GYB655396 HHX655370:HHX655396 HRT655370:HRT655396 IBP655370:IBP655396 ILL655370:ILL655396 IVH655370:IVH655396 JFD655370:JFD655396 JOZ655370:JOZ655396 JYV655370:JYV655396 KIR655370:KIR655396 KSN655370:KSN655396 LCJ655370:LCJ655396 LMF655370:LMF655396 LWB655370:LWB655396 MFX655370:MFX655396 MPT655370:MPT655396 MZP655370:MZP655396 NJL655370:NJL655396 NTH655370:NTH655396 ODD655370:ODD655396 OMZ655370:OMZ655396 OWV655370:OWV655396 PGR655370:PGR655396 PQN655370:PQN655396 QAJ655370:QAJ655396 QKF655370:QKF655396 QUB655370:QUB655396 RDX655370:RDX655396 RNT655370:RNT655396 RXP655370:RXP655396 SHL655370:SHL655396 SRH655370:SRH655396 TBD655370:TBD655396 TKZ655370:TKZ655396 TUV655370:TUV655396 UER655370:UER655396 UON655370:UON655396 UYJ655370:UYJ655396 VIF655370:VIF655396 VSB655370:VSB655396 WBX655370:WBX655396 WLT655370:WLT655396 WVP655370:WVP655396 H720906:H720932 JD720906:JD720932 SZ720906:SZ720932 ACV720906:ACV720932 AMR720906:AMR720932 AWN720906:AWN720932 BGJ720906:BGJ720932 BQF720906:BQF720932 CAB720906:CAB720932 CJX720906:CJX720932 CTT720906:CTT720932 DDP720906:DDP720932 DNL720906:DNL720932 DXH720906:DXH720932 EHD720906:EHD720932 EQZ720906:EQZ720932 FAV720906:FAV720932 FKR720906:FKR720932 FUN720906:FUN720932 GEJ720906:GEJ720932 GOF720906:GOF720932 GYB720906:GYB720932 HHX720906:HHX720932 HRT720906:HRT720932 IBP720906:IBP720932 ILL720906:ILL720932 IVH720906:IVH720932 JFD720906:JFD720932 JOZ720906:JOZ720932 JYV720906:JYV720932 KIR720906:KIR720932 KSN720906:KSN720932 LCJ720906:LCJ720932 LMF720906:LMF720932 LWB720906:LWB720932 MFX720906:MFX720932 MPT720906:MPT720932 MZP720906:MZP720932 NJL720906:NJL720932 NTH720906:NTH720932 ODD720906:ODD720932 OMZ720906:OMZ720932 OWV720906:OWV720932 PGR720906:PGR720932 PQN720906:PQN720932 QAJ720906:QAJ720932 QKF720906:QKF720932 QUB720906:QUB720932 RDX720906:RDX720932 RNT720906:RNT720932 RXP720906:RXP720932 SHL720906:SHL720932 SRH720906:SRH720932 TBD720906:TBD720932 TKZ720906:TKZ720932 TUV720906:TUV720932 UER720906:UER720932 UON720906:UON720932 UYJ720906:UYJ720932 VIF720906:VIF720932 VSB720906:VSB720932 WBX720906:WBX720932 WLT720906:WLT720932 WVP720906:WVP720932 H786442:H786468 JD786442:JD786468 SZ786442:SZ786468 ACV786442:ACV786468 AMR786442:AMR786468 AWN786442:AWN786468 BGJ786442:BGJ786468 BQF786442:BQF786468 CAB786442:CAB786468 CJX786442:CJX786468 CTT786442:CTT786468 DDP786442:DDP786468 DNL786442:DNL786468 DXH786442:DXH786468 EHD786442:EHD786468 EQZ786442:EQZ786468 FAV786442:FAV786468 FKR786442:FKR786468 FUN786442:FUN786468 GEJ786442:GEJ786468 GOF786442:GOF786468 GYB786442:GYB786468 HHX786442:HHX786468 HRT786442:HRT786468 IBP786442:IBP786468 ILL786442:ILL786468 IVH786442:IVH786468 JFD786442:JFD786468 JOZ786442:JOZ786468 JYV786442:JYV786468 KIR786442:KIR786468 KSN786442:KSN786468 LCJ786442:LCJ786468 LMF786442:LMF786468 LWB786442:LWB786468 MFX786442:MFX786468 MPT786442:MPT786468 MZP786442:MZP786468 NJL786442:NJL786468 NTH786442:NTH786468 ODD786442:ODD786468 OMZ786442:OMZ786468 OWV786442:OWV786468 PGR786442:PGR786468 PQN786442:PQN786468 QAJ786442:QAJ786468 QKF786442:QKF786468 QUB786442:QUB786468 RDX786442:RDX786468 RNT786442:RNT786468 RXP786442:RXP786468 SHL786442:SHL786468 SRH786442:SRH786468 TBD786442:TBD786468 TKZ786442:TKZ786468 TUV786442:TUV786468 UER786442:UER786468 UON786442:UON786468 UYJ786442:UYJ786468 VIF786442:VIF786468 VSB786442:VSB786468 WBX786442:WBX786468 WLT786442:WLT786468 WVP786442:WVP786468 H851978:H852004 JD851978:JD852004 SZ851978:SZ852004 ACV851978:ACV852004 AMR851978:AMR852004 AWN851978:AWN852004 BGJ851978:BGJ852004 BQF851978:BQF852004 CAB851978:CAB852004 CJX851978:CJX852004 CTT851978:CTT852004 DDP851978:DDP852004 DNL851978:DNL852004 DXH851978:DXH852004 EHD851978:EHD852004 EQZ851978:EQZ852004 FAV851978:FAV852004 FKR851978:FKR852004 FUN851978:FUN852004 GEJ851978:GEJ852004 GOF851978:GOF852004 GYB851978:GYB852004 HHX851978:HHX852004 HRT851978:HRT852004 IBP851978:IBP852004 ILL851978:ILL852004 IVH851978:IVH852004 JFD851978:JFD852004 JOZ851978:JOZ852004 JYV851978:JYV852004 KIR851978:KIR852004 KSN851978:KSN852004 LCJ851978:LCJ852004 LMF851978:LMF852004 LWB851978:LWB852004 MFX851978:MFX852004 MPT851978:MPT852004 MZP851978:MZP852004 NJL851978:NJL852004 NTH851978:NTH852004 ODD851978:ODD852004 OMZ851978:OMZ852004 OWV851978:OWV852004 PGR851978:PGR852004 PQN851978:PQN852004 QAJ851978:QAJ852004 QKF851978:QKF852004 QUB851978:QUB852004 RDX851978:RDX852004 RNT851978:RNT852004 RXP851978:RXP852004 SHL851978:SHL852004 SRH851978:SRH852004 TBD851978:TBD852004 TKZ851978:TKZ852004 TUV851978:TUV852004 UER851978:UER852004 UON851978:UON852004 UYJ851978:UYJ852004 VIF851978:VIF852004 VSB851978:VSB852004 WBX851978:WBX852004 WLT851978:WLT852004 WVP851978:WVP852004 H917514:H917540 JD917514:JD917540 SZ917514:SZ917540 ACV917514:ACV917540 AMR917514:AMR917540 AWN917514:AWN917540 BGJ917514:BGJ917540 BQF917514:BQF917540 CAB917514:CAB917540 CJX917514:CJX917540 CTT917514:CTT917540 DDP917514:DDP917540 DNL917514:DNL917540 DXH917514:DXH917540 EHD917514:EHD917540 EQZ917514:EQZ917540 FAV917514:FAV917540 FKR917514:FKR917540 FUN917514:FUN917540 GEJ917514:GEJ917540 GOF917514:GOF917540 GYB917514:GYB917540 HHX917514:HHX917540 HRT917514:HRT917540 IBP917514:IBP917540 ILL917514:ILL917540 IVH917514:IVH917540 JFD917514:JFD917540 JOZ917514:JOZ917540 JYV917514:JYV917540 KIR917514:KIR917540 KSN917514:KSN917540 LCJ917514:LCJ917540 LMF917514:LMF917540 LWB917514:LWB917540 MFX917514:MFX917540 MPT917514:MPT917540 MZP917514:MZP917540 NJL917514:NJL917540 NTH917514:NTH917540 ODD917514:ODD917540 OMZ917514:OMZ917540 OWV917514:OWV917540 PGR917514:PGR917540 PQN917514:PQN917540 QAJ917514:QAJ917540 QKF917514:QKF917540 QUB917514:QUB917540 RDX917514:RDX917540 RNT917514:RNT917540 RXP917514:RXP917540 SHL917514:SHL917540 SRH917514:SRH917540 TBD917514:TBD917540 TKZ917514:TKZ917540 TUV917514:TUV917540 UER917514:UER917540 UON917514:UON917540 UYJ917514:UYJ917540 VIF917514:VIF917540 VSB917514:VSB917540 WBX917514:WBX917540 WLT917514:WLT917540 WVP917514:WVP917540 H983050:H983076 JD983050:JD983076 SZ983050:SZ983076 ACV983050:ACV983076 AMR983050:AMR983076 AWN983050:AWN983076 BGJ983050:BGJ983076 BQF983050:BQF983076 CAB983050:CAB983076 CJX983050:CJX983076 CTT983050:CTT983076 DDP983050:DDP983076 DNL983050:DNL983076 DXH983050:DXH983076 EHD983050:EHD983076 EQZ983050:EQZ983076 FAV983050:FAV983076 FKR983050:FKR983076 FUN983050:FUN983076 GEJ983050:GEJ983076 GOF983050:GOF983076 GYB983050:GYB983076 HHX983050:HHX983076 HRT983050:HRT983076 IBP983050:IBP983076 ILL983050:ILL983076 IVH983050:IVH983076 JFD983050:JFD983076 JOZ983050:JOZ983076 JYV983050:JYV983076 KIR983050:KIR983076 KSN983050:KSN983076 LCJ983050:LCJ983076 LMF983050:LMF983076 LWB983050:LWB983076 MFX983050:MFX983076 MPT983050:MPT983076 MZP983050:MZP983076 NJL983050:NJL983076 NTH983050:NTH983076 ODD983050:ODD983076 OMZ983050:OMZ983076 OWV983050:OWV983076 PGR983050:PGR983076 PQN983050:PQN983076 QAJ983050:QAJ983076 QKF983050:QKF983076 QUB983050:QUB983076 RDX983050:RDX983076 RNT983050:RNT983076 RXP983050:RXP983076 SHL983050:SHL983076 SRH983050:SRH983076 TBD983050:TBD983076 TKZ983050:TKZ983076 TUV983050:TUV983076 UER983050:UER983076 UON983050:UON983076 UYJ983050:UYJ983076 VIF983050:VIF983076 VSB983050:VSB983076 WBX983050:WBX983076 WLT983050:WLT983076 H10:H36">
      <formula1>0</formula1>
      <formula2>4</formula2>
    </dataValidation>
    <dataValidation type="whole" allowBlank="1" showInputMessage="1" showErrorMessage="1" sqref="C11:C36 IY11:IY36 SU11:SU36 ACQ11:ACQ36 AMM11:AMM36 AWI11:AWI36 BGE11:BGE36 BQA11:BQA36 BZW11:BZW36 CJS11:CJS36 CTO11:CTO36 DDK11:DDK36 DNG11:DNG36 DXC11:DXC36 EGY11:EGY36 EQU11:EQU36 FAQ11:FAQ36 FKM11:FKM36 FUI11:FUI36 GEE11:GEE36 GOA11:GOA36 GXW11:GXW36 HHS11:HHS36 HRO11:HRO36 IBK11:IBK36 ILG11:ILG36 IVC11:IVC36 JEY11:JEY36 JOU11:JOU36 JYQ11:JYQ36 KIM11:KIM36 KSI11:KSI36 LCE11:LCE36 LMA11:LMA36 LVW11:LVW36 MFS11:MFS36 MPO11:MPO36 MZK11:MZK36 NJG11:NJG36 NTC11:NTC36 OCY11:OCY36 OMU11:OMU36 OWQ11:OWQ36 PGM11:PGM36 PQI11:PQI36 QAE11:QAE36 QKA11:QKA36 QTW11:QTW36 RDS11:RDS36 RNO11:RNO36 RXK11:RXK36 SHG11:SHG36 SRC11:SRC36 TAY11:TAY36 TKU11:TKU36 TUQ11:TUQ36 UEM11:UEM36 UOI11:UOI36 UYE11:UYE36 VIA11:VIA36 VRW11:VRW36 WBS11:WBS36 WLO11:WLO36 WVK11:WVK36 C65547:C65572 IY65547:IY65572 SU65547:SU65572 ACQ65547:ACQ65572 AMM65547:AMM65572 AWI65547:AWI65572 BGE65547:BGE65572 BQA65547:BQA65572 BZW65547:BZW65572 CJS65547:CJS65572 CTO65547:CTO65572 DDK65547:DDK65572 DNG65547:DNG65572 DXC65547:DXC65572 EGY65547:EGY65572 EQU65547:EQU65572 FAQ65547:FAQ65572 FKM65547:FKM65572 FUI65547:FUI65572 GEE65547:GEE65572 GOA65547:GOA65572 GXW65547:GXW65572 HHS65547:HHS65572 HRO65547:HRO65572 IBK65547:IBK65572 ILG65547:ILG65572 IVC65547:IVC65572 JEY65547:JEY65572 JOU65547:JOU65572 JYQ65547:JYQ65572 KIM65547:KIM65572 KSI65547:KSI65572 LCE65547:LCE65572 LMA65547:LMA65572 LVW65547:LVW65572 MFS65547:MFS65572 MPO65547:MPO65572 MZK65547:MZK65572 NJG65547:NJG65572 NTC65547:NTC65572 OCY65547:OCY65572 OMU65547:OMU65572 OWQ65547:OWQ65572 PGM65547:PGM65572 PQI65547:PQI65572 QAE65547:QAE65572 QKA65547:QKA65572 QTW65547:QTW65572 RDS65547:RDS65572 RNO65547:RNO65572 RXK65547:RXK65572 SHG65547:SHG65572 SRC65547:SRC65572 TAY65547:TAY65572 TKU65547:TKU65572 TUQ65547:TUQ65572 UEM65547:UEM65572 UOI65547:UOI65572 UYE65547:UYE65572 VIA65547:VIA65572 VRW65547:VRW65572 WBS65547:WBS65572 WLO65547:WLO65572 WVK65547:WVK65572 C131083:C131108 IY131083:IY131108 SU131083:SU131108 ACQ131083:ACQ131108 AMM131083:AMM131108 AWI131083:AWI131108 BGE131083:BGE131108 BQA131083:BQA131108 BZW131083:BZW131108 CJS131083:CJS131108 CTO131083:CTO131108 DDK131083:DDK131108 DNG131083:DNG131108 DXC131083:DXC131108 EGY131083:EGY131108 EQU131083:EQU131108 FAQ131083:FAQ131108 FKM131083:FKM131108 FUI131083:FUI131108 GEE131083:GEE131108 GOA131083:GOA131108 GXW131083:GXW131108 HHS131083:HHS131108 HRO131083:HRO131108 IBK131083:IBK131108 ILG131083:ILG131108 IVC131083:IVC131108 JEY131083:JEY131108 JOU131083:JOU131108 JYQ131083:JYQ131108 KIM131083:KIM131108 KSI131083:KSI131108 LCE131083:LCE131108 LMA131083:LMA131108 LVW131083:LVW131108 MFS131083:MFS131108 MPO131083:MPO131108 MZK131083:MZK131108 NJG131083:NJG131108 NTC131083:NTC131108 OCY131083:OCY131108 OMU131083:OMU131108 OWQ131083:OWQ131108 PGM131083:PGM131108 PQI131083:PQI131108 QAE131083:QAE131108 QKA131083:QKA131108 QTW131083:QTW131108 RDS131083:RDS131108 RNO131083:RNO131108 RXK131083:RXK131108 SHG131083:SHG131108 SRC131083:SRC131108 TAY131083:TAY131108 TKU131083:TKU131108 TUQ131083:TUQ131108 UEM131083:UEM131108 UOI131083:UOI131108 UYE131083:UYE131108 VIA131083:VIA131108 VRW131083:VRW131108 WBS131083:WBS131108 WLO131083:WLO131108 WVK131083:WVK131108 C196619:C196644 IY196619:IY196644 SU196619:SU196644 ACQ196619:ACQ196644 AMM196619:AMM196644 AWI196619:AWI196644 BGE196619:BGE196644 BQA196619:BQA196644 BZW196619:BZW196644 CJS196619:CJS196644 CTO196619:CTO196644 DDK196619:DDK196644 DNG196619:DNG196644 DXC196619:DXC196644 EGY196619:EGY196644 EQU196619:EQU196644 FAQ196619:FAQ196644 FKM196619:FKM196644 FUI196619:FUI196644 GEE196619:GEE196644 GOA196619:GOA196644 GXW196619:GXW196644 HHS196619:HHS196644 HRO196619:HRO196644 IBK196619:IBK196644 ILG196619:ILG196644 IVC196619:IVC196644 JEY196619:JEY196644 JOU196619:JOU196644 JYQ196619:JYQ196644 KIM196619:KIM196644 KSI196619:KSI196644 LCE196619:LCE196644 LMA196619:LMA196644 LVW196619:LVW196644 MFS196619:MFS196644 MPO196619:MPO196644 MZK196619:MZK196644 NJG196619:NJG196644 NTC196619:NTC196644 OCY196619:OCY196644 OMU196619:OMU196644 OWQ196619:OWQ196644 PGM196619:PGM196644 PQI196619:PQI196644 QAE196619:QAE196644 QKA196619:QKA196644 QTW196619:QTW196644 RDS196619:RDS196644 RNO196619:RNO196644 RXK196619:RXK196644 SHG196619:SHG196644 SRC196619:SRC196644 TAY196619:TAY196644 TKU196619:TKU196644 TUQ196619:TUQ196644 UEM196619:UEM196644 UOI196619:UOI196644 UYE196619:UYE196644 VIA196619:VIA196644 VRW196619:VRW196644 WBS196619:WBS196644 WLO196619:WLO196644 WVK196619:WVK196644 C262155:C262180 IY262155:IY262180 SU262155:SU262180 ACQ262155:ACQ262180 AMM262155:AMM262180 AWI262155:AWI262180 BGE262155:BGE262180 BQA262155:BQA262180 BZW262155:BZW262180 CJS262155:CJS262180 CTO262155:CTO262180 DDK262155:DDK262180 DNG262155:DNG262180 DXC262155:DXC262180 EGY262155:EGY262180 EQU262155:EQU262180 FAQ262155:FAQ262180 FKM262155:FKM262180 FUI262155:FUI262180 GEE262155:GEE262180 GOA262155:GOA262180 GXW262155:GXW262180 HHS262155:HHS262180 HRO262155:HRO262180 IBK262155:IBK262180 ILG262155:ILG262180 IVC262155:IVC262180 JEY262155:JEY262180 JOU262155:JOU262180 JYQ262155:JYQ262180 KIM262155:KIM262180 KSI262155:KSI262180 LCE262155:LCE262180 LMA262155:LMA262180 LVW262155:LVW262180 MFS262155:MFS262180 MPO262155:MPO262180 MZK262155:MZK262180 NJG262155:NJG262180 NTC262155:NTC262180 OCY262155:OCY262180 OMU262155:OMU262180 OWQ262155:OWQ262180 PGM262155:PGM262180 PQI262155:PQI262180 QAE262155:QAE262180 QKA262155:QKA262180 QTW262155:QTW262180 RDS262155:RDS262180 RNO262155:RNO262180 RXK262155:RXK262180 SHG262155:SHG262180 SRC262155:SRC262180 TAY262155:TAY262180 TKU262155:TKU262180 TUQ262155:TUQ262180 UEM262155:UEM262180 UOI262155:UOI262180 UYE262155:UYE262180 VIA262155:VIA262180 VRW262155:VRW262180 WBS262155:WBS262180 WLO262155:WLO262180 WVK262155:WVK262180 C327691:C327716 IY327691:IY327716 SU327691:SU327716 ACQ327691:ACQ327716 AMM327691:AMM327716 AWI327691:AWI327716 BGE327691:BGE327716 BQA327691:BQA327716 BZW327691:BZW327716 CJS327691:CJS327716 CTO327691:CTO327716 DDK327691:DDK327716 DNG327691:DNG327716 DXC327691:DXC327716 EGY327691:EGY327716 EQU327691:EQU327716 FAQ327691:FAQ327716 FKM327691:FKM327716 FUI327691:FUI327716 GEE327691:GEE327716 GOA327691:GOA327716 GXW327691:GXW327716 HHS327691:HHS327716 HRO327691:HRO327716 IBK327691:IBK327716 ILG327691:ILG327716 IVC327691:IVC327716 JEY327691:JEY327716 JOU327691:JOU327716 JYQ327691:JYQ327716 KIM327691:KIM327716 KSI327691:KSI327716 LCE327691:LCE327716 LMA327691:LMA327716 LVW327691:LVW327716 MFS327691:MFS327716 MPO327691:MPO327716 MZK327691:MZK327716 NJG327691:NJG327716 NTC327691:NTC327716 OCY327691:OCY327716 OMU327691:OMU327716 OWQ327691:OWQ327716 PGM327691:PGM327716 PQI327691:PQI327716 QAE327691:QAE327716 QKA327691:QKA327716 QTW327691:QTW327716 RDS327691:RDS327716 RNO327691:RNO327716 RXK327691:RXK327716 SHG327691:SHG327716 SRC327691:SRC327716 TAY327691:TAY327716 TKU327691:TKU327716 TUQ327691:TUQ327716 UEM327691:UEM327716 UOI327691:UOI327716 UYE327691:UYE327716 VIA327691:VIA327716 VRW327691:VRW327716 WBS327691:WBS327716 WLO327691:WLO327716 WVK327691:WVK327716 C393227:C393252 IY393227:IY393252 SU393227:SU393252 ACQ393227:ACQ393252 AMM393227:AMM393252 AWI393227:AWI393252 BGE393227:BGE393252 BQA393227:BQA393252 BZW393227:BZW393252 CJS393227:CJS393252 CTO393227:CTO393252 DDK393227:DDK393252 DNG393227:DNG393252 DXC393227:DXC393252 EGY393227:EGY393252 EQU393227:EQU393252 FAQ393227:FAQ393252 FKM393227:FKM393252 FUI393227:FUI393252 GEE393227:GEE393252 GOA393227:GOA393252 GXW393227:GXW393252 HHS393227:HHS393252 HRO393227:HRO393252 IBK393227:IBK393252 ILG393227:ILG393252 IVC393227:IVC393252 JEY393227:JEY393252 JOU393227:JOU393252 JYQ393227:JYQ393252 KIM393227:KIM393252 KSI393227:KSI393252 LCE393227:LCE393252 LMA393227:LMA393252 LVW393227:LVW393252 MFS393227:MFS393252 MPO393227:MPO393252 MZK393227:MZK393252 NJG393227:NJG393252 NTC393227:NTC393252 OCY393227:OCY393252 OMU393227:OMU393252 OWQ393227:OWQ393252 PGM393227:PGM393252 PQI393227:PQI393252 QAE393227:QAE393252 QKA393227:QKA393252 QTW393227:QTW393252 RDS393227:RDS393252 RNO393227:RNO393252 RXK393227:RXK393252 SHG393227:SHG393252 SRC393227:SRC393252 TAY393227:TAY393252 TKU393227:TKU393252 TUQ393227:TUQ393252 UEM393227:UEM393252 UOI393227:UOI393252 UYE393227:UYE393252 VIA393227:VIA393252 VRW393227:VRW393252 WBS393227:WBS393252 WLO393227:WLO393252 WVK393227:WVK393252 C458763:C458788 IY458763:IY458788 SU458763:SU458788 ACQ458763:ACQ458788 AMM458763:AMM458788 AWI458763:AWI458788 BGE458763:BGE458788 BQA458763:BQA458788 BZW458763:BZW458788 CJS458763:CJS458788 CTO458763:CTO458788 DDK458763:DDK458788 DNG458763:DNG458788 DXC458763:DXC458788 EGY458763:EGY458788 EQU458763:EQU458788 FAQ458763:FAQ458788 FKM458763:FKM458788 FUI458763:FUI458788 GEE458763:GEE458788 GOA458763:GOA458788 GXW458763:GXW458788 HHS458763:HHS458788 HRO458763:HRO458788 IBK458763:IBK458788 ILG458763:ILG458788 IVC458763:IVC458788 JEY458763:JEY458788 JOU458763:JOU458788 JYQ458763:JYQ458788 KIM458763:KIM458788 KSI458763:KSI458788 LCE458763:LCE458788 LMA458763:LMA458788 LVW458763:LVW458788 MFS458763:MFS458788 MPO458763:MPO458788 MZK458763:MZK458788 NJG458763:NJG458788 NTC458763:NTC458788 OCY458763:OCY458788 OMU458763:OMU458788 OWQ458763:OWQ458788 PGM458763:PGM458788 PQI458763:PQI458788 QAE458763:QAE458788 QKA458763:QKA458788 QTW458763:QTW458788 RDS458763:RDS458788 RNO458763:RNO458788 RXK458763:RXK458788 SHG458763:SHG458788 SRC458763:SRC458788 TAY458763:TAY458788 TKU458763:TKU458788 TUQ458763:TUQ458788 UEM458763:UEM458788 UOI458763:UOI458788 UYE458763:UYE458788 VIA458763:VIA458788 VRW458763:VRW458788 WBS458763:WBS458788 WLO458763:WLO458788 WVK458763:WVK458788 C524299:C524324 IY524299:IY524324 SU524299:SU524324 ACQ524299:ACQ524324 AMM524299:AMM524324 AWI524299:AWI524324 BGE524299:BGE524324 BQA524299:BQA524324 BZW524299:BZW524324 CJS524299:CJS524324 CTO524299:CTO524324 DDK524299:DDK524324 DNG524299:DNG524324 DXC524299:DXC524324 EGY524299:EGY524324 EQU524299:EQU524324 FAQ524299:FAQ524324 FKM524299:FKM524324 FUI524299:FUI524324 GEE524299:GEE524324 GOA524299:GOA524324 GXW524299:GXW524324 HHS524299:HHS524324 HRO524299:HRO524324 IBK524299:IBK524324 ILG524299:ILG524324 IVC524299:IVC524324 JEY524299:JEY524324 JOU524299:JOU524324 JYQ524299:JYQ524324 KIM524299:KIM524324 KSI524299:KSI524324 LCE524299:LCE524324 LMA524299:LMA524324 LVW524299:LVW524324 MFS524299:MFS524324 MPO524299:MPO524324 MZK524299:MZK524324 NJG524299:NJG524324 NTC524299:NTC524324 OCY524299:OCY524324 OMU524299:OMU524324 OWQ524299:OWQ524324 PGM524299:PGM524324 PQI524299:PQI524324 QAE524299:QAE524324 QKA524299:QKA524324 QTW524299:QTW524324 RDS524299:RDS524324 RNO524299:RNO524324 RXK524299:RXK524324 SHG524299:SHG524324 SRC524299:SRC524324 TAY524299:TAY524324 TKU524299:TKU524324 TUQ524299:TUQ524324 UEM524299:UEM524324 UOI524299:UOI524324 UYE524299:UYE524324 VIA524299:VIA524324 VRW524299:VRW524324 WBS524299:WBS524324 WLO524299:WLO524324 WVK524299:WVK524324 C589835:C589860 IY589835:IY589860 SU589835:SU589860 ACQ589835:ACQ589860 AMM589835:AMM589860 AWI589835:AWI589860 BGE589835:BGE589860 BQA589835:BQA589860 BZW589835:BZW589860 CJS589835:CJS589860 CTO589835:CTO589860 DDK589835:DDK589860 DNG589835:DNG589860 DXC589835:DXC589860 EGY589835:EGY589860 EQU589835:EQU589860 FAQ589835:FAQ589860 FKM589835:FKM589860 FUI589835:FUI589860 GEE589835:GEE589860 GOA589835:GOA589860 GXW589835:GXW589860 HHS589835:HHS589860 HRO589835:HRO589860 IBK589835:IBK589860 ILG589835:ILG589860 IVC589835:IVC589860 JEY589835:JEY589860 JOU589835:JOU589860 JYQ589835:JYQ589860 KIM589835:KIM589860 KSI589835:KSI589860 LCE589835:LCE589860 LMA589835:LMA589860 LVW589835:LVW589860 MFS589835:MFS589860 MPO589835:MPO589860 MZK589835:MZK589860 NJG589835:NJG589860 NTC589835:NTC589860 OCY589835:OCY589860 OMU589835:OMU589860 OWQ589835:OWQ589860 PGM589835:PGM589860 PQI589835:PQI589860 QAE589835:QAE589860 QKA589835:QKA589860 QTW589835:QTW589860 RDS589835:RDS589860 RNO589835:RNO589860 RXK589835:RXK589860 SHG589835:SHG589860 SRC589835:SRC589860 TAY589835:TAY589860 TKU589835:TKU589860 TUQ589835:TUQ589860 UEM589835:UEM589860 UOI589835:UOI589860 UYE589835:UYE589860 VIA589835:VIA589860 VRW589835:VRW589860 WBS589835:WBS589860 WLO589835:WLO589860 WVK589835:WVK589860 C655371:C655396 IY655371:IY655396 SU655371:SU655396 ACQ655371:ACQ655396 AMM655371:AMM655396 AWI655371:AWI655396 BGE655371:BGE655396 BQA655371:BQA655396 BZW655371:BZW655396 CJS655371:CJS655396 CTO655371:CTO655396 DDK655371:DDK655396 DNG655371:DNG655396 DXC655371:DXC655396 EGY655371:EGY655396 EQU655371:EQU655396 FAQ655371:FAQ655396 FKM655371:FKM655396 FUI655371:FUI655396 GEE655371:GEE655396 GOA655371:GOA655396 GXW655371:GXW655396 HHS655371:HHS655396 HRO655371:HRO655396 IBK655371:IBK655396 ILG655371:ILG655396 IVC655371:IVC655396 JEY655371:JEY655396 JOU655371:JOU655396 JYQ655371:JYQ655396 KIM655371:KIM655396 KSI655371:KSI655396 LCE655371:LCE655396 LMA655371:LMA655396 LVW655371:LVW655396 MFS655371:MFS655396 MPO655371:MPO655396 MZK655371:MZK655396 NJG655371:NJG655396 NTC655371:NTC655396 OCY655371:OCY655396 OMU655371:OMU655396 OWQ655371:OWQ655396 PGM655371:PGM655396 PQI655371:PQI655396 QAE655371:QAE655396 QKA655371:QKA655396 QTW655371:QTW655396 RDS655371:RDS655396 RNO655371:RNO655396 RXK655371:RXK655396 SHG655371:SHG655396 SRC655371:SRC655396 TAY655371:TAY655396 TKU655371:TKU655396 TUQ655371:TUQ655396 UEM655371:UEM655396 UOI655371:UOI655396 UYE655371:UYE655396 VIA655371:VIA655396 VRW655371:VRW655396 WBS655371:WBS655396 WLO655371:WLO655396 WVK655371:WVK655396 C720907:C720932 IY720907:IY720932 SU720907:SU720932 ACQ720907:ACQ720932 AMM720907:AMM720932 AWI720907:AWI720932 BGE720907:BGE720932 BQA720907:BQA720932 BZW720907:BZW720932 CJS720907:CJS720932 CTO720907:CTO720932 DDK720907:DDK720932 DNG720907:DNG720932 DXC720907:DXC720932 EGY720907:EGY720932 EQU720907:EQU720932 FAQ720907:FAQ720932 FKM720907:FKM720932 FUI720907:FUI720932 GEE720907:GEE720932 GOA720907:GOA720932 GXW720907:GXW720932 HHS720907:HHS720932 HRO720907:HRO720932 IBK720907:IBK720932 ILG720907:ILG720932 IVC720907:IVC720932 JEY720907:JEY720932 JOU720907:JOU720932 JYQ720907:JYQ720932 KIM720907:KIM720932 KSI720907:KSI720932 LCE720907:LCE720932 LMA720907:LMA720932 LVW720907:LVW720932 MFS720907:MFS720932 MPO720907:MPO720932 MZK720907:MZK720932 NJG720907:NJG720932 NTC720907:NTC720932 OCY720907:OCY720932 OMU720907:OMU720932 OWQ720907:OWQ720932 PGM720907:PGM720932 PQI720907:PQI720932 QAE720907:QAE720932 QKA720907:QKA720932 QTW720907:QTW720932 RDS720907:RDS720932 RNO720907:RNO720932 RXK720907:RXK720932 SHG720907:SHG720932 SRC720907:SRC720932 TAY720907:TAY720932 TKU720907:TKU720932 TUQ720907:TUQ720932 UEM720907:UEM720932 UOI720907:UOI720932 UYE720907:UYE720932 VIA720907:VIA720932 VRW720907:VRW720932 WBS720907:WBS720932 WLO720907:WLO720932 WVK720907:WVK720932 C786443:C786468 IY786443:IY786468 SU786443:SU786468 ACQ786443:ACQ786468 AMM786443:AMM786468 AWI786443:AWI786468 BGE786443:BGE786468 BQA786443:BQA786468 BZW786443:BZW786468 CJS786443:CJS786468 CTO786443:CTO786468 DDK786443:DDK786468 DNG786443:DNG786468 DXC786443:DXC786468 EGY786443:EGY786468 EQU786443:EQU786468 FAQ786443:FAQ786468 FKM786443:FKM786468 FUI786443:FUI786468 GEE786443:GEE786468 GOA786443:GOA786468 GXW786443:GXW786468 HHS786443:HHS786468 HRO786443:HRO786468 IBK786443:IBK786468 ILG786443:ILG786468 IVC786443:IVC786468 JEY786443:JEY786468 JOU786443:JOU786468 JYQ786443:JYQ786468 KIM786443:KIM786468 KSI786443:KSI786468 LCE786443:LCE786468 LMA786443:LMA786468 LVW786443:LVW786468 MFS786443:MFS786468 MPO786443:MPO786468 MZK786443:MZK786468 NJG786443:NJG786468 NTC786443:NTC786468 OCY786443:OCY786468 OMU786443:OMU786468 OWQ786443:OWQ786468 PGM786443:PGM786468 PQI786443:PQI786468 QAE786443:QAE786468 QKA786443:QKA786468 QTW786443:QTW786468 RDS786443:RDS786468 RNO786443:RNO786468 RXK786443:RXK786468 SHG786443:SHG786468 SRC786443:SRC786468 TAY786443:TAY786468 TKU786443:TKU786468 TUQ786443:TUQ786468 UEM786443:UEM786468 UOI786443:UOI786468 UYE786443:UYE786468 VIA786443:VIA786468 VRW786443:VRW786468 WBS786443:WBS786468 WLO786443:WLO786468 WVK786443:WVK786468 C851979:C852004 IY851979:IY852004 SU851979:SU852004 ACQ851979:ACQ852004 AMM851979:AMM852004 AWI851979:AWI852004 BGE851979:BGE852004 BQA851979:BQA852004 BZW851979:BZW852004 CJS851979:CJS852004 CTO851979:CTO852004 DDK851979:DDK852004 DNG851979:DNG852004 DXC851979:DXC852004 EGY851979:EGY852004 EQU851979:EQU852004 FAQ851979:FAQ852004 FKM851979:FKM852004 FUI851979:FUI852004 GEE851979:GEE852004 GOA851979:GOA852004 GXW851979:GXW852004 HHS851979:HHS852004 HRO851979:HRO852004 IBK851979:IBK852004 ILG851979:ILG852004 IVC851979:IVC852004 JEY851979:JEY852004 JOU851979:JOU852004 JYQ851979:JYQ852004 KIM851979:KIM852004 KSI851979:KSI852004 LCE851979:LCE852004 LMA851979:LMA852004 LVW851979:LVW852004 MFS851979:MFS852004 MPO851979:MPO852004 MZK851979:MZK852004 NJG851979:NJG852004 NTC851979:NTC852004 OCY851979:OCY852004 OMU851979:OMU852004 OWQ851979:OWQ852004 PGM851979:PGM852004 PQI851979:PQI852004 QAE851979:QAE852004 QKA851979:QKA852004 QTW851979:QTW852004 RDS851979:RDS852004 RNO851979:RNO852004 RXK851979:RXK852004 SHG851979:SHG852004 SRC851979:SRC852004 TAY851979:TAY852004 TKU851979:TKU852004 TUQ851979:TUQ852004 UEM851979:UEM852004 UOI851979:UOI852004 UYE851979:UYE852004 VIA851979:VIA852004 VRW851979:VRW852004 WBS851979:WBS852004 WLO851979:WLO852004 WVK851979:WVK852004 C917515:C917540 IY917515:IY917540 SU917515:SU917540 ACQ917515:ACQ917540 AMM917515:AMM917540 AWI917515:AWI917540 BGE917515:BGE917540 BQA917515:BQA917540 BZW917515:BZW917540 CJS917515:CJS917540 CTO917515:CTO917540 DDK917515:DDK917540 DNG917515:DNG917540 DXC917515:DXC917540 EGY917515:EGY917540 EQU917515:EQU917540 FAQ917515:FAQ917540 FKM917515:FKM917540 FUI917515:FUI917540 GEE917515:GEE917540 GOA917515:GOA917540 GXW917515:GXW917540 HHS917515:HHS917540 HRO917515:HRO917540 IBK917515:IBK917540 ILG917515:ILG917540 IVC917515:IVC917540 JEY917515:JEY917540 JOU917515:JOU917540 JYQ917515:JYQ917540 KIM917515:KIM917540 KSI917515:KSI917540 LCE917515:LCE917540 LMA917515:LMA917540 LVW917515:LVW917540 MFS917515:MFS917540 MPO917515:MPO917540 MZK917515:MZK917540 NJG917515:NJG917540 NTC917515:NTC917540 OCY917515:OCY917540 OMU917515:OMU917540 OWQ917515:OWQ917540 PGM917515:PGM917540 PQI917515:PQI917540 QAE917515:QAE917540 QKA917515:QKA917540 QTW917515:QTW917540 RDS917515:RDS917540 RNO917515:RNO917540 RXK917515:RXK917540 SHG917515:SHG917540 SRC917515:SRC917540 TAY917515:TAY917540 TKU917515:TKU917540 TUQ917515:TUQ917540 UEM917515:UEM917540 UOI917515:UOI917540 UYE917515:UYE917540 VIA917515:VIA917540 VRW917515:VRW917540 WBS917515:WBS917540 WLO917515:WLO917540 WVK917515:WVK917540 C983051:C983076 IY983051:IY983076 SU983051:SU983076 ACQ983051:ACQ983076 AMM983051:AMM983076 AWI983051:AWI983076 BGE983051:BGE983076 BQA983051:BQA983076 BZW983051:BZW983076 CJS983051:CJS983076 CTO983051:CTO983076 DDK983051:DDK983076 DNG983051:DNG983076 DXC983051:DXC983076 EGY983051:EGY983076 EQU983051:EQU983076 FAQ983051:FAQ983076 FKM983051:FKM983076 FUI983051:FUI983076 GEE983051:GEE983076 GOA983051:GOA983076 GXW983051:GXW983076 HHS983051:HHS983076 HRO983051:HRO983076 IBK983051:IBK983076 ILG983051:ILG983076 IVC983051:IVC983076 JEY983051:JEY983076 JOU983051:JOU983076 JYQ983051:JYQ983076 KIM983051:KIM983076 KSI983051:KSI983076 LCE983051:LCE983076 LMA983051:LMA983076 LVW983051:LVW983076 MFS983051:MFS983076 MPO983051:MPO983076 MZK983051:MZK983076 NJG983051:NJG983076 NTC983051:NTC983076 OCY983051:OCY983076 OMU983051:OMU983076 OWQ983051:OWQ983076 PGM983051:PGM983076 PQI983051:PQI983076 QAE983051:QAE983076 QKA983051:QKA983076 QTW983051:QTW983076 RDS983051:RDS983076 RNO983051:RNO983076 RXK983051:RXK983076 SHG983051:SHG983076 SRC983051:SRC983076 TAY983051:TAY983076 TKU983051:TKU983076 TUQ983051:TUQ983076 UEM983051:UEM983076 UOI983051:UOI983076 UYE983051:UYE983076 VIA983051:VIA983076 VRW983051:VRW983076 WBS983051:WBS983076 WLO983051:WLO983076 WVK983051:WVK983076 D12:E36 IZ12:JA36 SV12:SW36 ACR12:ACS36 AMN12:AMO36 AWJ12:AWK36 BGF12:BGG36 BQB12:BQC36 BZX12:BZY36 CJT12:CJU36 CTP12:CTQ36 DDL12:DDM36 DNH12:DNI36 DXD12:DXE36 EGZ12:EHA36 EQV12:EQW36 FAR12:FAS36 FKN12:FKO36 FUJ12:FUK36 GEF12:GEG36 GOB12:GOC36 GXX12:GXY36 HHT12:HHU36 HRP12:HRQ36 IBL12:IBM36 ILH12:ILI36 IVD12:IVE36 JEZ12:JFA36 JOV12:JOW36 JYR12:JYS36 KIN12:KIO36 KSJ12:KSK36 LCF12:LCG36 LMB12:LMC36 LVX12:LVY36 MFT12:MFU36 MPP12:MPQ36 MZL12:MZM36 NJH12:NJI36 NTD12:NTE36 OCZ12:ODA36 OMV12:OMW36 OWR12:OWS36 PGN12:PGO36 PQJ12:PQK36 QAF12:QAG36 QKB12:QKC36 QTX12:QTY36 RDT12:RDU36 RNP12:RNQ36 RXL12:RXM36 SHH12:SHI36 SRD12:SRE36 TAZ12:TBA36 TKV12:TKW36 TUR12:TUS36 UEN12:UEO36 UOJ12:UOK36 UYF12:UYG36 VIB12:VIC36 VRX12:VRY36 WBT12:WBU36 WLP12:WLQ36 WVL12:WVM36 D65548:E65572 IZ65548:JA65572 SV65548:SW65572 ACR65548:ACS65572 AMN65548:AMO65572 AWJ65548:AWK65572 BGF65548:BGG65572 BQB65548:BQC65572 BZX65548:BZY65572 CJT65548:CJU65572 CTP65548:CTQ65572 DDL65548:DDM65572 DNH65548:DNI65572 DXD65548:DXE65572 EGZ65548:EHA65572 EQV65548:EQW65572 FAR65548:FAS65572 FKN65548:FKO65572 FUJ65548:FUK65572 GEF65548:GEG65572 GOB65548:GOC65572 GXX65548:GXY65572 HHT65548:HHU65572 HRP65548:HRQ65572 IBL65548:IBM65572 ILH65548:ILI65572 IVD65548:IVE65572 JEZ65548:JFA65572 JOV65548:JOW65572 JYR65548:JYS65572 KIN65548:KIO65572 KSJ65548:KSK65572 LCF65548:LCG65572 LMB65548:LMC65572 LVX65548:LVY65572 MFT65548:MFU65572 MPP65548:MPQ65572 MZL65548:MZM65572 NJH65548:NJI65572 NTD65548:NTE65572 OCZ65548:ODA65572 OMV65548:OMW65572 OWR65548:OWS65572 PGN65548:PGO65572 PQJ65548:PQK65572 QAF65548:QAG65572 QKB65548:QKC65572 QTX65548:QTY65572 RDT65548:RDU65572 RNP65548:RNQ65572 RXL65548:RXM65572 SHH65548:SHI65572 SRD65548:SRE65572 TAZ65548:TBA65572 TKV65548:TKW65572 TUR65548:TUS65572 UEN65548:UEO65572 UOJ65548:UOK65572 UYF65548:UYG65572 VIB65548:VIC65572 VRX65548:VRY65572 WBT65548:WBU65572 WLP65548:WLQ65572 WVL65548:WVM65572 D131084:E131108 IZ131084:JA131108 SV131084:SW131108 ACR131084:ACS131108 AMN131084:AMO131108 AWJ131084:AWK131108 BGF131084:BGG131108 BQB131084:BQC131108 BZX131084:BZY131108 CJT131084:CJU131108 CTP131084:CTQ131108 DDL131084:DDM131108 DNH131084:DNI131108 DXD131084:DXE131108 EGZ131084:EHA131108 EQV131084:EQW131108 FAR131084:FAS131108 FKN131084:FKO131108 FUJ131084:FUK131108 GEF131084:GEG131108 GOB131084:GOC131108 GXX131084:GXY131108 HHT131084:HHU131108 HRP131084:HRQ131108 IBL131084:IBM131108 ILH131084:ILI131108 IVD131084:IVE131108 JEZ131084:JFA131108 JOV131084:JOW131108 JYR131084:JYS131108 KIN131084:KIO131108 KSJ131084:KSK131108 LCF131084:LCG131108 LMB131084:LMC131108 LVX131084:LVY131108 MFT131084:MFU131108 MPP131084:MPQ131108 MZL131084:MZM131108 NJH131084:NJI131108 NTD131084:NTE131108 OCZ131084:ODA131108 OMV131084:OMW131108 OWR131084:OWS131108 PGN131084:PGO131108 PQJ131084:PQK131108 QAF131084:QAG131108 QKB131084:QKC131108 QTX131084:QTY131108 RDT131084:RDU131108 RNP131084:RNQ131108 RXL131084:RXM131108 SHH131084:SHI131108 SRD131084:SRE131108 TAZ131084:TBA131108 TKV131084:TKW131108 TUR131084:TUS131108 UEN131084:UEO131108 UOJ131084:UOK131108 UYF131084:UYG131108 VIB131084:VIC131108 VRX131084:VRY131108 WBT131084:WBU131108 WLP131084:WLQ131108 WVL131084:WVM131108 D196620:E196644 IZ196620:JA196644 SV196620:SW196644 ACR196620:ACS196644 AMN196620:AMO196644 AWJ196620:AWK196644 BGF196620:BGG196644 BQB196620:BQC196644 BZX196620:BZY196644 CJT196620:CJU196644 CTP196620:CTQ196644 DDL196620:DDM196644 DNH196620:DNI196644 DXD196620:DXE196644 EGZ196620:EHA196644 EQV196620:EQW196644 FAR196620:FAS196644 FKN196620:FKO196644 FUJ196620:FUK196644 GEF196620:GEG196644 GOB196620:GOC196644 GXX196620:GXY196644 HHT196620:HHU196644 HRP196620:HRQ196644 IBL196620:IBM196644 ILH196620:ILI196644 IVD196620:IVE196644 JEZ196620:JFA196644 JOV196620:JOW196644 JYR196620:JYS196644 KIN196620:KIO196644 KSJ196620:KSK196644 LCF196620:LCG196644 LMB196620:LMC196644 LVX196620:LVY196644 MFT196620:MFU196644 MPP196620:MPQ196644 MZL196620:MZM196644 NJH196620:NJI196644 NTD196620:NTE196644 OCZ196620:ODA196644 OMV196620:OMW196644 OWR196620:OWS196644 PGN196620:PGO196644 PQJ196620:PQK196644 QAF196620:QAG196644 QKB196620:QKC196644 QTX196620:QTY196644 RDT196620:RDU196644 RNP196620:RNQ196644 RXL196620:RXM196644 SHH196620:SHI196644 SRD196620:SRE196644 TAZ196620:TBA196644 TKV196620:TKW196644 TUR196620:TUS196644 UEN196620:UEO196644 UOJ196620:UOK196644 UYF196620:UYG196644 VIB196620:VIC196644 VRX196620:VRY196644 WBT196620:WBU196644 WLP196620:WLQ196644 WVL196620:WVM196644 D262156:E262180 IZ262156:JA262180 SV262156:SW262180 ACR262156:ACS262180 AMN262156:AMO262180 AWJ262156:AWK262180 BGF262156:BGG262180 BQB262156:BQC262180 BZX262156:BZY262180 CJT262156:CJU262180 CTP262156:CTQ262180 DDL262156:DDM262180 DNH262156:DNI262180 DXD262156:DXE262180 EGZ262156:EHA262180 EQV262156:EQW262180 FAR262156:FAS262180 FKN262156:FKO262180 FUJ262156:FUK262180 GEF262156:GEG262180 GOB262156:GOC262180 GXX262156:GXY262180 HHT262156:HHU262180 HRP262156:HRQ262180 IBL262156:IBM262180 ILH262156:ILI262180 IVD262156:IVE262180 JEZ262156:JFA262180 JOV262156:JOW262180 JYR262156:JYS262180 KIN262156:KIO262180 KSJ262156:KSK262180 LCF262156:LCG262180 LMB262156:LMC262180 LVX262156:LVY262180 MFT262156:MFU262180 MPP262156:MPQ262180 MZL262156:MZM262180 NJH262156:NJI262180 NTD262156:NTE262180 OCZ262156:ODA262180 OMV262156:OMW262180 OWR262156:OWS262180 PGN262156:PGO262180 PQJ262156:PQK262180 QAF262156:QAG262180 QKB262156:QKC262180 QTX262156:QTY262180 RDT262156:RDU262180 RNP262156:RNQ262180 RXL262156:RXM262180 SHH262156:SHI262180 SRD262156:SRE262180 TAZ262156:TBA262180 TKV262156:TKW262180 TUR262156:TUS262180 UEN262156:UEO262180 UOJ262156:UOK262180 UYF262156:UYG262180 VIB262156:VIC262180 VRX262156:VRY262180 WBT262156:WBU262180 WLP262156:WLQ262180 WVL262156:WVM262180 D327692:E327716 IZ327692:JA327716 SV327692:SW327716 ACR327692:ACS327716 AMN327692:AMO327716 AWJ327692:AWK327716 BGF327692:BGG327716 BQB327692:BQC327716 BZX327692:BZY327716 CJT327692:CJU327716 CTP327692:CTQ327716 DDL327692:DDM327716 DNH327692:DNI327716 DXD327692:DXE327716 EGZ327692:EHA327716 EQV327692:EQW327716 FAR327692:FAS327716 FKN327692:FKO327716 FUJ327692:FUK327716 GEF327692:GEG327716 GOB327692:GOC327716 GXX327692:GXY327716 HHT327692:HHU327716 HRP327692:HRQ327716 IBL327692:IBM327716 ILH327692:ILI327716 IVD327692:IVE327716 JEZ327692:JFA327716 JOV327692:JOW327716 JYR327692:JYS327716 KIN327692:KIO327716 KSJ327692:KSK327716 LCF327692:LCG327716 LMB327692:LMC327716 LVX327692:LVY327716 MFT327692:MFU327716 MPP327692:MPQ327716 MZL327692:MZM327716 NJH327692:NJI327716 NTD327692:NTE327716 OCZ327692:ODA327716 OMV327692:OMW327716 OWR327692:OWS327716 PGN327692:PGO327716 PQJ327692:PQK327716 QAF327692:QAG327716 QKB327692:QKC327716 QTX327692:QTY327716 RDT327692:RDU327716 RNP327692:RNQ327716 RXL327692:RXM327716 SHH327692:SHI327716 SRD327692:SRE327716 TAZ327692:TBA327716 TKV327692:TKW327716 TUR327692:TUS327716 UEN327692:UEO327716 UOJ327692:UOK327716 UYF327692:UYG327716 VIB327692:VIC327716 VRX327692:VRY327716 WBT327692:WBU327716 WLP327692:WLQ327716 WVL327692:WVM327716 D393228:E393252 IZ393228:JA393252 SV393228:SW393252 ACR393228:ACS393252 AMN393228:AMO393252 AWJ393228:AWK393252 BGF393228:BGG393252 BQB393228:BQC393252 BZX393228:BZY393252 CJT393228:CJU393252 CTP393228:CTQ393252 DDL393228:DDM393252 DNH393228:DNI393252 DXD393228:DXE393252 EGZ393228:EHA393252 EQV393228:EQW393252 FAR393228:FAS393252 FKN393228:FKO393252 FUJ393228:FUK393252 GEF393228:GEG393252 GOB393228:GOC393252 GXX393228:GXY393252 HHT393228:HHU393252 HRP393228:HRQ393252 IBL393228:IBM393252 ILH393228:ILI393252 IVD393228:IVE393252 JEZ393228:JFA393252 JOV393228:JOW393252 JYR393228:JYS393252 KIN393228:KIO393252 KSJ393228:KSK393252 LCF393228:LCG393252 LMB393228:LMC393252 LVX393228:LVY393252 MFT393228:MFU393252 MPP393228:MPQ393252 MZL393228:MZM393252 NJH393228:NJI393252 NTD393228:NTE393252 OCZ393228:ODA393252 OMV393228:OMW393252 OWR393228:OWS393252 PGN393228:PGO393252 PQJ393228:PQK393252 QAF393228:QAG393252 QKB393228:QKC393252 QTX393228:QTY393252 RDT393228:RDU393252 RNP393228:RNQ393252 RXL393228:RXM393252 SHH393228:SHI393252 SRD393228:SRE393252 TAZ393228:TBA393252 TKV393228:TKW393252 TUR393228:TUS393252 UEN393228:UEO393252 UOJ393228:UOK393252 UYF393228:UYG393252 VIB393228:VIC393252 VRX393228:VRY393252 WBT393228:WBU393252 WLP393228:WLQ393252 WVL393228:WVM393252 D458764:E458788 IZ458764:JA458788 SV458764:SW458788 ACR458764:ACS458788 AMN458764:AMO458788 AWJ458764:AWK458788 BGF458764:BGG458788 BQB458764:BQC458788 BZX458764:BZY458788 CJT458764:CJU458788 CTP458764:CTQ458788 DDL458764:DDM458788 DNH458764:DNI458788 DXD458764:DXE458788 EGZ458764:EHA458788 EQV458764:EQW458788 FAR458764:FAS458788 FKN458764:FKO458788 FUJ458764:FUK458788 GEF458764:GEG458788 GOB458764:GOC458788 GXX458764:GXY458788 HHT458764:HHU458788 HRP458764:HRQ458788 IBL458764:IBM458788 ILH458764:ILI458788 IVD458764:IVE458788 JEZ458764:JFA458788 JOV458764:JOW458788 JYR458764:JYS458788 KIN458764:KIO458788 KSJ458764:KSK458788 LCF458764:LCG458788 LMB458764:LMC458788 LVX458764:LVY458788 MFT458764:MFU458788 MPP458764:MPQ458788 MZL458764:MZM458788 NJH458764:NJI458788 NTD458764:NTE458788 OCZ458764:ODA458788 OMV458764:OMW458788 OWR458764:OWS458788 PGN458764:PGO458788 PQJ458764:PQK458788 QAF458764:QAG458788 QKB458764:QKC458788 QTX458764:QTY458788 RDT458764:RDU458788 RNP458764:RNQ458788 RXL458764:RXM458788 SHH458764:SHI458788 SRD458764:SRE458788 TAZ458764:TBA458788 TKV458764:TKW458788 TUR458764:TUS458788 UEN458764:UEO458788 UOJ458764:UOK458788 UYF458764:UYG458788 VIB458764:VIC458788 VRX458764:VRY458788 WBT458764:WBU458788 WLP458764:WLQ458788 WVL458764:WVM458788 D524300:E524324 IZ524300:JA524324 SV524300:SW524324 ACR524300:ACS524324 AMN524300:AMO524324 AWJ524300:AWK524324 BGF524300:BGG524324 BQB524300:BQC524324 BZX524300:BZY524324 CJT524300:CJU524324 CTP524300:CTQ524324 DDL524300:DDM524324 DNH524300:DNI524324 DXD524300:DXE524324 EGZ524300:EHA524324 EQV524300:EQW524324 FAR524300:FAS524324 FKN524300:FKO524324 FUJ524300:FUK524324 GEF524300:GEG524324 GOB524300:GOC524324 GXX524300:GXY524324 HHT524300:HHU524324 HRP524300:HRQ524324 IBL524300:IBM524324 ILH524300:ILI524324 IVD524300:IVE524324 JEZ524300:JFA524324 JOV524300:JOW524324 JYR524300:JYS524324 KIN524300:KIO524324 KSJ524300:KSK524324 LCF524300:LCG524324 LMB524300:LMC524324 LVX524300:LVY524324 MFT524300:MFU524324 MPP524300:MPQ524324 MZL524300:MZM524324 NJH524300:NJI524324 NTD524300:NTE524324 OCZ524300:ODA524324 OMV524300:OMW524324 OWR524300:OWS524324 PGN524300:PGO524324 PQJ524300:PQK524324 QAF524300:QAG524324 QKB524300:QKC524324 QTX524300:QTY524324 RDT524300:RDU524324 RNP524300:RNQ524324 RXL524300:RXM524324 SHH524300:SHI524324 SRD524300:SRE524324 TAZ524300:TBA524324 TKV524300:TKW524324 TUR524300:TUS524324 UEN524300:UEO524324 UOJ524300:UOK524324 UYF524300:UYG524324 VIB524300:VIC524324 VRX524300:VRY524324 WBT524300:WBU524324 WLP524300:WLQ524324 WVL524300:WVM524324 D589836:E589860 IZ589836:JA589860 SV589836:SW589860 ACR589836:ACS589860 AMN589836:AMO589860 AWJ589836:AWK589860 BGF589836:BGG589860 BQB589836:BQC589860 BZX589836:BZY589860 CJT589836:CJU589860 CTP589836:CTQ589860 DDL589836:DDM589860 DNH589836:DNI589860 DXD589836:DXE589860 EGZ589836:EHA589860 EQV589836:EQW589860 FAR589836:FAS589860 FKN589836:FKO589860 FUJ589836:FUK589860 GEF589836:GEG589860 GOB589836:GOC589860 GXX589836:GXY589860 HHT589836:HHU589860 HRP589836:HRQ589860 IBL589836:IBM589860 ILH589836:ILI589860 IVD589836:IVE589860 JEZ589836:JFA589860 JOV589836:JOW589860 JYR589836:JYS589860 KIN589836:KIO589860 KSJ589836:KSK589860 LCF589836:LCG589860 LMB589836:LMC589860 LVX589836:LVY589860 MFT589836:MFU589860 MPP589836:MPQ589860 MZL589836:MZM589860 NJH589836:NJI589860 NTD589836:NTE589860 OCZ589836:ODA589860 OMV589836:OMW589860 OWR589836:OWS589860 PGN589836:PGO589860 PQJ589836:PQK589860 QAF589836:QAG589860 QKB589836:QKC589860 QTX589836:QTY589860 RDT589836:RDU589860 RNP589836:RNQ589860 RXL589836:RXM589860 SHH589836:SHI589860 SRD589836:SRE589860 TAZ589836:TBA589860 TKV589836:TKW589860 TUR589836:TUS589860 UEN589836:UEO589860 UOJ589836:UOK589860 UYF589836:UYG589860 VIB589836:VIC589860 VRX589836:VRY589860 WBT589836:WBU589860 WLP589836:WLQ589860 WVL589836:WVM589860 D655372:E655396 IZ655372:JA655396 SV655372:SW655396 ACR655372:ACS655396 AMN655372:AMO655396 AWJ655372:AWK655396 BGF655372:BGG655396 BQB655372:BQC655396 BZX655372:BZY655396 CJT655372:CJU655396 CTP655372:CTQ655396 DDL655372:DDM655396 DNH655372:DNI655396 DXD655372:DXE655396 EGZ655372:EHA655396 EQV655372:EQW655396 FAR655372:FAS655396 FKN655372:FKO655396 FUJ655372:FUK655396 GEF655372:GEG655396 GOB655372:GOC655396 GXX655372:GXY655396 HHT655372:HHU655396 HRP655372:HRQ655396 IBL655372:IBM655396 ILH655372:ILI655396 IVD655372:IVE655396 JEZ655372:JFA655396 JOV655372:JOW655396 JYR655372:JYS655396 KIN655372:KIO655396 KSJ655372:KSK655396 LCF655372:LCG655396 LMB655372:LMC655396 LVX655372:LVY655396 MFT655372:MFU655396 MPP655372:MPQ655396 MZL655372:MZM655396 NJH655372:NJI655396 NTD655372:NTE655396 OCZ655372:ODA655396 OMV655372:OMW655396 OWR655372:OWS655396 PGN655372:PGO655396 PQJ655372:PQK655396 QAF655372:QAG655396 QKB655372:QKC655396 QTX655372:QTY655396 RDT655372:RDU655396 RNP655372:RNQ655396 RXL655372:RXM655396 SHH655372:SHI655396 SRD655372:SRE655396 TAZ655372:TBA655396 TKV655372:TKW655396 TUR655372:TUS655396 UEN655372:UEO655396 UOJ655372:UOK655396 UYF655372:UYG655396 VIB655372:VIC655396 VRX655372:VRY655396 WBT655372:WBU655396 WLP655372:WLQ655396 WVL655372:WVM655396 D720908:E720932 IZ720908:JA720932 SV720908:SW720932 ACR720908:ACS720932 AMN720908:AMO720932 AWJ720908:AWK720932 BGF720908:BGG720932 BQB720908:BQC720932 BZX720908:BZY720932 CJT720908:CJU720932 CTP720908:CTQ720932 DDL720908:DDM720932 DNH720908:DNI720932 DXD720908:DXE720932 EGZ720908:EHA720932 EQV720908:EQW720932 FAR720908:FAS720932 FKN720908:FKO720932 FUJ720908:FUK720932 GEF720908:GEG720932 GOB720908:GOC720932 GXX720908:GXY720932 HHT720908:HHU720932 HRP720908:HRQ720932 IBL720908:IBM720932 ILH720908:ILI720932 IVD720908:IVE720932 JEZ720908:JFA720932 JOV720908:JOW720932 JYR720908:JYS720932 KIN720908:KIO720932 KSJ720908:KSK720932 LCF720908:LCG720932 LMB720908:LMC720932 LVX720908:LVY720932 MFT720908:MFU720932 MPP720908:MPQ720932 MZL720908:MZM720932 NJH720908:NJI720932 NTD720908:NTE720932 OCZ720908:ODA720932 OMV720908:OMW720932 OWR720908:OWS720932 PGN720908:PGO720932 PQJ720908:PQK720932 QAF720908:QAG720932 QKB720908:QKC720932 QTX720908:QTY720932 RDT720908:RDU720932 RNP720908:RNQ720932 RXL720908:RXM720932 SHH720908:SHI720932 SRD720908:SRE720932 TAZ720908:TBA720932 TKV720908:TKW720932 TUR720908:TUS720932 UEN720908:UEO720932 UOJ720908:UOK720932 UYF720908:UYG720932 VIB720908:VIC720932 VRX720908:VRY720932 WBT720908:WBU720932 WLP720908:WLQ720932 WVL720908:WVM720932 D786444:E786468 IZ786444:JA786468 SV786444:SW786468 ACR786444:ACS786468 AMN786444:AMO786468 AWJ786444:AWK786468 BGF786444:BGG786468 BQB786444:BQC786468 BZX786444:BZY786468 CJT786444:CJU786468 CTP786444:CTQ786468 DDL786444:DDM786468 DNH786444:DNI786468 DXD786444:DXE786468 EGZ786444:EHA786468 EQV786444:EQW786468 FAR786444:FAS786468 FKN786444:FKO786468 FUJ786444:FUK786468 GEF786444:GEG786468 GOB786444:GOC786468 GXX786444:GXY786468 HHT786444:HHU786468 HRP786444:HRQ786468 IBL786444:IBM786468 ILH786444:ILI786468 IVD786444:IVE786468 JEZ786444:JFA786468 JOV786444:JOW786468 JYR786444:JYS786468 KIN786444:KIO786468 KSJ786444:KSK786468 LCF786444:LCG786468 LMB786444:LMC786468 LVX786444:LVY786468 MFT786444:MFU786468 MPP786444:MPQ786468 MZL786444:MZM786468 NJH786444:NJI786468 NTD786444:NTE786468 OCZ786444:ODA786468 OMV786444:OMW786468 OWR786444:OWS786468 PGN786444:PGO786468 PQJ786444:PQK786468 QAF786444:QAG786468 QKB786444:QKC786468 QTX786444:QTY786468 RDT786444:RDU786468 RNP786444:RNQ786468 RXL786444:RXM786468 SHH786444:SHI786468 SRD786444:SRE786468 TAZ786444:TBA786468 TKV786444:TKW786468 TUR786444:TUS786468 UEN786444:UEO786468 UOJ786444:UOK786468 UYF786444:UYG786468 VIB786444:VIC786468 VRX786444:VRY786468 WBT786444:WBU786468 WLP786444:WLQ786468 WVL786444:WVM786468 D851980:E852004 IZ851980:JA852004 SV851980:SW852004 ACR851980:ACS852004 AMN851980:AMO852004 AWJ851980:AWK852004 BGF851980:BGG852004 BQB851980:BQC852004 BZX851980:BZY852004 CJT851980:CJU852004 CTP851980:CTQ852004 DDL851980:DDM852004 DNH851980:DNI852004 DXD851980:DXE852004 EGZ851980:EHA852004 EQV851980:EQW852004 FAR851980:FAS852004 FKN851980:FKO852004 FUJ851980:FUK852004 GEF851980:GEG852004 GOB851980:GOC852004 GXX851980:GXY852004 HHT851980:HHU852004 HRP851980:HRQ852004 IBL851980:IBM852004 ILH851980:ILI852004 IVD851980:IVE852004 JEZ851980:JFA852004 JOV851980:JOW852004 JYR851980:JYS852004 KIN851980:KIO852004 KSJ851980:KSK852004 LCF851980:LCG852004 LMB851980:LMC852004 LVX851980:LVY852004 MFT851980:MFU852004 MPP851980:MPQ852004 MZL851980:MZM852004 NJH851980:NJI852004 NTD851980:NTE852004 OCZ851980:ODA852004 OMV851980:OMW852004 OWR851980:OWS852004 PGN851980:PGO852004 PQJ851980:PQK852004 QAF851980:QAG852004 QKB851980:QKC852004 QTX851980:QTY852004 RDT851980:RDU852004 RNP851980:RNQ852004 RXL851980:RXM852004 SHH851980:SHI852004 SRD851980:SRE852004 TAZ851980:TBA852004 TKV851980:TKW852004 TUR851980:TUS852004 UEN851980:UEO852004 UOJ851980:UOK852004 UYF851980:UYG852004 VIB851980:VIC852004 VRX851980:VRY852004 WBT851980:WBU852004 WLP851980:WLQ852004 WVL851980:WVM852004 D917516:E917540 IZ917516:JA917540 SV917516:SW917540 ACR917516:ACS917540 AMN917516:AMO917540 AWJ917516:AWK917540 BGF917516:BGG917540 BQB917516:BQC917540 BZX917516:BZY917540 CJT917516:CJU917540 CTP917516:CTQ917540 DDL917516:DDM917540 DNH917516:DNI917540 DXD917516:DXE917540 EGZ917516:EHA917540 EQV917516:EQW917540 FAR917516:FAS917540 FKN917516:FKO917540 FUJ917516:FUK917540 GEF917516:GEG917540 GOB917516:GOC917540 GXX917516:GXY917540 HHT917516:HHU917540 HRP917516:HRQ917540 IBL917516:IBM917540 ILH917516:ILI917540 IVD917516:IVE917540 JEZ917516:JFA917540 JOV917516:JOW917540 JYR917516:JYS917540 KIN917516:KIO917540 KSJ917516:KSK917540 LCF917516:LCG917540 LMB917516:LMC917540 LVX917516:LVY917540 MFT917516:MFU917540 MPP917516:MPQ917540 MZL917516:MZM917540 NJH917516:NJI917540 NTD917516:NTE917540 OCZ917516:ODA917540 OMV917516:OMW917540 OWR917516:OWS917540 PGN917516:PGO917540 PQJ917516:PQK917540 QAF917516:QAG917540 QKB917516:QKC917540 QTX917516:QTY917540 RDT917516:RDU917540 RNP917516:RNQ917540 RXL917516:RXM917540 SHH917516:SHI917540 SRD917516:SRE917540 TAZ917516:TBA917540 TKV917516:TKW917540 TUR917516:TUS917540 UEN917516:UEO917540 UOJ917516:UOK917540 UYF917516:UYG917540 VIB917516:VIC917540 VRX917516:VRY917540 WBT917516:WBU917540 WLP917516:WLQ917540 WVL917516:WVM917540 D983052:E983076 IZ983052:JA983076 SV983052:SW983076 ACR983052:ACS983076 AMN983052:AMO983076 AWJ983052:AWK983076 BGF983052:BGG983076 BQB983052:BQC983076 BZX983052:BZY983076 CJT983052:CJU983076 CTP983052:CTQ983076 DDL983052:DDM983076 DNH983052:DNI983076 DXD983052:DXE983076 EGZ983052:EHA983076 EQV983052:EQW983076 FAR983052:FAS983076 FKN983052:FKO983076 FUJ983052:FUK983076 GEF983052:GEG983076 GOB983052:GOC983076 GXX983052:GXY983076 HHT983052:HHU983076 HRP983052:HRQ983076 IBL983052:IBM983076 ILH983052:ILI983076 IVD983052:IVE983076 JEZ983052:JFA983076 JOV983052:JOW983076 JYR983052:JYS983076 KIN983052:KIO983076 KSJ983052:KSK983076 LCF983052:LCG983076 LMB983052:LMC983076 LVX983052:LVY983076 MFT983052:MFU983076 MPP983052:MPQ983076 MZL983052:MZM983076 NJH983052:NJI983076 NTD983052:NTE983076 OCZ983052:ODA983076 OMV983052:OMW983076 OWR983052:OWS983076 PGN983052:PGO983076 PQJ983052:PQK983076 QAF983052:QAG983076 QKB983052:QKC983076 QTX983052:QTY983076 RDT983052:RDU983076 RNP983052:RNQ983076 RXL983052:RXM983076 SHH983052:SHI983076 SRD983052:SRE983076 TAZ983052:TBA983076 TKV983052:TKW983076 TUR983052:TUS983076 UEN983052:UEO983076 UOJ983052:UOK983076 UYF983052:UYG983076 VIB983052:VIC983076 VRX983052:VRY983076 WBT983052:WBU983076 WLP983052:WLQ983076 WVL983052:WVM983076">
      <formula1>0</formula1>
      <formula2>36</formula2>
    </dataValidation>
  </dataValidations>
  <printOptions verticalCentered="1"/>
  <pageMargins left="0.62992125984251968" right="0.39370078740157483" top="0.47244094488188981" bottom="0.47244094488188981" header="0.51181102362204722" footer="0.51181102362204722"/>
  <pageSetup paperSize="9" scale="99" fitToHeight="0" orientation="portrait" r:id="rId1"/>
  <headerFooter>
    <oddFooter>&amp;C&amp;8&amp;F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CDACE6"/>
  </sheetPr>
  <dimension ref="B1:M29"/>
  <sheetViews>
    <sheetView showGridLines="0" zoomScaleNormal="100" workbookViewId="0">
      <selection activeCell="D9" sqref="D9"/>
    </sheetView>
  </sheetViews>
  <sheetFormatPr baseColWidth="10" defaultRowHeight="15" x14ac:dyDescent="0.25"/>
  <cols>
    <col min="1" max="2" width="2.140625" style="568" customWidth="1"/>
    <col min="3" max="3" width="16.5703125" style="568" customWidth="1"/>
    <col min="4" max="4" width="6.42578125" style="568" customWidth="1"/>
    <col min="5" max="5" width="3.85546875" style="568" customWidth="1"/>
    <col min="6" max="6" width="19" style="568" customWidth="1"/>
    <col min="7" max="7" width="5.85546875" style="568" customWidth="1"/>
    <col min="8" max="8" width="3.85546875" style="568" customWidth="1"/>
    <col min="9" max="9" width="18" style="568" customWidth="1"/>
    <col min="10" max="10" width="6.42578125" style="568" customWidth="1"/>
    <col min="11" max="11" width="3" style="568" customWidth="1"/>
    <col min="12" max="16384" width="11.42578125" style="568"/>
  </cols>
  <sheetData>
    <row r="1" spans="2:12" x14ac:dyDescent="0.25">
      <c r="J1" s="569"/>
    </row>
    <row r="2" spans="2:12" s="574" customFormat="1" ht="18.75" customHeight="1" x14ac:dyDescent="0.25">
      <c r="B2" s="570"/>
      <c r="C2" s="571" t="str">
        <f>Konti_VS!C7</f>
        <v>VS  . . .</v>
      </c>
      <c r="D2" s="571"/>
      <c r="E2" s="571"/>
      <c r="F2" s="571"/>
      <c r="G2" s="571"/>
      <c r="H2" s="571"/>
      <c r="I2" s="571"/>
      <c r="J2" s="572" t="str">
        <f>Konti_VS!H1</f>
        <v>VS für 2024/25</v>
      </c>
      <c r="K2" s="573"/>
    </row>
    <row r="3" spans="2:12" ht="30" customHeight="1" x14ac:dyDescent="0.25">
      <c r="B3" s="955" t="s">
        <v>781</v>
      </c>
      <c r="C3" s="956"/>
      <c r="D3" s="956"/>
      <c r="E3" s="956"/>
      <c r="F3" s="956"/>
      <c r="G3" s="956"/>
      <c r="H3" s="956"/>
      <c r="I3" s="956"/>
      <c r="J3" s="956"/>
      <c r="K3" s="956"/>
    </row>
    <row r="4" spans="2:12" x14ac:dyDescent="0.25">
      <c r="B4" s="575"/>
      <c r="K4" s="576"/>
    </row>
    <row r="5" spans="2:12" x14ac:dyDescent="0.25">
      <c r="B5" s="575"/>
      <c r="C5" s="568" t="str">
        <f>"Anzahl der SuS der Stammschule, welche sich für das Schuljahr 20"&amp;RIGHT(Konti_VS!H1,5)</f>
        <v>Anzahl der SuS der Stammschule, welche sich für das Schuljahr 2024/25</v>
      </c>
      <c r="K5" s="576"/>
    </row>
    <row r="6" spans="2:12" x14ac:dyDescent="0.25">
      <c r="B6" s="575"/>
      <c r="C6" s="871" t="s">
        <v>991</v>
      </c>
      <c r="K6" s="576"/>
    </row>
    <row r="7" spans="2:12" x14ac:dyDescent="0.25">
      <c r="B7" s="575"/>
      <c r="C7" s="568" t="s">
        <v>782</v>
      </c>
      <c r="K7" s="576"/>
    </row>
    <row r="8" spans="2:12" x14ac:dyDescent="0.25">
      <c r="B8" s="575"/>
      <c r="C8" s="577"/>
      <c r="D8" s="577"/>
      <c r="E8" s="577"/>
      <c r="F8" s="577"/>
      <c r="G8" s="577"/>
      <c r="H8" s="577"/>
      <c r="I8" s="578"/>
      <c r="K8" s="576"/>
    </row>
    <row r="9" spans="2:12" x14ac:dyDescent="0.25">
      <c r="B9" s="575"/>
      <c r="C9" s="579" t="s">
        <v>783</v>
      </c>
      <c r="D9" s="580"/>
      <c r="E9" s="581"/>
      <c r="F9" s="579" t="s">
        <v>784</v>
      </c>
      <c r="G9" s="580"/>
      <c r="I9" s="582" t="s">
        <v>785</v>
      </c>
      <c r="J9" s="583"/>
      <c r="K9" s="576"/>
    </row>
    <row r="10" spans="2:12" x14ac:dyDescent="0.25">
      <c r="B10" s="575"/>
      <c r="C10" s="584" t="s">
        <v>786</v>
      </c>
      <c r="D10" s="585"/>
      <c r="E10" s="581"/>
      <c r="F10" s="584" t="s">
        <v>787</v>
      </c>
      <c r="G10" s="585"/>
      <c r="I10" s="860"/>
      <c r="J10" s="585"/>
      <c r="K10" s="576"/>
    </row>
    <row r="11" spans="2:12" x14ac:dyDescent="0.25">
      <c r="B11" s="575"/>
      <c r="C11" s="584" t="s">
        <v>788</v>
      </c>
      <c r="D11" s="585"/>
      <c r="E11" s="581"/>
      <c r="F11" s="584" t="s">
        <v>789</v>
      </c>
      <c r="G11" s="585"/>
      <c r="I11" s="860"/>
      <c r="J11" s="585"/>
      <c r="K11" s="576"/>
    </row>
    <row r="12" spans="2:12" x14ac:dyDescent="0.25">
      <c r="B12" s="575"/>
      <c r="C12" s="584" t="s">
        <v>790</v>
      </c>
      <c r="D12" s="585"/>
      <c r="E12" s="581"/>
      <c r="F12" s="584" t="s">
        <v>791</v>
      </c>
      <c r="G12" s="585"/>
      <c r="I12" s="860"/>
      <c r="J12" s="585"/>
      <c r="K12" s="576"/>
    </row>
    <row r="13" spans="2:12" x14ac:dyDescent="0.25">
      <c r="B13" s="575"/>
      <c r="C13" s="584" t="s">
        <v>792</v>
      </c>
      <c r="D13" s="585"/>
      <c r="E13" s="581"/>
      <c r="F13" s="584" t="s">
        <v>793</v>
      </c>
      <c r="G13" s="585"/>
      <c r="I13" s="860"/>
      <c r="J13" s="585"/>
      <c r="K13" s="576"/>
    </row>
    <row r="14" spans="2:12" x14ac:dyDescent="0.25">
      <c r="B14" s="575"/>
      <c r="C14" s="584" t="s">
        <v>794</v>
      </c>
      <c r="D14" s="585"/>
      <c r="E14" s="581"/>
      <c r="F14" s="584" t="s">
        <v>795</v>
      </c>
      <c r="G14" s="585"/>
      <c r="I14" s="860"/>
      <c r="J14" s="585"/>
      <c r="K14" s="586"/>
      <c r="L14" s="587"/>
    </row>
    <row r="15" spans="2:12" x14ac:dyDescent="0.25">
      <c r="B15" s="575"/>
      <c r="C15" s="584" t="s">
        <v>796</v>
      </c>
      <c r="D15" s="585"/>
      <c r="E15" s="581"/>
      <c r="F15" s="584" t="s">
        <v>797</v>
      </c>
      <c r="G15" s="585"/>
      <c r="I15" s="860"/>
      <c r="J15" s="585"/>
      <c r="K15" s="586"/>
      <c r="L15" s="587"/>
    </row>
    <row r="16" spans="2:12" x14ac:dyDescent="0.25">
      <c r="B16" s="575"/>
      <c r="C16" s="588" t="s">
        <v>798</v>
      </c>
      <c r="D16" s="589"/>
      <c r="E16" s="581"/>
      <c r="F16" s="588" t="s">
        <v>799</v>
      </c>
      <c r="G16" s="589"/>
      <c r="I16" s="861"/>
      <c r="J16" s="589"/>
      <c r="K16" s="576"/>
    </row>
    <row r="17" spans="2:13" x14ac:dyDescent="0.25">
      <c r="B17" s="575"/>
      <c r="D17" s="581"/>
      <c r="E17" s="581"/>
      <c r="F17" s="581"/>
      <c r="G17" s="581"/>
      <c r="K17" s="576"/>
    </row>
    <row r="18" spans="2:13" ht="9" customHeight="1" x14ac:dyDescent="0.25">
      <c r="B18" s="575"/>
      <c r="C18" s="577"/>
      <c r="D18" s="577"/>
      <c r="E18" s="577"/>
      <c r="F18" s="577"/>
      <c r="G18" s="577"/>
      <c r="H18" s="577"/>
      <c r="I18" s="577"/>
      <c r="K18" s="576"/>
      <c r="M18" s="587"/>
    </row>
    <row r="19" spans="2:13" x14ac:dyDescent="0.25">
      <c r="B19" s="575"/>
      <c r="C19" s="568" t="str">
        <f>"Die zum Erstsprachenunterricht angemeldeten Schülerinnnen und Schüler "</f>
        <v xml:space="preserve">Die zum Erstsprachenunterricht angemeldeten Schülerinnnen und Schüler </v>
      </c>
      <c r="K19" s="576"/>
      <c r="M19" s="587"/>
    </row>
    <row r="20" spans="2:13" x14ac:dyDescent="0.25">
      <c r="B20" s="575"/>
      <c r="C20" s="568" t="str">
        <f>"müssen bis zum 30.06.20"&amp;RIGHT(Konti_VS!H1,2)-1&amp;" an Diversitätsmanager Mustafa Can mit Namen, "</f>
        <v xml:space="preserve">müssen bis zum 30.06.2024 an Diversitätsmanager Mustafa Can mit Namen, </v>
      </c>
      <c r="K20" s="576"/>
    </row>
    <row r="21" spans="2:13" x14ac:dyDescent="0.25">
      <c r="B21" s="575"/>
      <c r="C21" s="568" t="s">
        <v>800</v>
      </c>
      <c r="K21" s="576"/>
    </row>
    <row r="22" spans="2:13" x14ac:dyDescent="0.25">
      <c r="B22" s="575"/>
      <c r="C22" s="577"/>
      <c r="D22" s="577"/>
      <c r="E22" s="577"/>
      <c r="F22" s="577"/>
      <c r="G22" s="577"/>
      <c r="H22" s="577"/>
      <c r="I22" s="577"/>
      <c r="K22" s="576"/>
    </row>
    <row r="23" spans="2:13" x14ac:dyDescent="0.25">
      <c r="B23" s="575"/>
      <c r="C23" s="568" t="s">
        <v>801</v>
      </c>
      <c r="K23" s="576"/>
    </row>
    <row r="24" spans="2:13" x14ac:dyDescent="0.25">
      <c r="B24" s="575"/>
      <c r="C24" s="577" t="s">
        <v>802</v>
      </c>
      <c r="D24" s="577"/>
      <c r="E24" s="577"/>
      <c r="F24" s="577"/>
      <c r="G24" s="577"/>
      <c r="H24" s="577"/>
      <c r="I24" s="577"/>
      <c r="K24" s="576"/>
    </row>
    <row r="25" spans="2:13" ht="9" customHeight="1" x14ac:dyDescent="0.25">
      <c r="B25" s="575"/>
      <c r="C25" s="577"/>
      <c r="D25" s="577"/>
      <c r="E25" s="577"/>
      <c r="F25" s="577"/>
      <c r="G25" s="577"/>
      <c r="H25" s="577"/>
      <c r="I25" s="577"/>
      <c r="K25" s="576"/>
    </row>
    <row r="26" spans="2:13" x14ac:dyDescent="0.25">
      <c r="B26" s="575"/>
      <c r="C26" s="590" t="str">
        <f>"Abgabefrist 30.06.20"&amp;RIGHT(Konti_VS!H1,2)-1</f>
        <v>Abgabefrist 30.06.2024</v>
      </c>
      <c r="K26" s="576"/>
    </row>
    <row r="27" spans="2:13" x14ac:dyDescent="0.25">
      <c r="B27" s="575"/>
      <c r="K27" s="576"/>
    </row>
    <row r="28" spans="2:13" ht="21" customHeight="1" x14ac:dyDescent="0.25">
      <c r="B28" s="575"/>
      <c r="C28" s="957" t="s">
        <v>803</v>
      </c>
      <c r="D28" s="957"/>
      <c r="E28" s="957"/>
      <c r="F28" s="957"/>
      <c r="G28" s="957"/>
      <c r="H28" s="957"/>
      <c r="I28" s="957"/>
      <c r="J28" s="957"/>
      <c r="K28" s="576"/>
    </row>
    <row r="29" spans="2:13" x14ac:dyDescent="0.25">
      <c r="B29" s="591"/>
      <c r="C29" s="569"/>
      <c r="D29" s="569"/>
      <c r="E29" s="569"/>
      <c r="F29" s="569"/>
      <c r="G29" s="569"/>
      <c r="H29" s="569"/>
      <c r="I29" s="569"/>
      <c r="J29" s="569"/>
      <c r="K29" s="592"/>
    </row>
  </sheetData>
  <sheetProtection algorithmName="SHA-512" hashValue="nOpfyDgOB80uEYcD96THaX26fY5cj5rZVnnj2Q6kXszdC8400bR0WmqRGujCg+lxa7K4oYqRnlJ3u4mc5SkLvQ==" saltValue="WaZFAqS6b15ZOYUh0Mc5ow==" spinCount="100000" sheet="1" formatRows="0"/>
  <mergeCells count="2">
    <mergeCell ref="B3:K3"/>
    <mergeCell ref="C28:J28"/>
  </mergeCells>
  <conditionalFormatting sqref="D26:I26">
    <cfRule type="cellIs" dxfId="3" priority="1" operator="notEqual">
      <formula>0</formula>
    </cfRule>
  </conditionalFormatting>
  <dataValidations count="1">
    <dataValidation type="whole" allowBlank="1" showInputMessage="1" showErrorMessage="1" sqref="D9:D16 G9:G16 J10:J16">
      <formula1>0</formula1>
      <formula2>100</formula2>
    </dataValidation>
  </dataValidations>
  <hyperlinks>
    <hyperlink ref="C24" r:id="rId1"/>
    <hyperlink ref="C28:J28" r:id="rId2" display="Anmeldeformulare und weiterführende Informationen"/>
  </hyperlink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7"/>
    <pageSetUpPr fitToPage="1"/>
  </sheetPr>
  <dimension ref="A1:Q249"/>
  <sheetViews>
    <sheetView showGridLines="0" showZeros="0" zoomScaleNormal="100" zoomScaleSheetLayoutView="100" workbookViewId="0">
      <pane ySplit="4" topLeftCell="A5" activePane="bottomLeft" state="frozen"/>
      <selection activeCell="U20" sqref="U20"/>
      <selection pane="bottomLeft" activeCell="A5" sqref="A5"/>
    </sheetView>
  </sheetViews>
  <sheetFormatPr baseColWidth="10" defaultColWidth="12.85546875" defaultRowHeight="0" customHeight="1" zeroHeight="1" x14ac:dyDescent="0.25"/>
  <cols>
    <col min="1" max="1" width="25.42578125" style="593" customWidth="1"/>
    <col min="2" max="2" width="17.140625" style="593" customWidth="1"/>
    <col min="3" max="4" width="9.140625" style="593" customWidth="1"/>
    <col min="5" max="5" width="9.140625" style="703" customWidth="1"/>
    <col min="6" max="6" width="1.7109375" style="594" customWidth="1"/>
    <col min="7" max="11" width="10.140625" style="593" customWidth="1"/>
    <col min="12" max="13" width="10.140625" style="647" customWidth="1"/>
    <col min="14" max="14" width="1.140625" style="647" customWidth="1"/>
    <col min="15" max="15" width="10.140625" style="648" customWidth="1"/>
    <col min="16" max="16" width="1.140625" style="595" customWidth="1"/>
    <col min="17" max="17" width="9.28515625" style="593" customWidth="1"/>
    <col min="18" max="244" width="11.7109375" style="593" customWidth="1"/>
    <col min="245" max="254" width="12.85546875" style="593"/>
    <col min="255" max="255" width="25.42578125" style="593" customWidth="1"/>
    <col min="256" max="256" width="17.140625" style="593" customWidth="1"/>
    <col min="257" max="259" width="9.140625" style="593" customWidth="1"/>
    <col min="260" max="260" width="1.7109375" style="593" customWidth="1"/>
    <col min="261" max="262" width="9.140625" style="593" customWidth="1"/>
    <col min="263" max="263" width="1.140625" style="593" customWidth="1"/>
    <col min="264" max="267" width="9.140625" style="593" customWidth="1"/>
    <col min="268" max="268" width="1.140625" style="593" customWidth="1"/>
    <col min="269" max="270" width="9.140625" style="593" customWidth="1"/>
    <col min="271" max="271" width="2" style="593" customWidth="1"/>
    <col min="272" max="272" width="7.5703125" style="593" customWidth="1"/>
    <col min="273" max="500" width="11.7109375" style="593" customWidth="1"/>
    <col min="501" max="510" width="12.85546875" style="593"/>
    <col min="511" max="511" width="25.42578125" style="593" customWidth="1"/>
    <col min="512" max="512" width="17.140625" style="593" customWidth="1"/>
    <col min="513" max="515" width="9.140625" style="593" customWidth="1"/>
    <col min="516" max="516" width="1.7109375" style="593" customWidth="1"/>
    <col min="517" max="518" width="9.140625" style="593" customWidth="1"/>
    <col min="519" max="519" width="1.140625" style="593" customWidth="1"/>
    <col min="520" max="523" width="9.140625" style="593" customWidth="1"/>
    <col min="524" max="524" width="1.140625" style="593" customWidth="1"/>
    <col min="525" max="526" width="9.140625" style="593" customWidth="1"/>
    <col min="527" max="527" width="2" style="593" customWidth="1"/>
    <col min="528" max="528" width="7.5703125" style="593" customWidth="1"/>
    <col min="529" max="756" width="11.7109375" style="593" customWidth="1"/>
    <col min="757" max="766" width="12.85546875" style="593"/>
    <col min="767" max="767" width="25.42578125" style="593" customWidth="1"/>
    <col min="768" max="768" width="17.140625" style="593" customWidth="1"/>
    <col min="769" max="771" width="9.140625" style="593" customWidth="1"/>
    <col min="772" max="772" width="1.7109375" style="593" customWidth="1"/>
    <col min="773" max="774" width="9.140625" style="593" customWidth="1"/>
    <col min="775" max="775" width="1.140625" style="593" customWidth="1"/>
    <col min="776" max="779" width="9.140625" style="593" customWidth="1"/>
    <col min="780" max="780" width="1.140625" style="593" customWidth="1"/>
    <col min="781" max="782" width="9.140625" style="593" customWidth="1"/>
    <col min="783" max="783" width="2" style="593" customWidth="1"/>
    <col min="784" max="784" width="7.5703125" style="593" customWidth="1"/>
    <col min="785" max="1012" width="11.7109375" style="593" customWidth="1"/>
    <col min="1013" max="1022" width="12.85546875" style="593"/>
    <col min="1023" max="1023" width="25.42578125" style="593" customWidth="1"/>
    <col min="1024" max="1024" width="17.140625" style="593" customWidth="1"/>
    <col min="1025" max="1027" width="9.140625" style="593" customWidth="1"/>
    <col min="1028" max="1028" width="1.7109375" style="593" customWidth="1"/>
    <col min="1029" max="1030" width="9.140625" style="593" customWidth="1"/>
    <col min="1031" max="1031" width="1.140625" style="593" customWidth="1"/>
    <col min="1032" max="1035" width="9.140625" style="593" customWidth="1"/>
    <col min="1036" max="1036" width="1.140625" style="593" customWidth="1"/>
    <col min="1037" max="1038" width="9.140625" style="593" customWidth="1"/>
    <col min="1039" max="1039" width="2" style="593" customWidth="1"/>
    <col min="1040" max="1040" width="7.5703125" style="593" customWidth="1"/>
    <col min="1041" max="1268" width="11.7109375" style="593" customWidth="1"/>
    <col min="1269" max="1278" width="12.85546875" style="593"/>
    <col min="1279" max="1279" width="25.42578125" style="593" customWidth="1"/>
    <col min="1280" max="1280" width="17.140625" style="593" customWidth="1"/>
    <col min="1281" max="1283" width="9.140625" style="593" customWidth="1"/>
    <col min="1284" max="1284" width="1.7109375" style="593" customWidth="1"/>
    <col min="1285" max="1286" width="9.140625" style="593" customWidth="1"/>
    <col min="1287" max="1287" width="1.140625" style="593" customWidth="1"/>
    <col min="1288" max="1291" width="9.140625" style="593" customWidth="1"/>
    <col min="1292" max="1292" width="1.140625" style="593" customWidth="1"/>
    <col min="1293" max="1294" width="9.140625" style="593" customWidth="1"/>
    <col min="1295" max="1295" width="2" style="593" customWidth="1"/>
    <col min="1296" max="1296" width="7.5703125" style="593" customWidth="1"/>
    <col min="1297" max="1524" width="11.7109375" style="593" customWidth="1"/>
    <col min="1525" max="1534" width="12.85546875" style="593"/>
    <col min="1535" max="1535" width="25.42578125" style="593" customWidth="1"/>
    <col min="1536" max="1536" width="17.140625" style="593" customWidth="1"/>
    <col min="1537" max="1539" width="9.140625" style="593" customWidth="1"/>
    <col min="1540" max="1540" width="1.7109375" style="593" customWidth="1"/>
    <col min="1541" max="1542" width="9.140625" style="593" customWidth="1"/>
    <col min="1543" max="1543" width="1.140625" style="593" customWidth="1"/>
    <col min="1544" max="1547" width="9.140625" style="593" customWidth="1"/>
    <col min="1548" max="1548" width="1.140625" style="593" customWidth="1"/>
    <col min="1549" max="1550" width="9.140625" style="593" customWidth="1"/>
    <col min="1551" max="1551" width="2" style="593" customWidth="1"/>
    <col min="1552" max="1552" width="7.5703125" style="593" customWidth="1"/>
    <col min="1553" max="1780" width="11.7109375" style="593" customWidth="1"/>
    <col min="1781" max="1790" width="12.85546875" style="593"/>
    <col min="1791" max="1791" width="25.42578125" style="593" customWidth="1"/>
    <col min="1792" max="1792" width="17.140625" style="593" customWidth="1"/>
    <col min="1793" max="1795" width="9.140625" style="593" customWidth="1"/>
    <col min="1796" max="1796" width="1.7109375" style="593" customWidth="1"/>
    <col min="1797" max="1798" width="9.140625" style="593" customWidth="1"/>
    <col min="1799" max="1799" width="1.140625" style="593" customWidth="1"/>
    <col min="1800" max="1803" width="9.140625" style="593" customWidth="1"/>
    <col min="1804" max="1804" width="1.140625" style="593" customWidth="1"/>
    <col min="1805" max="1806" width="9.140625" style="593" customWidth="1"/>
    <col min="1807" max="1807" width="2" style="593" customWidth="1"/>
    <col min="1808" max="1808" width="7.5703125" style="593" customWidth="1"/>
    <col min="1809" max="2036" width="11.7109375" style="593" customWidth="1"/>
    <col min="2037" max="2046" width="12.85546875" style="593"/>
    <col min="2047" max="2047" width="25.42578125" style="593" customWidth="1"/>
    <col min="2048" max="2048" width="17.140625" style="593" customWidth="1"/>
    <col min="2049" max="2051" width="9.140625" style="593" customWidth="1"/>
    <col min="2052" max="2052" width="1.7109375" style="593" customWidth="1"/>
    <col min="2053" max="2054" width="9.140625" style="593" customWidth="1"/>
    <col min="2055" max="2055" width="1.140625" style="593" customWidth="1"/>
    <col min="2056" max="2059" width="9.140625" style="593" customWidth="1"/>
    <col min="2060" max="2060" width="1.140625" style="593" customWidth="1"/>
    <col min="2061" max="2062" width="9.140625" style="593" customWidth="1"/>
    <col min="2063" max="2063" width="2" style="593" customWidth="1"/>
    <col min="2064" max="2064" width="7.5703125" style="593" customWidth="1"/>
    <col min="2065" max="2292" width="11.7109375" style="593" customWidth="1"/>
    <col min="2293" max="2302" width="12.85546875" style="593"/>
    <col min="2303" max="2303" width="25.42578125" style="593" customWidth="1"/>
    <col min="2304" max="2304" width="17.140625" style="593" customWidth="1"/>
    <col min="2305" max="2307" width="9.140625" style="593" customWidth="1"/>
    <col min="2308" max="2308" width="1.7109375" style="593" customWidth="1"/>
    <col min="2309" max="2310" width="9.140625" style="593" customWidth="1"/>
    <col min="2311" max="2311" width="1.140625" style="593" customWidth="1"/>
    <col min="2312" max="2315" width="9.140625" style="593" customWidth="1"/>
    <col min="2316" max="2316" width="1.140625" style="593" customWidth="1"/>
    <col min="2317" max="2318" width="9.140625" style="593" customWidth="1"/>
    <col min="2319" max="2319" width="2" style="593" customWidth="1"/>
    <col min="2320" max="2320" width="7.5703125" style="593" customWidth="1"/>
    <col min="2321" max="2548" width="11.7109375" style="593" customWidth="1"/>
    <col min="2549" max="2558" width="12.85546875" style="593"/>
    <col min="2559" max="2559" width="25.42578125" style="593" customWidth="1"/>
    <col min="2560" max="2560" width="17.140625" style="593" customWidth="1"/>
    <col min="2561" max="2563" width="9.140625" style="593" customWidth="1"/>
    <col min="2564" max="2564" width="1.7109375" style="593" customWidth="1"/>
    <col min="2565" max="2566" width="9.140625" style="593" customWidth="1"/>
    <col min="2567" max="2567" width="1.140625" style="593" customWidth="1"/>
    <col min="2568" max="2571" width="9.140625" style="593" customWidth="1"/>
    <col min="2572" max="2572" width="1.140625" style="593" customWidth="1"/>
    <col min="2573" max="2574" width="9.140625" style="593" customWidth="1"/>
    <col min="2575" max="2575" width="2" style="593" customWidth="1"/>
    <col min="2576" max="2576" width="7.5703125" style="593" customWidth="1"/>
    <col min="2577" max="2804" width="11.7109375" style="593" customWidth="1"/>
    <col min="2805" max="2814" width="12.85546875" style="593"/>
    <col min="2815" max="2815" width="25.42578125" style="593" customWidth="1"/>
    <col min="2816" max="2816" width="17.140625" style="593" customWidth="1"/>
    <col min="2817" max="2819" width="9.140625" style="593" customWidth="1"/>
    <col min="2820" max="2820" width="1.7109375" style="593" customWidth="1"/>
    <col min="2821" max="2822" width="9.140625" style="593" customWidth="1"/>
    <col min="2823" max="2823" width="1.140625" style="593" customWidth="1"/>
    <col min="2824" max="2827" width="9.140625" style="593" customWidth="1"/>
    <col min="2828" max="2828" width="1.140625" style="593" customWidth="1"/>
    <col min="2829" max="2830" width="9.140625" style="593" customWidth="1"/>
    <col min="2831" max="2831" width="2" style="593" customWidth="1"/>
    <col min="2832" max="2832" width="7.5703125" style="593" customWidth="1"/>
    <col min="2833" max="3060" width="11.7109375" style="593" customWidth="1"/>
    <col min="3061" max="3070" width="12.85546875" style="593"/>
    <col min="3071" max="3071" width="25.42578125" style="593" customWidth="1"/>
    <col min="3072" max="3072" width="17.140625" style="593" customWidth="1"/>
    <col min="3073" max="3075" width="9.140625" style="593" customWidth="1"/>
    <col min="3076" max="3076" width="1.7109375" style="593" customWidth="1"/>
    <col min="3077" max="3078" width="9.140625" style="593" customWidth="1"/>
    <col min="3079" max="3079" width="1.140625" style="593" customWidth="1"/>
    <col min="3080" max="3083" width="9.140625" style="593" customWidth="1"/>
    <col min="3084" max="3084" width="1.140625" style="593" customWidth="1"/>
    <col min="3085" max="3086" width="9.140625" style="593" customWidth="1"/>
    <col min="3087" max="3087" width="2" style="593" customWidth="1"/>
    <col min="3088" max="3088" width="7.5703125" style="593" customWidth="1"/>
    <col min="3089" max="3316" width="11.7109375" style="593" customWidth="1"/>
    <col min="3317" max="3326" width="12.85546875" style="593"/>
    <col min="3327" max="3327" width="25.42578125" style="593" customWidth="1"/>
    <col min="3328" max="3328" width="17.140625" style="593" customWidth="1"/>
    <col min="3329" max="3331" width="9.140625" style="593" customWidth="1"/>
    <col min="3332" max="3332" width="1.7109375" style="593" customWidth="1"/>
    <col min="3333" max="3334" width="9.140625" style="593" customWidth="1"/>
    <col min="3335" max="3335" width="1.140625" style="593" customWidth="1"/>
    <col min="3336" max="3339" width="9.140625" style="593" customWidth="1"/>
    <col min="3340" max="3340" width="1.140625" style="593" customWidth="1"/>
    <col min="3341" max="3342" width="9.140625" style="593" customWidth="1"/>
    <col min="3343" max="3343" width="2" style="593" customWidth="1"/>
    <col min="3344" max="3344" width="7.5703125" style="593" customWidth="1"/>
    <col min="3345" max="3572" width="11.7109375" style="593" customWidth="1"/>
    <col min="3573" max="3582" width="12.85546875" style="593"/>
    <col min="3583" max="3583" width="25.42578125" style="593" customWidth="1"/>
    <col min="3584" max="3584" width="17.140625" style="593" customWidth="1"/>
    <col min="3585" max="3587" width="9.140625" style="593" customWidth="1"/>
    <col min="3588" max="3588" width="1.7109375" style="593" customWidth="1"/>
    <col min="3589" max="3590" width="9.140625" style="593" customWidth="1"/>
    <col min="3591" max="3591" width="1.140625" style="593" customWidth="1"/>
    <col min="3592" max="3595" width="9.140625" style="593" customWidth="1"/>
    <col min="3596" max="3596" width="1.140625" style="593" customWidth="1"/>
    <col min="3597" max="3598" width="9.140625" style="593" customWidth="1"/>
    <col min="3599" max="3599" width="2" style="593" customWidth="1"/>
    <col min="3600" max="3600" width="7.5703125" style="593" customWidth="1"/>
    <col min="3601" max="3828" width="11.7109375" style="593" customWidth="1"/>
    <col min="3829" max="3838" width="12.85546875" style="593"/>
    <col min="3839" max="3839" width="25.42578125" style="593" customWidth="1"/>
    <col min="3840" max="3840" width="17.140625" style="593" customWidth="1"/>
    <col min="3841" max="3843" width="9.140625" style="593" customWidth="1"/>
    <col min="3844" max="3844" width="1.7109375" style="593" customWidth="1"/>
    <col min="3845" max="3846" width="9.140625" style="593" customWidth="1"/>
    <col min="3847" max="3847" width="1.140625" style="593" customWidth="1"/>
    <col min="3848" max="3851" width="9.140625" style="593" customWidth="1"/>
    <col min="3852" max="3852" width="1.140625" style="593" customWidth="1"/>
    <col min="3853" max="3854" width="9.140625" style="593" customWidth="1"/>
    <col min="3855" max="3855" width="2" style="593" customWidth="1"/>
    <col min="3856" max="3856" width="7.5703125" style="593" customWidth="1"/>
    <col min="3857" max="4084" width="11.7109375" style="593" customWidth="1"/>
    <col min="4085" max="4094" width="12.85546875" style="593"/>
    <col min="4095" max="4095" width="25.42578125" style="593" customWidth="1"/>
    <col min="4096" max="4096" width="17.140625" style="593" customWidth="1"/>
    <col min="4097" max="4099" width="9.140625" style="593" customWidth="1"/>
    <col min="4100" max="4100" width="1.7109375" style="593" customWidth="1"/>
    <col min="4101" max="4102" width="9.140625" style="593" customWidth="1"/>
    <col min="4103" max="4103" width="1.140625" style="593" customWidth="1"/>
    <col min="4104" max="4107" width="9.140625" style="593" customWidth="1"/>
    <col min="4108" max="4108" width="1.140625" style="593" customWidth="1"/>
    <col min="4109" max="4110" width="9.140625" style="593" customWidth="1"/>
    <col min="4111" max="4111" width="2" style="593" customWidth="1"/>
    <col min="4112" max="4112" width="7.5703125" style="593" customWidth="1"/>
    <col min="4113" max="4340" width="11.7109375" style="593" customWidth="1"/>
    <col min="4341" max="4350" width="12.85546875" style="593"/>
    <col min="4351" max="4351" width="25.42578125" style="593" customWidth="1"/>
    <col min="4352" max="4352" width="17.140625" style="593" customWidth="1"/>
    <col min="4353" max="4355" width="9.140625" style="593" customWidth="1"/>
    <col min="4356" max="4356" width="1.7109375" style="593" customWidth="1"/>
    <col min="4357" max="4358" width="9.140625" style="593" customWidth="1"/>
    <col min="4359" max="4359" width="1.140625" style="593" customWidth="1"/>
    <col min="4360" max="4363" width="9.140625" style="593" customWidth="1"/>
    <col min="4364" max="4364" width="1.140625" style="593" customWidth="1"/>
    <col min="4365" max="4366" width="9.140625" style="593" customWidth="1"/>
    <col min="4367" max="4367" width="2" style="593" customWidth="1"/>
    <col min="4368" max="4368" width="7.5703125" style="593" customWidth="1"/>
    <col min="4369" max="4596" width="11.7109375" style="593" customWidth="1"/>
    <col min="4597" max="4606" width="12.85546875" style="593"/>
    <col min="4607" max="4607" width="25.42578125" style="593" customWidth="1"/>
    <col min="4608" max="4608" width="17.140625" style="593" customWidth="1"/>
    <col min="4609" max="4611" width="9.140625" style="593" customWidth="1"/>
    <col min="4612" max="4612" width="1.7109375" style="593" customWidth="1"/>
    <col min="4613" max="4614" width="9.140625" style="593" customWidth="1"/>
    <col min="4615" max="4615" width="1.140625" style="593" customWidth="1"/>
    <col min="4616" max="4619" width="9.140625" style="593" customWidth="1"/>
    <col min="4620" max="4620" width="1.140625" style="593" customWidth="1"/>
    <col min="4621" max="4622" width="9.140625" style="593" customWidth="1"/>
    <col min="4623" max="4623" width="2" style="593" customWidth="1"/>
    <col min="4624" max="4624" width="7.5703125" style="593" customWidth="1"/>
    <col min="4625" max="4852" width="11.7109375" style="593" customWidth="1"/>
    <col min="4853" max="4862" width="12.85546875" style="593"/>
    <col min="4863" max="4863" width="25.42578125" style="593" customWidth="1"/>
    <col min="4864" max="4864" width="17.140625" style="593" customWidth="1"/>
    <col min="4865" max="4867" width="9.140625" style="593" customWidth="1"/>
    <col min="4868" max="4868" width="1.7109375" style="593" customWidth="1"/>
    <col min="4869" max="4870" width="9.140625" style="593" customWidth="1"/>
    <col min="4871" max="4871" width="1.140625" style="593" customWidth="1"/>
    <col min="4872" max="4875" width="9.140625" style="593" customWidth="1"/>
    <col min="4876" max="4876" width="1.140625" style="593" customWidth="1"/>
    <col min="4877" max="4878" width="9.140625" style="593" customWidth="1"/>
    <col min="4879" max="4879" width="2" style="593" customWidth="1"/>
    <col min="4880" max="4880" width="7.5703125" style="593" customWidth="1"/>
    <col min="4881" max="5108" width="11.7109375" style="593" customWidth="1"/>
    <col min="5109" max="5118" width="12.85546875" style="593"/>
    <col min="5119" max="5119" width="25.42578125" style="593" customWidth="1"/>
    <col min="5120" max="5120" width="17.140625" style="593" customWidth="1"/>
    <col min="5121" max="5123" width="9.140625" style="593" customWidth="1"/>
    <col min="5124" max="5124" width="1.7109375" style="593" customWidth="1"/>
    <col min="5125" max="5126" width="9.140625" style="593" customWidth="1"/>
    <col min="5127" max="5127" width="1.140625" style="593" customWidth="1"/>
    <col min="5128" max="5131" width="9.140625" style="593" customWidth="1"/>
    <col min="5132" max="5132" width="1.140625" style="593" customWidth="1"/>
    <col min="5133" max="5134" width="9.140625" style="593" customWidth="1"/>
    <col min="5135" max="5135" width="2" style="593" customWidth="1"/>
    <col min="5136" max="5136" width="7.5703125" style="593" customWidth="1"/>
    <col min="5137" max="5364" width="11.7109375" style="593" customWidth="1"/>
    <col min="5365" max="5374" width="12.85546875" style="593"/>
    <col min="5375" max="5375" width="25.42578125" style="593" customWidth="1"/>
    <col min="5376" max="5376" width="17.140625" style="593" customWidth="1"/>
    <col min="5377" max="5379" width="9.140625" style="593" customWidth="1"/>
    <col min="5380" max="5380" width="1.7109375" style="593" customWidth="1"/>
    <col min="5381" max="5382" width="9.140625" style="593" customWidth="1"/>
    <col min="5383" max="5383" width="1.140625" style="593" customWidth="1"/>
    <col min="5384" max="5387" width="9.140625" style="593" customWidth="1"/>
    <col min="5388" max="5388" width="1.140625" style="593" customWidth="1"/>
    <col min="5389" max="5390" width="9.140625" style="593" customWidth="1"/>
    <col min="5391" max="5391" width="2" style="593" customWidth="1"/>
    <col min="5392" max="5392" width="7.5703125" style="593" customWidth="1"/>
    <col min="5393" max="5620" width="11.7109375" style="593" customWidth="1"/>
    <col min="5621" max="5630" width="12.85546875" style="593"/>
    <col min="5631" max="5631" width="25.42578125" style="593" customWidth="1"/>
    <col min="5632" max="5632" width="17.140625" style="593" customWidth="1"/>
    <col min="5633" max="5635" width="9.140625" style="593" customWidth="1"/>
    <col min="5636" max="5636" width="1.7109375" style="593" customWidth="1"/>
    <col min="5637" max="5638" width="9.140625" style="593" customWidth="1"/>
    <col min="5639" max="5639" width="1.140625" style="593" customWidth="1"/>
    <col min="5640" max="5643" width="9.140625" style="593" customWidth="1"/>
    <col min="5644" max="5644" width="1.140625" style="593" customWidth="1"/>
    <col min="5645" max="5646" width="9.140625" style="593" customWidth="1"/>
    <col min="5647" max="5647" width="2" style="593" customWidth="1"/>
    <col min="5648" max="5648" width="7.5703125" style="593" customWidth="1"/>
    <col min="5649" max="5876" width="11.7109375" style="593" customWidth="1"/>
    <col min="5877" max="5886" width="12.85546875" style="593"/>
    <col min="5887" max="5887" width="25.42578125" style="593" customWidth="1"/>
    <col min="5888" max="5888" width="17.140625" style="593" customWidth="1"/>
    <col min="5889" max="5891" width="9.140625" style="593" customWidth="1"/>
    <col min="5892" max="5892" width="1.7109375" style="593" customWidth="1"/>
    <col min="5893" max="5894" width="9.140625" style="593" customWidth="1"/>
    <col min="5895" max="5895" width="1.140625" style="593" customWidth="1"/>
    <col min="5896" max="5899" width="9.140625" style="593" customWidth="1"/>
    <col min="5900" max="5900" width="1.140625" style="593" customWidth="1"/>
    <col min="5901" max="5902" width="9.140625" style="593" customWidth="1"/>
    <col min="5903" max="5903" width="2" style="593" customWidth="1"/>
    <col min="5904" max="5904" width="7.5703125" style="593" customWidth="1"/>
    <col min="5905" max="6132" width="11.7109375" style="593" customWidth="1"/>
    <col min="6133" max="6142" width="12.85546875" style="593"/>
    <col min="6143" max="6143" width="25.42578125" style="593" customWidth="1"/>
    <col min="6144" max="6144" width="17.140625" style="593" customWidth="1"/>
    <col min="6145" max="6147" width="9.140625" style="593" customWidth="1"/>
    <col min="6148" max="6148" width="1.7109375" style="593" customWidth="1"/>
    <col min="6149" max="6150" width="9.140625" style="593" customWidth="1"/>
    <col min="6151" max="6151" width="1.140625" style="593" customWidth="1"/>
    <col min="6152" max="6155" width="9.140625" style="593" customWidth="1"/>
    <col min="6156" max="6156" width="1.140625" style="593" customWidth="1"/>
    <col min="6157" max="6158" width="9.140625" style="593" customWidth="1"/>
    <col min="6159" max="6159" width="2" style="593" customWidth="1"/>
    <col min="6160" max="6160" width="7.5703125" style="593" customWidth="1"/>
    <col min="6161" max="6388" width="11.7109375" style="593" customWidth="1"/>
    <col min="6389" max="6398" width="12.85546875" style="593"/>
    <col min="6399" max="6399" width="25.42578125" style="593" customWidth="1"/>
    <col min="6400" max="6400" width="17.140625" style="593" customWidth="1"/>
    <col min="6401" max="6403" width="9.140625" style="593" customWidth="1"/>
    <col min="6404" max="6404" width="1.7109375" style="593" customWidth="1"/>
    <col min="6405" max="6406" width="9.140625" style="593" customWidth="1"/>
    <col min="6407" max="6407" width="1.140625" style="593" customWidth="1"/>
    <col min="6408" max="6411" width="9.140625" style="593" customWidth="1"/>
    <col min="6412" max="6412" width="1.140625" style="593" customWidth="1"/>
    <col min="6413" max="6414" width="9.140625" style="593" customWidth="1"/>
    <col min="6415" max="6415" width="2" style="593" customWidth="1"/>
    <col min="6416" max="6416" width="7.5703125" style="593" customWidth="1"/>
    <col min="6417" max="6644" width="11.7109375" style="593" customWidth="1"/>
    <col min="6645" max="6654" width="12.85546875" style="593"/>
    <col min="6655" max="6655" width="25.42578125" style="593" customWidth="1"/>
    <col min="6656" max="6656" width="17.140625" style="593" customWidth="1"/>
    <col min="6657" max="6659" width="9.140625" style="593" customWidth="1"/>
    <col min="6660" max="6660" width="1.7109375" style="593" customWidth="1"/>
    <col min="6661" max="6662" width="9.140625" style="593" customWidth="1"/>
    <col min="6663" max="6663" width="1.140625" style="593" customWidth="1"/>
    <col min="6664" max="6667" width="9.140625" style="593" customWidth="1"/>
    <col min="6668" max="6668" width="1.140625" style="593" customWidth="1"/>
    <col min="6669" max="6670" width="9.140625" style="593" customWidth="1"/>
    <col min="6671" max="6671" width="2" style="593" customWidth="1"/>
    <col min="6672" max="6672" width="7.5703125" style="593" customWidth="1"/>
    <col min="6673" max="6900" width="11.7109375" style="593" customWidth="1"/>
    <col min="6901" max="6910" width="12.85546875" style="593"/>
    <col min="6911" max="6911" width="25.42578125" style="593" customWidth="1"/>
    <col min="6912" max="6912" width="17.140625" style="593" customWidth="1"/>
    <col min="6913" max="6915" width="9.140625" style="593" customWidth="1"/>
    <col min="6916" max="6916" width="1.7109375" style="593" customWidth="1"/>
    <col min="6917" max="6918" width="9.140625" style="593" customWidth="1"/>
    <col min="6919" max="6919" width="1.140625" style="593" customWidth="1"/>
    <col min="6920" max="6923" width="9.140625" style="593" customWidth="1"/>
    <col min="6924" max="6924" width="1.140625" style="593" customWidth="1"/>
    <col min="6925" max="6926" width="9.140625" style="593" customWidth="1"/>
    <col min="6927" max="6927" width="2" style="593" customWidth="1"/>
    <col min="6928" max="6928" width="7.5703125" style="593" customWidth="1"/>
    <col min="6929" max="7156" width="11.7109375" style="593" customWidth="1"/>
    <col min="7157" max="7166" width="12.85546875" style="593"/>
    <col min="7167" max="7167" width="25.42578125" style="593" customWidth="1"/>
    <col min="7168" max="7168" width="17.140625" style="593" customWidth="1"/>
    <col min="7169" max="7171" width="9.140625" style="593" customWidth="1"/>
    <col min="7172" max="7172" width="1.7109375" style="593" customWidth="1"/>
    <col min="7173" max="7174" width="9.140625" style="593" customWidth="1"/>
    <col min="7175" max="7175" width="1.140625" style="593" customWidth="1"/>
    <col min="7176" max="7179" width="9.140625" style="593" customWidth="1"/>
    <col min="7180" max="7180" width="1.140625" style="593" customWidth="1"/>
    <col min="7181" max="7182" width="9.140625" style="593" customWidth="1"/>
    <col min="7183" max="7183" width="2" style="593" customWidth="1"/>
    <col min="7184" max="7184" width="7.5703125" style="593" customWidth="1"/>
    <col min="7185" max="7412" width="11.7109375" style="593" customWidth="1"/>
    <col min="7413" max="7422" width="12.85546875" style="593"/>
    <col min="7423" max="7423" width="25.42578125" style="593" customWidth="1"/>
    <col min="7424" max="7424" width="17.140625" style="593" customWidth="1"/>
    <col min="7425" max="7427" width="9.140625" style="593" customWidth="1"/>
    <col min="7428" max="7428" width="1.7109375" style="593" customWidth="1"/>
    <col min="7429" max="7430" width="9.140625" style="593" customWidth="1"/>
    <col min="7431" max="7431" width="1.140625" style="593" customWidth="1"/>
    <col min="7432" max="7435" width="9.140625" style="593" customWidth="1"/>
    <col min="7436" max="7436" width="1.140625" style="593" customWidth="1"/>
    <col min="7437" max="7438" width="9.140625" style="593" customWidth="1"/>
    <col min="7439" max="7439" width="2" style="593" customWidth="1"/>
    <col min="7440" max="7440" width="7.5703125" style="593" customWidth="1"/>
    <col min="7441" max="7668" width="11.7109375" style="593" customWidth="1"/>
    <col min="7669" max="7678" width="12.85546875" style="593"/>
    <col min="7679" max="7679" width="25.42578125" style="593" customWidth="1"/>
    <col min="7680" max="7680" width="17.140625" style="593" customWidth="1"/>
    <col min="7681" max="7683" width="9.140625" style="593" customWidth="1"/>
    <col min="7684" max="7684" width="1.7109375" style="593" customWidth="1"/>
    <col min="7685" max="7686" width="9.140625" style="593" customWidth="1"/>
    <col min="7687" max="7687" width="1.140625" style="593" customWidth="1"/>
    <col min="7688" max="7691" width="9.140625" style="593" customWidth="1"/>
    <col min="7692" max="7692" width="1.140625" style="593" customWidth="1"/>
    <col min="7693" max="7694" width="9.140625" style="593" customWidth="1"/>
    <col min="7695" max="7695" width="2" style="593" customWidth="1"/>
    <col min="7696" max="7696" width="7.5703125" style="593" customWidth="1"/>
    <col min="7697" max="7924" width="11.7109375" style="593" customWidth="1"/>
    <col min="7925" max="7934" width="12.85546875" style="593"/>
    <col min="7935" max="7935" width="25.42578125" style="593" customWidth="1"/>
    <col min="7936" max="7936" width="17.140625" style="593" customWidth="1"/>
    <col min="7937" max="7939" width="9.140625" style="593" customWidth="1"/>
    <col min="7940" max="7940" width="1.7109375" style="593" customWidth="1"/>
    <col min="7941" max="7942" width="9.140625" style="593" customWidth="1"/>
    <col min="7943" max="7943" width="1.140625" style="593" customWidth="1"/>
    <col min="7944" max="7947" width="9.140625" style="593" customWidth="1"/>
    <col min="7948" max="7948" width="1.140625" style="593" customWidth="1"/>
    <col min="7949" max="7950" width="9.140625" style="593" customWidth="1"/>
    <col min="7951" max="7951" width="2" style="593" customWidth="1"/>
    <col min="7952" max="7952" width="7.5703125" style="593" customWidth="1"/>
    <col min="7953" max="8180" width="11.7109375" style="593" customWidth="1"/>
    <col min="8181" max="8190" width="12.85546875" style="593"/>
    <col min="8191" max="8191" width="25.42578125" style="593" customWidth="1"/>
    <col min="8192" max="8192" width="17.140625" style="593" customWidth="1"/>
    <col min="8193" max="8195" width="9.140625" style="593" customWidth="1"/>
    <col min="8196" max="8196" width="1.7109375" style="593" customWidth="1"/>
    <col min="8197" max="8198" width="9.140625" style="593" customWidth="1"/>
    <col min="8199" max="8199" width="1.140625" style="593" customWidth="1"/>
    <col min="8200" max="8203" width="9.140625" style="593" customWidth="1"/>
    <col min="8204" max="8204" width="1.140625" style="593" customWidth="1"/>
    <col min="8205" max="8206" width="9.140625" style="593" customWidth="1"/>
    <col min="8207" max="8207" width="2" style="593" customWidth="1"/>
    <col min="8208" max="8208" width="7.5703125" style="593" customWidth="1"/>
    <col min="8209" max="8436" width="11.7109375" style="593" customWidth="1"/>
    <col min="8437" max="8446" width="12.85546875" style="593"/>
    <col min="8447" max="8447" width="25.42578125" style="593" customWidth="1"/>
    <col min="8448" max="8448" width="17.140625" style="593" customWidth="1"/>
    <col min="8449" max="8451" width="9.140625" style="593" customWidth="1"/>
    <col min="8452" max="8452" width="1.7109375" style="593" customWidth="1"/>
    <col min="8453" max="8454" width="9.140625" style="593" customWidth="1"/>
    <col min="8455" max="8455" width="1.140625" style="593" customWidth="1"/>
    <col min="8456" max="8459" width="9.140625" style="593" customWidth="1"/>
    <col min="8460" max="8460" width="1.140625" style="593" customWidth="1"/>
    <col min="8461" max="8462" width="9.140625" style="593" customWidth="1"/>
    <col min="8463" max="8463" width="2" style="593" customWidth="1"/>
    <col min="8464" max="8464" width="7.5703125" style="593" customWidth="1"/>
    <col min="8465" max="8692" width="11.7109375" style="593" customWidth="1"/>
    <col min="8693" max="8702" width="12.85546875" style="593"/>
    <col min="8703" max="8703" width="25.42578125" style="593" customWidth="1"/>
    <col min="8704" max="8704" width="17.140625" style="593" customWidth="1"/>
    <col min="8705" max="8707" width="9.140625" style="593" customWidth="1"/>
    <col min="8708" max="8708" width="1.7109375" style="593" customWidth="1"/>
    <col min="8709" max="8710" width="9.140625" style="593" customWidth="1"/>
    <col min="8711" max="8711" width="1.140625" style="593" customWidth="1"/>
    <col min="8712" max="8715" width="9.140625" style="593" customWidth="1"/>
    <col min="8716" max="8716" width="1.140625" style="593" customWidth="1"/>
    <col min="8717" max="8718" width="9.140625" style="593" customWidth="1"/>
    <col min="8719" max="8719" width="2" style="593" customWidth="1"/>
    <col min="8720" max="8720" width="7.5703125" style="593" customWidth="1"/>
    <col min="8721" max="8948" width="11.7109375" style="593" customWidth="1"/>
    <col min="8949" max="8958" width="12.85546875" style="593"/>
    <col min="8959" max="8959" width="25.42578125" style="593" customWidth="1"/>
    <col min="8960" max="8960" width="17.140625" style="593" customWidth="1"/>
    <col min="8961" max="8963" width="9.140625" style="593" customWidth="1"/>
    <col min="8964" max="8964" width="1.7109375" style="593" customWidth="1"/>
    <col min="8965" max="8966" width="9.140625" style="593" customWidth="1"/>
    <col min="8967" max="8967" width="1.140625" style="593" customWidth="1"/>
    <col min="8968" max="8971" width="9.140625" style="593" customWidth="1"/>
    <col min="8972" max="8972" width="1.140625" style="593" customWidth="1"/>
    <col min="8973" max="8974" width="9.140625" style="593" customWidth="1"/>
    <col min="8975" max="8975" width="2" style="593" customWidth="1"/>
    <col min="8976" max="8976" width="7.5703125" style="593" customWidth="1"/>
    <col min="8977" max="9204" width="11.7109375" style="593" customWidth="1"/>
    <col min="9205" max="9214" width="12.85546875" style="593"/>
    <col min="9215" max="9215" width="25.42578125" style="593" customWidth="1"/>
    <col min="9216" max="9216" width="17.140625" style="593" customWidth="1"/>
    <col min="9217" max="9219" width="9.140625" style="593" customWidth="1"/>
    <col min="9220" max="9220" width="1.7109375" style="593" customWidth="1"/>
    <col min="9221" max="9222" width="9.140625" style="593" customWidth="1"/>
    <col min="9223" max="9223" width="1.140625" style="593" customWidth="1"/>
    <col min="9224" max="9227" width="9.140625" style="593" customWidth="1"/>
    <col min="9228" max="9228" width="1.140625" style="593" customWidth="1"/>
    <col min="9229" max="9230" width="9.140625" style="593" customWidth="1"/>
    <col min="9231" max="9231" width="2" style="593" customWidth="1"/>
    <col min="9232" max="9232" width="7.5703125" style="593" customWidth="1"/>
    <col min="9233" max="9460" width="11.7109375" style="593" customWidth="1"/>
    <col min="9461" max="9470" width="12.85546875" style="593"/>
    <col min="9471" max="9471" width="25.42578125" style="593" customWidth="1"/>
    <col min="9472" max="9472" width="17.140625" style="593" customWidth="1"/>
    <col min="9473" max="9475" width="9.140625" style="593" customWidth="1"/>
    <col min="9476" max="9476" width="1.7109375" style="593" customWidth="1"/>
    <col min="9477" max="9478" width="9.140625" style="593" customWidth="1"/>
    <col min="9479" max="9479" width="1.140625" style="593" customWidth="1"/>
    <col min="9480" max="9483" width="9.140625" style="593" customWidth="1"/>
    <col min="9484" max="9484" width="1.140625" style="593" customWidth="1"/>
    <col min="9485" max="9486" width="9.140625" style="593" customWidth="1"/>
    <col min="9487" max="9487" width="2" style="593" customWidth="1"/>
    <col min="9488" max="9488" width="7.5703125" style="593" customWidth="1"/>
    <col min="9489" max="9716" width="11.7109375" style="593" customWidth="1"/>
    <col min="9717" max="9726" width="12.85546875" style="593"/>
    <col min="9727" max="9727" width="25.42578125" style="593" customWidth="1"/>
    <col min="9728" max="9728" width="17.140625" style="593" customWidth="1"/>
    <col min="9729" max="9731" width="9.140625" style="593" customWidth="1"/>
    <col min="9732" max="9732" width="1.7109375" style="593" customWidth="1"/>
    <col min="9733" max="9734" width="9.140625" style="593" customWidth="1"/>
    <col min="9735" max="9735" width="1.140625" style="593" customWidth="1"/>
    <col min="9736" max="9739" width="9.140625" style="593" customWidth="1"/>
    <col min="9740" max="9740" width="1.140625" style="593" customWidth="1"/>
    <col min="9741" max="9742" width="9.140625" style="593" customWidth="1"/>
    <col min="9743" max="9743" width="2" style="593" customWidth="1"/>
    <col min="9744" max="9744" width="7.5703125" style="593" customWidth="1"/>
    <col min="9745" max="9972" width="11.7109375" style="593" customWidth="1"/>
    <col min="9973" max="9982" width="12.85546875" style="593"/>
    <col min="9983" max="9983" width="25.42578125" style="593" customWidth="1"/>
    <col min="9984" max="9984" width="17.140625" style="593" customWidth="1"/>
    <col min="9985" max="9987" width="9.140625" style="593" customWidth="1"/>
    <col min="9988" max="9988" width="1.7109375" style="593" customWidth="1"/>
    <col min="9989" max="9990" width="9.140625" style="593" customWidth="1"/>
    <col min="9991" max="9991" width="1.140625" style="593" customWidth="1"/>
    <col min="9992" max="9995" width="9.140625" style="593" customWidth="1"/>
    <col min="9996" max="9996" width="1.140625" style="593" customWidth="1"/>
    <col min="9997" max="9998" width="9.140625" style="593" customWidth="1"/>
    <col min="9999" max="9999" width="2" style="593" customWidth="1"/>
    <col min="10000" max="10000" width="7.5703125" style="593" customWidth="1"/>
    <col min="10001" max="10228" width="11.7109375" style="593" customWidth="1"/>
    <col min="10229" max="10238" width="12.85546875" style="593"/>
    <col min="10239" max="10239" width="25.42578125" style="593" customWidth="1"/>
    <col min="10240" max="10240" width="17.140625" style="593" customWidth="1"/>
    <col min="10241" max="10243" width="9.140625" style="593" customWidth="1"/>
    <col min="10244" max="10244" width="1.7109375" style="593" customWidth="1"/>
    <col min="10245" max="10246" width="9.140625" style="593" customWidth="1"/>
    <col min="10247" max="10247" width="1.140625" style="593" customWidth="1"/>
    <col min="10248" max="10251" width="9.140625" style="593" customWidth="1"/>
    <col min="10252" max="10252" width="1.140625" style="593" customWidth="1"/>
    <col min="10253" max="10254" width="9.140625" style="593" customWidth="1"/>
    <col min="10255" max="10255" width="2" style="593" customWidth="1"/>
    <col min="10256" max="10256" width="7.5703125" style="593" customWidth="1"/>
    <col min="10257" max="10484" width="11.7109375" style="593" customWidth="1"/>
    <col min="10485" max="10494" width="12.85546875" style="593"/>
    <col min="10495" max="10495" width="25.42578125" style="593" customWidth="1"/>
    <col min="10496" max="10496" width="17.140625" style="593" customWidth="1"/>
    <col min="10497" max="10499" width="9.140625" style="593" customWidth="1"/>
    <col min="10500" max="10500" width="1.7109375" style="593" customWidth="1"/>
    <col min="10501" max="10502" width="9.140625" style="593" customWidth="1"/>
    <col min="10503" max="10503" width="1.140625" style="593" customWidth="1"/>
    <col min="10504" max="10507" width="9.140625" style="593" customWidth="1"/>
    <col min="10508" max="10508" width="1.140625" style="593" customWidth="1"/>
    <col min="10509" max="10510" width="9.140625" style="593" customWidth="1"/>
    <col min="10511" max="10511" width="2" style="593" customWidth="1"/>
    <col min="10512" max="10512" width="7.5703125" style="593" customWidth="1"/>
    <col min="10513" max="10740" width="11.7109375" style="593" customWidth="1"/>
    <col min="10741" max="10750" width="12.85546875" style="593"/>
    <col min="10751" max="10751" width="25.42578125" style="593" customWidth="1"/>
    <col min="10752" max="10752" width="17.140625" style="593" customWidth="1"/>
    <col min="10753" max="10755" width="9.140625" style="593" customWidth="1"/>
    <col min="10756" max="10756" width="1.7109375" style="593" customWidth="1"/>
    <col min="10757" max="10758" width="9.140625" style="593" customWidth="1"/>
    <col min="10759" max="10759" width="1.140625" style="593" customWidth="1"/>
    <col min="10760" max="10763" width="9.140625" style="593" customWidth="1"/>
    <col min="10764" max="10764" width="1.140625" style="593" customWidth="1"/>
    <col min="10765" max="10766" width="9.140625" style="593" customWidth="1"/>
    <col min="10767" max="10767" width="2" style="593" customWidth="1"/>
    <col min="10768" max="10768" width="7.5703125" style="593" customWidth="1"/>
    <col min="10769" max="10996" width="11.7109375" style="593" customWidth="1"/>
    <col min="10997" max="11006" width="12.85546875" style="593"/>
    <col min="11007" max="11007" width="25.42578125" style="593" customWidth="1"/>
    <col min="11008" max="11008" width="17.140625" style="593" customWidth="1"/>
    <col min="11009" max="11011" width="9.140625" style="593" customWidth="1"/>
    <col min="11012" max="11012" width="1.7109375" style="593" customWidth="1"/>
    <col min="11013" max="11014" width="9.140625" style="593" customWidth="1"/>
    <col min="11015" max="11015" width="1.140625" style="593" customWidth="1"/>
    <col min="11016" max="11019" width="9.140625" style="593" customWidth="1"/>
    <col min="11020" max="11020" width="1.140625" style="593" customWidth="1"/>
    <col min="11021" max="11022" width="9.140625" style="593" customWidth="1"/>
    <col min="11023" max="11023" width="2" style="593" customWidth="1"/>
    <col min="11024" max="11024" width="7.5703125" style="593" customWidth="1"/>
    <col min="11025" max="11252" width="11.7109375" style="593" customWidth="1"/>
    <col min="11253" max="11262" width="12.85546875" style="593"/>
    <col min="11263" max="11263" width="25.42578125" style="593" customWidth="1"/>
    <col min="11264" max="11264" width="17.140625" style="593" customWidth="1"/>
    <col min="11265" max="11267" width="9.140625" style="593" customWidth="1"/>
    <col min="11268" max="11268" width="1.7109375" style="593" customWidth="1"/>
    <col min="11269" max="11270" width="9.140625" style="593" customWidth="1"/>
    <col min="11271" max="11271" width="1.140625" style="593" customWidth="1"/>
    <col min="11272" max="11275" width="9.140625" style="593" customWidth="1"/>
    <col min="11276" max="11276" width="1.140625" style="593" customWidth="1"/>
    <col min="11277" max="11278" width="9.140625" style="593" customWidth="1"/>
    <col min="11279" max="11279" width="2" style="593" customWidth="1"/>
    <col min="11280" max="11280" width="7.5703125" style="593" customWidth="1"/>
    <col min="11281" max="11508" width="11.7109375" style="593" customWidth="1"/>
    <col min="11509" max="11518" width="12.85546875" style="593"/>
    <col min="11519" max="11519" width="25.42578125" style="593" customWidth="1"/>
    <col min="11520" max="11520" width="17.140625" style="593" customWidth="1"/>
    <col min="11521" max="11523" width="9.140625" style="593" customWidth="1"/>
    <col min="11524" max="11524" width="1.7109375" style="593" customWidth="1"/>
    <col min="11525" max="11526" width="9.140625" style="593" customWidth="1"/>
    <col min="11527" max="11527" width="1.140625" style="593" customWidth="1"/>
    <col min="11528" max="11531" width="9.140625" style="593" customWidth="1"/>
    <col min="11532" max="11532" width="1.140625" style="593" customWidth="1"/>
    <col min="11533" max="11534" width="9.140625" style="593" customWidth="1"/>
    <col min="11535" max="11535" width="2" style="593" customWidth="1"/>
    <col min="11536" max="11536" width="7.5703125" style="593" customWidth="1"/>
    <col min="11537" max="11764" width="11.7109375" style="593" customWidth="1"/>
    <col min="11765" max="11774" width="12.85546875" style="593"/>
    <col min="11775" max="11775" width="25.42578125" style="593" customWidth="1"/>
    <col min="11776" max="11776" width="17.140625" style="593" customWidth="1"/>
    <col min="11777" max="11779" width="9.140625" style="593" customWidth="1"/>
    <col min="11780" max="11780" width="1.7109375" style="593" customWidth="1"/>
    <col min="11781" max="11782" width="9.140625" style="593" customWidth="1"/>
    <col min="11783" max="11783" width="1.140625" style="593" customWidth="1"/>
    <col min="11784" max="11787" width="9.140625" style="593" customWidth="1"/>
    <col min="11788" max="11788" width="1.140625" style="593" customWidth="1"/>
    <col min="11789" max="11790" width="9.140625" style="593" customWidth="1"/>
    <col min="11791" max="11791" width="2" style="593" customWidth="1"/>
    <col min="11792" max="11792" width="7.5703125" style="593" customWidth="1"/>
    <col min="11793" max="12020" width="11.7109375" style="593" customWidth="1"/>
    <col min="12021" max="12030" width="12.85546875" style="593"/>
    <col min="12031" max="12031" width="25.42578125" style="593" customWidth="1"/>
    <col min="12032" max="12032" width="17.140625" style="593" customWidth="1"/>
    <col min="12033" max="12035" width="9.140625" style="593" customWidth="1"/>
    <col min="12036" max="12036" width="1.7109375" style="593" customWidth="1"/>
    <col min="12037" max="12038" width="9.140625" style="593" customWidth="1"/>
    <col min="12039" max="12039" width="1.140625" style="593" customWidth="1"/>
    <col min="12040" max="12043" width="9.140625" style="593" customWidth="1"/>
    <col min="12044" max="12044" width="1.140625" style="593" customWidth="1"/>
    <col min="12045" max="12046" width="9.140625" style="593" customWidth="1"/>
    <col min="12047" max="12047" width="2" style="593" customWidth="1"/>
    <col min="12048" max="12048" width="7.5703125" style="593" customWidth="1"/>
    <col min="12049" max="12276" width="11.7109375" style="593" customWidth="1"/>
    <col min="12277" max="12286" width="12.85546875" style="593"/>
    <col min="12287" max="12287" width="25.42578125" style="593" customWidth="1"/>
    <col min="12288" max="12288" width="17.140625" style="593" customWidth="1"/>
    <col min="12289" max="12291" width="9.140625" style="593" customWidth="1"/>
    <col min="12292" max="12292" width="1.7109375" style="593" customWidth="1"/>
    <col min="12293" max="12294" width="9.140625" style="593" customWidth="1"/>
    <col min="12295" max="12295" width="1.140625" style="593" customWidth="1"/>
    <col min="12296" max="12299" width="9.140625" style="593" customWidth="1"/>
    <col min="12300" max="12300" width="1.140625" style="593" customWidth="1"/>
    <col min="12301" max="12302" width="9.140625" style="593" customWidth="1"/>
    <col min="12303" max="12303" width="2" style="593" customWidth="1"/>
    <col min="12304" max="12304" width="7.5703125" style="593" customWidth="1"/>
    <col min="12305" max="12532" width="11.7109375" style="593" customWidth="1"/>
    <col min="12533" max="12542" width="12.85546875" style="593"/>
    <col min="12543" max="12543" width="25.42578125" style="593" customWidth="1"/>
    <col min="12544" max="12544" width="17.140625" style="593" customWidth="1"/>
    <col min="12545" max="12547" width="9.140625" style="593" customWidth="1"/>
    <col min="12548" max="12548" width="1.7109375" style="593" customWidth="1"/>
    <col min="12549" max="12550" width="9.140625" style="593" customWidth="1"/>
    <col min="12551" max="12551" width="1.140625" style="593" customWidth="1"/>
    <col min="12552" max="12555" width="9.140625" style="593" customWidth="1"/>
    <col min="12556" max="12556" width="1.140625" style="593" customWidth="1"/>
    <col min="12557" max="12558" width="9.140625" style="593" customWidth="1"/>
    <col min="12559" max="12559" width="2" style="593" customWidth="1"/>
    <col min="12560" max="12560" width="7.5703125" style="593" customWidth="1"/>
    <col min="12561" max="12788" width="11.7109375" style="593" customWidth="1"/>
    <col min="12789" max="12798" width="12.85546875" style="593"/>
    <col min="12799" max="12799" width="25.42578125" style="593" customWidth="1"/>
    <col min="12800" max="12800" width="17.140625" style="593" customWidth="1"/>
    <col min="12801" max="12803" width="9.140625" style="593" customWidth="1"/>
    <col min="12804" max="12804" width="1.7109375" style="593" customWidth="1"/>
    <col min="12805" max="12806" width="9.140625" style="593" customWidth="1"/>
    <col min="12807" max="12807" width="1.140625" style="593" customWidth="1"/>
    <col min="12808" max="12811" width="9.140625" style="593" customWidth="1"/>
    <col min="12812" max="12812" width="1.140625" style="593" customWidth="1"/>
    <col min="12813" max="12814" width="9.140625" style="593" customWidth="1"/>
    <col min="12815" max="12815" width="2" style="593" customWidth="1"/>
    <col min="12816" max="12816" width="7.5703125" style="593" customWidth="1"/>
    <col min="12817" max="13044" width="11.7109375" style="593" customWidth="1"/>
    <col min="13045" max="13054" width="12.85546875" style="593"/>
    <col min="13055" max="13055" width="25.42578125" style="593" customWidth="1"/>
    <col min="13056" max="13056" width="17.140625" style="593" customWidth="1"/>
    <col min="13057" max="13059" width="9.140625" style="593" customWidth="1"/>
    <col min="13060" max="13060" width="1.7109375" style="593" customWidth="1"/>
    <col min="13061" max="13062" width="9.140625" style="593" customWidth="1"/>
    <col min="13063" max="13063" width="1.140625" style="593" customWidth="1"/>
    <col min="13064" max="13067" width="9.140625" style="593" customWidth="1"/>
    <col min="13068" max="13068" width="1.140625" style="593" customWidth="1"/>
    <col min="13069" max="13070" width="9.140625" style="593" customWidth="1"/>
    <col min="13071" max="13071" width="2" style="593" customWidth="1"/>
    <col min="13072" max="13072" width="7.5703125" style="593" customWidth="1"/>
    <col min="13073" max="13300" width="11.7109375" style="593" customWidth="1"/>
    <col min="13301" max="13310" width="12.85546875" style="593"/>
    <col min="13311" max="13311" width="25.42578125" style="593" customWidth="1"/>
    <col min="13312" max="13312" width="17.140625" style="593" customWidth="1"/>
    <col min="13313" max="13315" width="9.140625" style="593" customWidth="1"/>
    <col min="13316" max="13316" width="1.7109375" style="593" customWidth="1"/>
    <col min="13317" max="13318" width="9.140625" style="593" customWidth="1"/>
    <col min="13319" max="13319" width="1.140625" style="593" customWidth="1"/>
    <col min="13320" max="13323" width="9.140625" style="593" customWidth="1"/>
    <col min="13324" max="13324" width="1.140625" style="593" customWidth="1"/>
    <col min="13325" max="13326" width="9.140625" style="593" customWidth="1"/>
    <col min="13327" max="13327" width="2" style="593" customWidth="1"/>
    <col min="13328" max="13328" width="7.5703125" style="593" customWidth="1"/>
    <col min="13329" max="13556" width="11.7109375" style="593" customWidth="1"/>
    <col min="13557" max="13566" width="12.85546875" style="593"/>
    <col min="13567" max="13567" width="25.42578125" style="593" customWidth="1"/>
    <col min="13568" max="13568" width="17.140625" style="593" customWidth="1"/>
    <col min="13569" max="13571" width="9.140625" style="593" customWidth="1"/>
    <col min="13572" max="13572" width="1.7109375" style="593" customWidth="1"/>
    <col min="13573" max="13574" width="9.140625" style="593" customWidth="1"/>
    <col min="13575" max="13575" width="1.140625" style="593" customWidth="1"/>
    <col min="13576" max="13579" width="9.140625" style="593" customWidth="1"/>
    <col min="13580" max="13580" width="1.140625" style="593" customWidth="1"/>
    <col min="13581" max="13582" width="9.140625" style="593" customWidth="1"/>
    <col min="13583" max="13583" width="2" style="593" customWidth="1"/>
    <col min="13584" max="13584" width="7.5703125" style="593" customWidth="1"/>
    <col min="13585" max="13812" width="11.7109375" style="593" customWidth="1"/>
    <col min="13813" max="13822" width="12.85546875" style="593"/>
    <col min="13823" max="13823" width="25.42578125" style="593" customWidth="1"/>
    <col min="13824" max="13824" width="17.140625" style="593" customWidth="1"/>
    <col min="13825" max="13827" width="9.140625" style="593" customWidth="1"/>
    <col min="13828" max="13828" width="1.7109375" style="593" customWidth="1"/>
    <col min="13829" max="13830" width="9.140625" style="593" customWidth="1"/>
    <col min="13831" max="13831" width="1.140625" style="593" customWidth="1"/>
    <col min="13832" max="13835" width="9.140625" style="593" customWidth="1"/>
    <col min="13836" max="13836" width="1.140625" style="593" customWidth="1"/>
    <col min="13837" max="13838" width="9.140625" style="593" customWidth="1"/>
    <col min="13839" max="13839" width="2" style="593" customWidth="1"/>
    <col min="13840" max="13840" width="7.5703125" style="593" customWidth="1"/>
    <col min="13841" max="14068" width="11.7109375" style="593" customWidth="1"/>
    <col min="14069" max="14078" width="12.85546875" style="593"/>
    <col min="14079" max="14079" width="25.42578125" style="593" customWidth="1"/>
    <col min="14080" max="14080" width="17.140625" style="593" customWidth="1"/>
    <col min="14081" max="14083" width="9.140625" style="593" customWidth="1"/>
    <col min="14084" max="14084" width="1.7109375" style="593" customWidth="1"/>
    <col min="14085" max="14086" width="9.140625" style="593" customWidth="1"/>
    <col min="14087" max="14087" width="1.140625" style="593" customWidth="1"/>
    <col min="14088" max="14091" width="9.140625" style="593" customWidth="1"/>
    <col min="14092" max="14092" width="1.140625" style="593" customWidth="1"/>
    <col min="14093" max="14094" width="9.140625" style="593" customWidth="1"/>
    <col min="14095" max="14095" width="2" style="593" customWidth="1"/>
    <col min="14096" max="14096" width="7.5703125" style="593" customWidth="1"/>
    <col min="14097" max="14324" width="11.7109375" style="593" customWidth="1"/>
    <col min="14325" max="14334" width="12.85546875" style="593"/>
    <col min="14335" max="14335" width="25.42578125" style="593" customWidth="1"/>
    <col min="14336" max="14336" width="17.140625" style="593" customWidth="1"/>
    <col min="14337" max="14339" width="9.140625" style="593" customWidth="1"/>
    <col min="14340" max="14340" width="1.7109375" style="593" customWidth="1"/>
    <col min="14341" max="14342" width="9.140625" style="593" customWidth="1"/>
    <col min="14343" max="14343" width="1.140625" style="593" customWidth="1"/>
    <col min="14344" max="14347" width="9.140625" style="593" customWidth="1"/>
    <col min="14348" max="14348" width="1.140625" style="593" customWidth="1"/>
    <col min="14349" max="14350" width="9.140625" style="593" customWidth="1"/>
    <col min="14351" max="14351" width="2" style="593" customWidth="1"/>
    <col min="14352" max="14352" width="7.5703125" style="593" customWidth="1"/>
    <col min="14353" max="14580" width="11.7109375" style="593" customWidth="1"/>
    <col min="14581" max="14590" width="12.85546875" style="593"/>
    <col min="14591" max="14591" width="25.42578125" style="593" customWidth="1"/>
    <col min="14592" max="14592" width="17.140625" style="593" customWidth="1"/>
    <col min="14593" max="14595" width="9.140625" style="593" customWidth="1"/>
    <col min="14596" max="14596" width="1.7109375" style="593" customWidth="1"/>
    <col min="14597" max="14598" width="9.140625" style="593" customWidth="1"/>
    <col min="14599" max="14599" width="1.140625" style="593" customWidth="1"/>
    <col min="14600" max="14603" width="9.140625" style="593" customWidth="1"/>
    <col min="14604" max="14604" width="1.140625" style="593" customWidth="1"/>
    <col min="14605" max="14606" width="9.140625" style="593" customWidth="1"/>
    <col min="14607" max="14607" width="2" style="593" customWidth="1"/>
    <col min="14608" max="14608" width="7.5703125" style="593" customWidth="1"/>
    <col min="14609" max="14836" width="11.7109375" style="593" customWidth="1"/>
    <col min="14837" max="14846" width="12.85546875" style="593"/>
    <col min="14847" max="14847" width="25.42578125" style="593" customWidth="1"/>
    <col min="14848" max="14848" width="17.140625" style="593" customWidth="1"/>
    <col min="14849" max="14851" width="9.140625" style="593" customWidth="1"/>
    <col min="14852" max="14852" width="1.7109375" style="593" customWidth="1"/>
    <col min="14853" max="14854" width="9.140625" style="593" customWidth="1"/>
    <col min="14855" max="14855" width="1.140625" style="593" customWidth="1"/>
    <col min="14856" max="14859" width="9.140625" style="593" customWidth="1"/>
    <col min="14860" max="14860" width="1.140625" style="593" customWidth="1"/>
    <col min="14861" max="14862" width="9.140625" style="593" customWidth="1"/>
    <col min="14863" max="14863" width="2" style="593" customWidth="1"/>
    <col min="14864" max="14864" width="7.5703125" style="593" customWidth="1"/>
    <col min="14865" max="15092" width="11.7109375" style="593" customWidth="1"/>
    <col min="15093" max="15102" width="12.85546875" style="593"/>
    <col min="15103" max="15103" width="25.42578125" style="593" customWidth="1"/>
    <col min="15104" max="15104" width="17.140625" style="593" customWidth="1"/>
    <col min="15105" max="15107" width="9.140625" style="593" customWidth="1"/>
    <col min="15108" max="15108" width="1.7109375" style="593" customWidth="1"/>
    <col min="15109" max="15110" width="9.140625" style="593" customWidth="1"/>
    <col min="15111" max="15111" width="1.140625" style="593" customWidth="1"/>
    <col min="15112" max="15115" width="9.140625" style="593" customWidth="1"/>
    <col min="15116" max="15116" width="1.140625" style="593" customWidth="1"/>
    <col min="15117" max="15118" width="9.140625" style="593" customWidth="1"/>
    <col min="15119" max="15119" width="2" style="593" customWidth="1"/>
    <col min="15120" max="15120" width="7.5703125" style="593" customWidth="1"/>
    <col min="15121" max="15348" width="11.7109375" style="593" customWidth="1"/>
    <col min="15349" max="15358" width="12.85546875" style="593"/>
    <col min="15359" max="15359" width="25.42578125" style="593" customWidth="1"/>
    <col min="15360" max="15360" width="17.140625" style="593" customWidth="1"/>
    <col min="15361" max="15363" width="9.140625" style="593" customWidth="1"/>
    <col min="15364" max="15364" width="1.7109375" style="593" customWidth="1"/>
    <col min="15365" max="15366" width="9.140625" style="593" customWidth="1"/>
    <col min="15367" max="15367" width="1.140625" style="593" customWidth="1"/>
    <col min="15368" max="15371" width="9.140625" style="593" customWidth="1"/>
    <col min="15372" max="15372" width="1.140625" style="593" customWidth="1"/>
    <col min="15373" max="15374" width="9.140625" style="593" customWidth="1"/>
    <col min="15375" max="15375" width="2" style="593" customWidth="1"/>
    <col min="15376" max="15376" width="7.5703125" style="593" customWidth="1"/>
    <col min="15377" max="15604" width="11.7109375" style="593" customWidth="1"/>
    <col min="15605" max="15614" width="12.85546875" style="593"/>
    <col min="15615" max="15615" width="25.42578125" style="593" customWidth="1"/>
    <col min="15616" max="15616" width="17.140625" style="593" customWidth="1"/>
    <col min="15617" max="15619" width="9.140625" style="593" customWidth="1"/>
    <col min="15620" max="15620" width="1.7109375" style="593" customWidth="1"/>
    <col min="15621" max="15622" width="9.140625" style="593" customWidth="1"/>
    <col min="15623" max="15623" width="1.140625" style="593" customWidth="1"/>
    <col min="15624" max="15627" width="9.140625" style="593" customWidth="1"/>
    <col min="15628" max="15628" width="1.140625" style="593" customWidth="1"/>
    <col min="15629" max="15630" width="9.140625" style="593" customWidth="1"/>
    <col min="15631" max="15631" width="2" style="593" customWidth="1"/>
    <col min="15632" max="15632" width="7.5703125" style="593" customWidth="1"/>
    <col min="15633" max="15860" width="11.7109375" style="593" customWidth="1"/>
    <col min="15861" max="15870" width="12.85546875" style="593"/>
    <col min="15871" max="15871" width="25.42578125" style="593" customWidth="1"/>
    <col min="15872" max="15872" width="17.140625" style="593" customWidth="1"/>
    <col min="15873" max="15875" width="9.140625" style="593" customWidth="1"/>
    <col min="15876" max="15876" width="1.7109375" style="593" customWidth="1"/>
    <col min="15877" max="15878" width="9.140625" style="593" customWidth="1"/>
    <col min="15879" max="15879" width="1.140625" style="593" customWidth="1"/>
    <col min="15880" max="15883" width="9.140625" style="593" customWidth="1"/>
    <col min="15884" max="15884" width="1.140625" style="593" customWidth="1"/>
    <col min="15885" max="15886" width="9.140625" style="593" customWidth="1"/>
    <col min="15887" max="15887" width="2" style="593" customWidth="1"/>
    <col min="15888" max="15888" width="7.5703125" style="593" customWidth="1"/>
    <col min="15889" max="16116" width="11.7109375" style="593" customWidth="1"/>
    <col min="16117" max="16126" width="12.85546875" style="593"/>
    <col min="16127" max="16127" width="25.42578125" style="593" customWidth="1"/>
    <col min="16128" max="16128" width="17.140625" style="593" customWidth="1"/>
    <col min="16129" max="16131" width="9.140625" style="593" customWidth="1"/>
    <col min="16132" max="16132" width="1.7109375" style="593" customWidth="1"/>
    <col min="16133" max="16134" width="9.140625" style="593" customWidth="1"/>
    <col min="16135" max="16135" width="1.140625" style="593" customWidth="1"/>
    <col min="16136" max="16139" width="9.140625" style="593" customWidth="1"/>
    <col min="16140" max="16140" width="1.140625" style="593" customWidth="1"/>
    <col min="16141" max="16142" width="9.140625" style="593" customWidth="1"/>
    <col min="16143" max="16143" width="2" style="593" customWidth="1"/>
    <col min="16144" max="16144" width="7.5703125" style="593" customWidth="1"/>
    <col min="16145" max="16372" width="11.7109375" style="593" customWidth="1"/>
    <col min="16373" max="16384" width="12.85546875" style="593"/>
  </cols>
  <sheetData>
    <row r="1" spans="1:17" ht="15" x14ac:dyDescent="0.25"/>
    <row r="2" spans="1:17" s="597" customFormat="1" ht="30" customHeight="1" x14ac:dyDescent="0.35">
      <c r="A2" s="847" t="str">
        <f>Konti_VS!C7</f>
        <v>VS  . . .</v>
      </c>
      <c r="B2" s="710"/>
      <c r="C2" s="593"/>
      <c r="D2" s="593"/>
      <c r="E2" s="703"/>
      <c r="F2" s="593"/>
      <c r="G2" s="593"/>
      <c r="H2" s="593"/>
      <c r="I2" s="593"/>
      <c r="J2" s="593"/>
      <c r="K2" s="593"/>
      <c r="L2" s="647"/>
      <c r="M2" s="647"/>
      <c r="N2" s="647"/>
      <c r="Q2" s="700" t="str">
        <f>"Schuljahr 20"&amp;RIGHT(Konti_VS!H1,5)</f>
        <v>Schuljahr 2024/25</v>
      </c>
    </row>
    <row r="3" spans="1:17" s="597" customFormat="1" ht="33" customHeight="1" x14ac:dyDescent="0.2">
      <c r="A3" s="598"/>
      <c r="B3" s="596"/>
      <c r="C3" s="593"/>
      <c r="D3" s="593"/>
      <c r="E3" s="703"/>
      <c r="F3" s="593"/>
      <c r="G3" s="701"/>
      <c r="H3" s="701"/>
      <c r="I3" s="701"/>
      <c r="J3" s="701"/>
      <c r="K3" s="701"/>
      <c r="L3" s="701"/>
      <c r="M3" s="701"/>
      <c r="N3" s="704"/>
      <c r="O3" s="701"/>
      <c r="Q3" s="709"/>
    </row>
    <row r="4" spans="1:17" ht="155.25" customHeight="1" x14ac:dyDescent="0.25">
      <c r="A4" s="958" t="s">
        <v>987</v>
      </c>
      <c r="B4" s="959"/>
      <c r="C4" s="789" t="s">
        <v>805</v>
      </c>
      <c r="D4" s="790" t="s">
        <v>806</v>
      </c>
      <c r="E4" s="791" t="s">
        <v>807</v>
      </c>
      <c r="F4" s="599"/>
      <c r="G4" s="792" t="s">
        <v>992</v>
      </c>
      <c r="H4" s="793" t="s">
        <v>809</v>
      </c>
      <c r="I4" s="794" t="s">
        <v>989</v>
      </c>
      <c r="J4" s="794" t="s">
        <v>811</v>
      </c>
      <c r="K4" s="795" t="s">
        <v>812</v>
      </c>
      <c r="L4" s="796" t="s">
        <v>808</v>
      </c>
      <c r="M4" s="797" t="s">
        <v>813</v>
      </c>
      <c r="N4" s="705"/>
      <c r="O4" s="707" t="s">
        <v>814</v>
      </c>
      <c r="P4" s="593"/>
      <c r="Q4" s="711" t="s">
        <v>836</v>
      </c>
    </row>
    <row r="5" spans="1:17" ht="23.25" customHeight="1" x14ac:dyDescent="0.25">
      <c r="A5" s="851"/>
      <c r="B5" s="777"/>
      <c r="C5" s="778"/>
      <c r="D5" s="778"/>
      <c r="E5" s="779"/>
      <c r="F5" s="600"/>
      <c r="G5" s="766"/>
      <c r="H5" s="767"/>
      <c r="I5" s="767"/>
      <c r="J5" s="767"/>
      <c r="K5" s="767"/>
      <c r="L5" s="767"/>
      <c r="M5" s="768"/>
      <c r="N5" s="702"/>
      <c r="O5" s="763"/>
      <c r="P5" s="601"/>
      <c r="Q5" s="857">
        <f t="shared" ref="Q5:Q36" si="0">SUM(G5:O5)</f>
        <v>0</v>
      </c>
    </row>
    <row r="6" spans="1:17" ht="23.25" customHeight="1" x14ac:dyDescent="0.25">
      <c r="A6" s="780"/>
      <c r="B6" s="781"/>
      <c r="C6" s="782"/>
      <c r="D6" s="782"/>
      <c r="E6" s="783"/>
      <c r="F6" s="600"/>
      <c r="G6" s="769"/>
      <c r="H6" s="770"/>
      <c r="I6" s="770"/>
      <c r="J6" s="770"/>
      <c r="K6" s="770"/>
      <c r="L6" s="771"/>
      <c r="M6" s="772"/>
      <c r="N6" s="706"/>
      <c r="O6" s="764"/>
      <c r="P6" s="601"/>
      <c r="Q6" s="858">
        <f t="shared" si="0"/>
        <v>0</v>
      </c>
    </row>
    <row r="7" spans="1:17" ht="23.25" customHeight="1" x14ac:dyDescent="0.25">
      <c r="A7" s="780"/>
      <c r="B7" s="781"/>
      <c r="C7" s="782"/>
      <c r="D7" s="782"/>
      <c r="E7" s="783"/>
      <c r="F7" s="600"/>
      <c r="G7" s="769"/>
      <c r="H7" s="770"/>
      <c r="I7" s="770"/>
      <c r="J7" s="770"/>
      <c r="K7" s="770"/>
      <c r="L7" s="771"/>
      <c r="M7" s="772"/>
      <c r="N7" s="706"/>
      <c r="O7" s="764"/>
      <c r="P7" s="601"/>
      <c r="Q7" s="858">
        <f t="shared" si="0"/>
        <v>0</v>
      </c>
    </row>
    <row r="8" spans="1:17" ht="23.25" customHeight="1" x14ac:dyDescent="0.25">
      <c r="A8" s="780"/>
      <c r="B8" s="781"/>
      <c r="C8" s="782"/>
      <c r="D8" s="782"/>
      <c r="E8" s="783"/>
      <c r="F8" s="600"/>
      <c r="G8" s="769"/>
      <c r="H8" s="770"/>
      <c r="I8" s="770"/>
      <c r="J8" s="770"/>
      <c r="K8" s="770"/>
      <c r="L8" s="771"/>
      <c r="M8" s="772"/>
      <c r="N8" s="706"/>
      <c r="O8" s="764"/>
      <c r="P8" s="601"/>
      <c r="Q8" s="858">
        <f t="shared" si="0"/>
        <v>0</v>
      </c>
    </row>
    <row r="9" spans="1:17" ht="23.25" customHeight="1" x14ac:dyDescent="0.25">
      <c r="A9" s="780"/>
      <c r="B9" s="781"/>
      <c r="C9" s="782"/>
      <c r="D9" s="782"/>
      <c r="E9" s="783"/>
      <c r="F9" s="600"/>
      <c r="G9" s="769"/>
      <c r="H9" s="770"/>
      <c r="I9" s="770"/>
      <c r="J9" s="770"/>
      <c r="K9" s="770"/>
      <c r="L9" s="771"/>
      <c r="M9" s="772"/>
      <c r="N9" s="706"/>
      <c r="O9" s="764"/>
      <c r="P9" s="601"/>
      <c r="Q9" s="858">
        <f t="shared" si="0"/>
        <v>0</v>
      </c>
    </row>
    <row r="10" spans="1:17" ht="23.25" customHeight="1" x14ac:dyDescent="0.25">
      <c r="A10" s="780"/>
      <c r="B10" s="781"/>
      <c r="C10" s="782"/>
      <c r="D10" s="782"/>
      <c r="E10" s="783"/>
      <c r="F10" s="600"/>
      <c r="G10" s="769"/>
      <c r="H10" s="770"/>
      <c r="I10" s="770"/>
      <c r="J10" s="770"/>
      <c r="K10" s="770"/>
      <c r="L10" s="771"/>
      <c r="M10" s="772"/>
      <c r="N10" s="706"/>
      <c r="O10" s="764"/>
      <c r="P10" s="601"/>
      <c r="Q10" s="858">
        <f t="shared" si="0"/>
        <v>0</v>
      </c>
    </row>
    <row r="11" spans="1:17" ht="23.25" customHeight="1" x14ac:dyDescent="0.25">
      <c r="A11" s="780"/>
      <c r="B11" s="781"/>
      <c r="C11" s="782"/>
      <c r="D11" s="782"/>
      <c r="E11" s="783"/>
      <c r="F11" s="600"/>
      <c r="G11" s="769"/>
      <c r="H11" s="770"/>
      <c r="I11" s="770"/>
      <c r="J11" s="770"/>
      <c r="K11" s="770"/>
      <c r="L11" s="771"/>
      <c r="M11" s="772"/>
      <c r="N11" s="706"/>
      <c r="O11" s="764"/>
      <c r="P11" s="601"/>
      <c r="Q11" s="858">
        <f t="shared" si="0"/>
        <v>0</v>
      </c>
    </row>
    <row r="12" spans="1:17" ht="23.25" customHeight="1" x14ac:dyDescent="0.25">
      <c r="A12" s="780"/>
      <c r="B12" s="781"/>
      <c r="C12" s="782"/>
      <c r="D12" s="782"/>
      <c r="E12" s="783"/>
      <c r="F12" s="600"/>
      <c r="G12" s="769"/>
      <c r="H12" s="770"/>
      <c r="I12" s="770"/>
      <c r="J12" s="770"/>
      <c r="K12" s="770"/>
      <c r="L12" s="771"/>
      <c r="M12" s="772"/>
      <c r="N12" s="706"/>
      <c r="O12" s="764"/>
      <c r="P12" s="601"/>
      <c r="Q12" s="858">
        <f t="shared" si="0"/>
        <v>0</v>
      </c>
    </row>
    <row r="13" spans="1:17" ht="23.25" customHeight="1" x14ac:dyDescent="0.25">
      <c r="A13" s="780"/>
      <c r="B13" s="781"/>
      <c r="C13" s="782"/>
      <c r="D13" s="782"/>
      <c r="E13" s="783"/>
      <c r="F13" s="600"/>
      <c r="G13" s="769"/>
      <c r="H13" s="770"/>
      <c r="I13" s="770"/>
      <c r="J13" s="770"/>
      <c r="K13" s="770"/>
      <c r="L13" s="771"/>
      <c r="M13" s="772"/>
      <c r="N13" s="706"/>
      <c r="O13" s="764"/>
      <c r="P13" s="601"/>
      <c r="Q13" s="858">
        <f t="shared" si="0"/>
        <v>0</v>
      </c>
    </row>
    <row r="14" spans="1:17" ht="23.25" customHeight="1" x14ac:dyDescent="0.25">
      <c r="A14" s="780"/>
      <c r="B14" s="781"/>
      <c r="C14" s="782"/>
      <c r="D14" s="782"/>
      <c r="E14" s="784"/>
      <c r="F14" s="600"/>
      <c r="G14" s="769"/>
      <c r="H14" s="770"/>
      <c r="I14" s="770"/>
      <c r="J14" s="770"/>
      <c r="K14" s="770"/>
      <c r="L14" s="771"/>
      <c r="M14" s="772"/>
      <c r="N14" s="706"/>
      <c r="O14" s="764"/>
      <c r="P14" s="601"/>
      <c r="Q14" s="858">
        <f t="shared" si="0"/>
        <v>0</v>
      </c>
    </row>
    <row r="15" spans="1:17" ht="23.25" customHeight="1" x14ac:dyDescent="0.25">
      <c r="A15" s="780"/>
      <c r="B15" s="781"/>
      <c r="C15" s="782"/>
      <c r="D15" s="782"/>
      <c r="E15" s="783"/>
      <c r="F15" s="600"/>
      <c r="G15" s="769"/>
      <c r="H15" s="770"/>
      <c r="I15" s="770"/>
      <c r="J15" s="770"/>
      <c r="K15" s="770"/>
      <c r="L15" s="771"/>
      <c r="M15" s="772"/>
      <c r="N15" s="706"/>
      <c r="O15" s="764"/>
      <c r="P15" s="601"/>
      <c r="Q15" s="858">
        <f t="shared" si="0"/>
        <v>0</v>
      </c>
    </row>
    <row r="16" spans="1:17" ht="23.25" customHeight="1" x14ac:dyDescent="0.25">
      <c r="A16" s="780"/>
      <c r="B16" s="781"/>
      <c r="C16" s="782"/>
      <c r="D16" s="782"/>
      <c r="E16" s="783"/>
      <c r="F16" s="600"/>
      <c r="G16" s="769"/>
      <c r="H16" s="770"/>
      <c r="I16" s="770"/>
      <c r="J16" s="770"/>
      <c r="K16" s="770"/>
      <c r="L16" s="771"/>
      <c r="M16" s="772"/>
      <c r="N16" s="706"/>
      <c r="O16" s="764"/>
      <c r="P16" s="601"/>
      <c r="Q16" s="858">
        <f t="shared" si="0"/>
        <v>0</v>
      </c>
    </row>
    <row r="17" spans="1:17" ht="23.25" customHeight="1" x14ac:dyDescent="0.25">
      <c r="A17" s="780"/>
      <c r="B17" s="781"/>
      <c r="C17" s="782"/>
      <c r="D17" s="782"/>
      <c r="E17" s="783"/>
      <c r="F17" s="600"/>
      <c r="G17" s="769"/>
      <c r="H17" s="770"/>
      <c r="I17" s="770"/>
      <c r="J17" s="770"/>
      <c r="K17" s="770"/>
      <c r="L17" s="771"/>
      <c r="M17" s="772"/>
      <c r="N17" s="706"/>
      <c r="O17" s="764"/>
      <c r="P17" s="601"/>
      <c r="Q17" s="858">
        <f t="shared" si="0"/>
        <v>0</v>
      </c>
    </row>
    <row r="18" spans="1:17" ht="23.25" customHeight="1" x14ac:dyDescent="0.25">
      <c r="A18" s="780"/>
      <c r="B18" s="781"/>
      <c r="C18" s="782"/>
      <c r="D18" s="782"/>
      <c r="E18" s="783"/>
      <c r="F18" s="600"/>
      <c r="G18" s="769"/>
      <c r="H18" s="770"/>
      <c r="I18" s="770"/>
      <c r="J18" s="770"/>
      <c r="K18" s="770"/>
      <c r="L18" s="771"/>
      <c r="M18" s="772"/>
      <c r="N18" s="706"/>
      <c r="O18" s="764"/>
      <c r="P18" s="601"/>
      <c r="Q18" s="858">
        <f t="shared" si="0"/>
        <v>0</v>
      </c>
    </row>
    <row r="19" spans="1:17" ht="23.25" customHeight="1" x14ac:dyDescent="0.25">
      <c r="A19" s="780"/>
      <c r="B19" s="781"/>
      <c r="C19" s="782"/>
      <c r="D19" s="782"/>
      <c r="E19" s="783"/>
      <c r="F19" s="600"/>
      <c r="G19" s="769"/>
      <c r="H19" s="770"/>
      <c r="I19" s="770"/>
      <c r="J19" s="770"/>
      <c r="K19" s="770"/>
      <c r="L19" s="771"/>
      <c r="M19" s="772"/>
      <c r="N19" s="706"/>
      <c r="O19" s="764"/>
      <c r="P19" s="601"/>
      <c r="Q19" s="858">
        <f t="shared" si="0"/>
        <v>0</v>
      </c>
    </row>
    <row r="20" spans="1:17" ht="23.25" customHeight="1" x14ac:dyDescent="0.25">
      <c r="A20" s="780"/>
      <c r="B20" s="781"/>
      <c r="C20" s="782"/>
      <c r="D20" s="782"/>
      <c r="E20" s="783"/>
      <c r="F20" s="600"/>
      <c r="G20" s="769"/>
      <c r="H20" s="770"/>
      <c r="I20" s="770"/>
      <c r="J20" s="770"/>
      <c r="K20" s="770"/>
      <c r="L20" s="771"/>
      <c r="M20" s="772"/>
      <c r="N20" s="706"/>
      <c r="O20" s="764"/>
      <c r="P20" s="601"/>
      <c r="Q20" s="858">
        <f t="shared" si="0"/>
        <v>0</v>
      </c>
    </row>
    <row r="21" spans="1:17" ht="23.25" customHeight="1" x14ac:dyDescent="0.25">
      <c r="A21" s="780"/>
      <c r="B21" s="781"/>
      <c r="C21" s="782"/>
      <c r="D21" s="782"/>
      <c r="E21" s="783"/>
      <c r="F21" s="600"/>
      <c r="G21" s="769"/>
      <c r="H21" s="770"/>
      <c r="I21" s="770"/>
      <c r="J21" s="770"/>
      <c r="K21" s="770"/>
      <c r="L21" s="771"/>
      <c r="M21" s="772"/>
      <c r="N21" s="706"/>
      <c r="O21" s="764"/>
      <c r="P21" s="601"/>
      <c r="Q21" s="858">
        <f t="shared" si="0"/>
        <v>0</v>
      </c>
    </row>
    <row r="22" spans="1:17" ht="23.25" customHeight="1" x14ac:dyDescent="0.25">
      <c r="A22" s="780"/>
      <c r="B22" s="781"/>
      <c r="C22" s="782"/>
      <c r="D22" s="782"/>
      <c r="E22" s="783"/>
      <c r="F22" s="600"/>
      <c r="G22" s="769"/>
      <c r="H22" s="770"/>
      <c r="I22" s="770"/>
      <c r="J22" s="770"/>
      <c r="K22" s="770"/>
      <c r="L22" s="771"/>
      <c r="M22" s="772"/>
      <c r="N22" s="706"/>
      <c r="O22" s="764"/>
      <c r="P22" s="601"/>
      <c r="Q22" s="858">
        <f t="shared" si="0"/>
        <v>0</v>
      </c>
    </row>
    <row r="23" spans="1:17" ht="23.25" customHeight="1" x14ac:dyDescent="0.25">
      <c r="A23" s="780"/>
      <c r="B23" s="781"/>
      <c r="C23" s="782"/>
      <c r="D23" s="782"/>
      <c r="E23" s="783"/>
      <c r="F23" s="600"/>
      <c r="G23" s="769"/>
      <c r="H23" s="770"/>
      <c r="I23" s="770"/>
      <c r="J23" s="770"/>
      <c r="K23" s="770"/>
      <c r="L23" s="771"/>
      <c r="M23" s="772"/>
      <c r="N23" s="706"/>
      <c r="O23" s="764"/>
      <c r="P23" s="601"/>
      <c r="Q23" s="858">
        <f t="shared" si="0"/>
        <v>0</v>
      </c>
    </row>
    <row r="24" spans="1:17" ht="23.25" customHeight="1" x14ac:dyDescent="0.25">
      <c r="A24" s="780"/>
      <c r="B24" s="781"/>
      <c r="C24" s="782"/>
      <c r="D24" s="782"/>
      <c r="E24" s="783"/>
      <c r="F24" s="600"/>
      <c r="G24" s="769"/>
      <c r="H24" s="770"/>
      <c r="I24" s="770"/>
      <c r="J24" s="770"/>
      <c r="K24" s="770"/>
      <c r="L24" s="771"/>
      <c r="M24" s="772"/>
      <c r="N24" s="706"/>
      <c r="O24" s="764"/>
      <c r="P24" s="601"/>
      <c r="Q24" s="858">
        <f t="shared" si="0"/>
        <v>0</v>
      </c>
    </row>
    <row r="25" spans="1:17" ht="23.25" customHeight="1" x14ac:dyDescent="0.25">
      <c r="A25" s="780"/>
      <c r="B25" s="781"/>
      <c r="C25" s="782"/>
      <c r="D25" s="782"/>
      <c r="E25" s="783"/>
      <c r="F25" s="600"/>
      <c r="G25" s="769"/>
      <c r="H25" s="770"/>
      <c r="I25" s="770"/>
      <c r="J25" s="770"/>
      <c r="K25" s="770"/>
      <c r="L25" s="771"/>
      <c r="M25" s="772"/>
      <c r="N25" s="706"/>
      <c r="O25" s="764"/>
      <c r="P25" s="601"/>
      <c r="Q25" s="858">
        <f t="shared" si="0"/>
        <v>0</v>
      </c>
    </row>
    <row r="26" spans="1:17" ht="23.25" customHeight="1" x14ac:dyDescent="0.25">
      <c r="A26" s="780"/>
      <c r="B26" s="781"/>
      <c r="C26" s="782"/>
      <c r="D26" s="782"/>
      <c r="E26" s="783"/>
      <c r="F26" s="600"/>
      <c r="G26" s="769"/>
      <c r="H26" s="770"/>
      <c r="I26" s="770"/>
      <c r="J26" s="770"/>
      <c r="K26" s="770"/>
      <c r="L26" s="771"/>
      <c r="M26" s="772"/>
      <c r="N26" s="706"/>
      <c r="O26" s="764"/>
      <c r="P26" s="601"/>
      <c r="Q26" s="858">
        <f t="shared" si="0"/>
        <v>0</v>
      </c>
    </row>
    <row r="27" spans="1:17" ht="23.25" customHeight="1" x14ac:dyDescent="0.25">
      <c r="A27" s="780"/>
      <c r="B27" s="781"/>
      <c r="C27" s="782"/>
      <c r="D27" s="782"/>
      <c r="E27" s="783"/>
      <c r="F27" s="600"/>
      <c r="G27" s="769"/>
      <c r="H27" s="770"/>
      <c r="I27" s="770"/>
      <c r="J27" s="770"/>
      <c r="K27" s="770"/>
      <c r="L27" s="771"/>
      <c r="M27" s="772"/>
      <c r="N27" s="706"/>
      <c r="O27" s="764"/>
      <c r="P27" s="601"/>
      <c r="Q27" s="858">
        <f t="shared" si="0"/>
        <v>0</v>
      </c>
    </row>
    <row r="28" spans="1:17" ht="23.25" customHeight="1" x14ac:dyDescent="0.25">
      <c r="A28" s="780"/>
      <c r="B28" s="781"/>
      <c r="C28" s="782"/>
      <c r="D28" s="782"/>
      <c r="E28" s="783"/>
      <c r="F28" s="600"/>
      <c r="G28" s="769"/>
      <c r="H28" s="770"/>
      <c r="I28" s="770"/>
      <c r="J28" s="770"/>
      <c r="K28" s="770"/>
      <c r="L28" s="771"/>
      <c r="M28" s="772"/>
      <c r="N28" s="706"/>
      <c r="O28" s="764"/>
      <c r="P28" s="601"/>
      <c r="Q28" s="858">
        <f t="shared" si="0"/>
        <v>0</v>
      </c>
    </row>
    <row r="29" spans="1:17" ht="23.25" customHeight="1" x14ac:dyDescent="0.25">
      <c r="A29" s="780"/>
      <c r="B29" s="781"/>
      <c r="C29" s="782"/>
      <c r="D29" s="782"/>
      <c r="E29" s="783"/>
      <c r="F29" s="600"/>
      <c r="G29" s="769"/>
      <c r="H29" s="770"/>
      <c r="I29" s="770"/>
      <c r="J29" s="770"/>
      <c r="K29" s="770"/>
      <c r="L29" s="771"/>
      <c r="M29" s="772"/>
      <c r="N29" s="706"/>
      <c r="O29" s="764"/>
      <c r="P29" s="601"/>
      <c r="Q29" s="858">
        <f t="shared" si="0"/>
        <v>0</v>
      </c>
    </row>
    <row r="30" spans="1:17" ht="23.25" customHeight="1" x14ac:dyDescent="0.25">
      <c r="A30" s="780"/>
      <c r="B30" s="781"/>
      <c r="C30" s="782"/>
      <c r="D30" s="782"/>
      <c r="E30" s="783"/>
      <c r="F30" s="600"/>
      <c r="G30" s="769"/>
      <c r="H30" s="770"/>
      <c r="I30" s="770"/>
      <c r="J30" s="770"/>
      <c r="K30" s="770"/>
      <c r="L30" s="771"/>
      <c r="M30" s="772"/>
      <c r="N30" s="706"/>
      <c r="O30" s="764"/>
      <c r="P30" s="601"/>
      <c r="Q30" s="858">
        <f t="shared" si="0"/>
        <v>0</v>
      </c>
    </row>
    <row r="31" spans="1:17" ht="23.25" customHeight="1" x14ac:dyDescent="0.25">
      <c r="A31" s="780"/>
      <c r="B31" s="781"/>
      <c r="C31" s="782"/>
      <c r="D31" s="782"/>
      <c r="E31" s="783"/>
      <c r="F31" s="600"/>
      <c r="G31" s="769"/>
      <c r="H31" s="770"/>
      <c r="I31" s="770"/>
      <c r="J31" s="770"/>
      <c r="K31" s="770"/>
      <c r="L31" s="771"/>
      <c r="M31" s="772"/>
      <c r="N31" s="706"/>
      <c r="O31" s="764"/>
      <c r="P31" s="601"/>
      <c r="Q31" s="858">
        <f t="shared" si="0"/>
        <v>0</v>
      </c>
    </row>
    <row r="32" spans="1:17" ht="23.25" customHeight="1" x14ac:dyDescent="0.25">
      <c r="A32" s="780"/>
      <c r="B32" s="781"/>
      <c r="C32" s="782"/>
      <c r="D32" s="782"/>
      <c r="E32" s="783"/>
      <c r="F32" s="600"/>
      <c r="G32" s="769"/>
      <c r="H32" s="770"/>
      <c r="I32" s="770"/>
      <c r="J32" s="770"/>
      <c r="K32" s="770"/>
      <c r="L32" s="771"/>
      <c r="M32" s="772"/>
      <c r="N32" s="706"/>
      <c r="O32" s="764"/>
      <c r="P32" s="601"/>
      <c r="Q32" s="858">
        <f t="shared" si="0"/>
        <v>0</v>
      </c>
    </row>
    <row r="33" spans="1:17" ht="23.25" customHeight="1" x14ac:dyDescent="0.25">
      <c r="A33" s="780"/>
      <c r="B33" s="781"/>
      <c r="C33" s="782"/>
      <c r="D33" s="782"/>
      <c r="E33" s="783"/>
      <c r="F33" s="600"/>
      <c r="G33" s="769"/>
      <c r="H33" s="770"/>
      <c r="I33" s="770"/>
      <c r="J33" s="770"/>
      <c r="K33" s="770"/>
      <c r="L33" s="771"/>
      <c r="M33" s="772"/>
      <c r="N33" s="706"/>
      <c r="O33" s="764"/>
      <c r="P33" s="601"/>
      <c r="Q33" s="858">
        <f t="shared" si="0"/>
        <v>0</v>
      </c>
    </row>
    <row r="34" spans="1:17" ht="23.25" customHeight="1" x14ac:dyDescent="0.25">
      <c r="A34" s="780"/>
      <c r="B34" s="781"/>
      <c r="C34" s="782"/>
      <c r="D34" s="782"/>
      <c r="E34" s="783"/>
      <c r="F34" s="600"/>
      <c r="G34" s="769"/>
      <c r="H34" s="770"/>
      <c r="I34" s="770"/>
      <c r="J34" s="770"/>
      <c r="K34" s="770"/>
      <c r="L34" s="771"/>
      <c r="M34" s="772"/>
      <c r="N34" s="706"/>
      <c r="O34" s="764"/>
      <c r="P34" s="601"/>
      <c r="Q34" s="858">
        <f t="shared" si="0"/>
        <v>0</v>
      </c>
    </row>
    <row r="35" spans="1:17" ht="23.25" customHeight="1" x14ac:dyDescent="0.25">
      <c r="A35" s="780"/>
      <c r="B35" s="781"/>
      <c r="C35" s="782"/>
      <c r="D35" s="782"/>
      <c r="E35" s="783"/>
      <c r="F35" s="600"/>
      <c r="G35" s="769"/>
      <c r="H35" s="770"/>
      <c r="I35" s="770"/>
      <c r="J35" s="770"/>
      <c r="K35" s="770"/>
      <c r="L35" s="771"/>
      <c r="M35" s="772"/>
      <c r="N35" s="706"/>
      <c r="O35" s="764"/>
      <c r="P35" s="601"/>
      <c r="Q35" s="858">
        <f t="shared" si="0"/>
        <v>0</v>
      </c>
    </row>
    <row r="36" spans="1:17" ht="23.25" customHeight="1" x14ac:dyDescent="0.25">
      <c r="A36" s="780"/>
      <c r="B36" s="781"/>
      <c r="C36" s="782"/>
      <c r="D36" s="782"/>
      <c r="E36" s="783"/>
      <c r="F36" s="600"/>
      <c r="G36" s="769"/>
      <c r="H36" s="770"/>
      <c r="I36" s="770"/>
      <c r="J36" s="770"/>
      <c r="K36" s="770"/>
      <c r="L36" s="771"/>
      <c r="M36" s="772"/>
      <c r="N36" s="706"/>
      <c r="O36" s="764"/>
      <c r="P36" s="601"/>
      <c r="Q36" s="858">
        <f t="shared" si="0"/>
        <v>0</v>
      </c>
    </row>
    <row r="37" spans="1:17" ht="23.25" customHeight="1" x14ac:dyDescent="0.25">
      <c r="A37" s="780"/>
      <c r="B37" s="781"/>
      <c r="C37" s="782"/>
      <c r="D37" s="782"/>
      <c r="E37" s="783"/>
      <c r="F37" s="600"/>
      <c r="G37" s="769"/>
      <c r="H37" s="770"/>
      <c r="I37" s="770"/>
      <c r="J37" s="770"/>
      <c r="K37" s="770"/>
      <c r="L37" s="771"/>
      <c r="M37" s="772"/>
      <c r="N37" s="706"/>
      <c r="O37" s="764"/>
      <c r="P37" s="601"/>
      <c r="Q37" s="858">
        <f t="shared" ref="Q37:Q68" si="1">SUM(G37:O37)</f>
        <v>0</v>
      </c>
    </row>
    <row r="38" spans="1:17" ht="23.25" customHeight="1" x14ac:dyDescent="0.25">
      <c r="A38" s="780"/>
      <c r="B38" s="781"/>
      <c r="C38" s="782"/>
      <c r="D38" s="782"/>
      <c r="E38" s="783"/>
      <c r="F38" s="600"/>
      <c r="G38" s="769"/>
      <c r="H38" s="770"/>
      <c r="I38" s="770"/>
      <c r="J38" s="770"/>
      <c r="K38" s="770"/>
      <c r="L38" s="771"/>
      <c r="M38" s="772"/>
      <c r="N38" s="706"/>
      <c r="O38" s="764"/>
      <c r="P38" s="601"/>
      <c r="Q38" s="858">
        <f t="shared" si="1"/>
        <v>0</v>
      </c>
    </row>
    <row r="39" spans="1:17" ht="23.25" customHeight="1" x14ac:dyDescent="0.25">
      <c r="A39" s="780"/>
      <c r="B39" s="781"/>
      <c r="C39" s="782"/>
      <c r="D39" s="782"/>
      <c r="E39" s="783"/>
      <c r="F39" s="600"/>
      <c r="G39" s="769"/>
      <c r="H39" s="770"/>
      <c r="I39" s="770"/>
      <c r="J39" s="770"/>
      <c r="K39" s="770"/>
      <c r="L39" s="771"/>
      <c r="M39" s="772"/>
      <c r="N39" s="706"/>
      <c r="O39" s="764"/>
      <c r="P39" s="601"/>
      <c r="Q39" s="858">
        <f t="shared" si="1"/>
        <v>0</v>
      </c>
    </row>
    <row r="40" spans="1:17" ht="23.25" customHeight="1" x14ac:dyDescent="0.25">
      <c r="A40" s="780"/>
      <c r="B40" s="781"/>
      <c r="C40" s="782"/>
      <c r="D40" s="782"/>
      <c r="E40" s="783"/>
      <c r="F40" s="600"/>
      <c r="G40" s="769"/>
      <c r="H40" s="770"/>
      <c r="I40" s="770"/>
      <c r="J40" s="770"/>
      <c r="K40" s="770"/>
      <c r="L40" s="771"/>
      <c r="M40" s="772"/>
      <c r="N40" s="706"/>
      <c r="O40" s="764"/>
      <c r="P40" s="601"/>
      <c r="Q40" s="858">
        <f t="shared" si="1"/>
        <v>0</v>
      </c>
    </row>
    <row r="41" spans="1:17" ht="23.25" customHeight="1" x14ac:dyDescent="0.25">
      <c r="A41" s="780"/>
      <c r="B41" s="781"/>
      <c r="C41" s="782"/>
      <c r="D41" s="782"/>
      <c r="E41" s="783"/>
      <c r="F41" s="600"/>
      <c r="G41" s="769"/>
      <c r="H41" s="770"/>
      <c r="I41" s="770"/>
      <c r="J41" s="770"/>
      <c r="K41" s="770"/>
      <c r="L41" s="771"/>
      <c r="M41" s="772"/>
      <c r="N41" s="706"/>
      <c r="O41" s="764"/>
      <c r="P41" s="601"/>
      <c r="Q41" s="858">
        <f t="shared" si="1"/>
        <v>0</v>
      </c>
    </row>
    <row r="42" spans="1:17" ht="23.25" customHeight="1" x14ac:dyDescent="0.25">
      <c r="A42" s="780"/>
      <c r="B42" s="781"/>
      <c r="C42" s="782"/>
      <c r="D42" s="782"/>
      <c r="E42" s="783"/>
      <c r="F42" s="600"/>
      <c r="G42" s="769"/>
      <c r="H42" s="770"/>
      <c r="I42" s="770"/>
      <c r="J42" s="770"/>
      <c r="K42" s="770"/>
      <c r="L42" s="771"/>
      <c r="M42" s="772"/>
      <c r="N42" s="706"/>
      <c r="O42" s="764"/>
      <c r="P42" s="601"/>
      <c r="Q42" s="858">
        <f t="shared" si="1"/>
        <v>0</v>
      </c>
    </row>
    <row r="43" spans="1:17" ht="23.25" customHeight="1" x14ac:dyDescent="0.25">
      <c r="A43" s="780"/>
      <c r="B43" s="781"/>
      <c r="C43" s="782"/>
      <c r="D43" s="782"/>
      <c r="E43" s="783"/>
      <c r="F43" s="600"/>
      <c r="G43" s="769"/>
      <c r="H43" s="770"/>
      <c r="I43" s="770"/>
      <c r="J43" s="770"/>
      <c r="K43" s="770"/>
      <c r="L43" s="771"/>
      <c r="M43" s="772"/>
      <c r="N43" s="706"/>
      <c r="O43" s="764"/>
      <c r="P43" s="601"/>
      <c r="Q43" s="858">
        <f t="shared" si="1"/>
        <v>0</v>
      </c>
    </row>
    <row r="44" spans="1:17" ht="23.25" customHeight="1" x14ac:dyDescent="0.25">
      <c r="A44" s="780"/>
      <c r="B44" s="781"/>
      <c r="C44" s="782"/>
      <c r="D44" s="782"/>
      <c r="E44" s="783"/>
      <c r="F44" s="600"/>
      <c r="G44" s="769"/>
      <c r="H44" s="770"/>
      <c r="I44" s="770"/>
      <c r="J44" s="770"/>
      <c r="K44" s="770"/>
      <c r="L44" s="771"/>
      <c r="M44" s="772"/>
      <c r="N44" s="706"/>
      <c r="O44" s="764"/>
      <c r="P44" s="601"/>
      <c r="Q44" s="858">
        <f t="shared" si="1"/>
        <v>0</v>
      </c>
    </row>
    <row r="45" spans="1:17" ht="23.25" customHeight="1" x14ac:dyDescent="0.25">
      <c r="A45" s="780"/>
      <c r="B45" s="781"/>
      <c r="C45" s="782"/>
      <c r="D45" s="782"/>
      <c r="E45" s="783"/>
      <c r="F45" s="600"/>
      <c r="G45" s="769"/>
      <c r="H45" s="770"/>
      <c r="I45" s="770"/>
      <c r="J45" s="770"/>
      <c r="K45" s="770"/>
      <c r="L45" s="771"/>
      <c r="M45" s="772"/>
      <c r="N45" s="706"/>
      <c r="O45" s="764"/>
      <c r="P45" s="601"/>
      <c r="Q45" s="858">
        <f t="shared" si="1"/>
        <v>0</v>
      </c>
    </row>
    <row r="46" spans="1:17" ht="23.25" customHeight="1" x14ac:dyDescent="0.25">
      <c r="A46" s="780"/>
      <c r="B46" s="781"/>
      <c r="C46" s="782"/>
      <c r="D46" s="782"/>
      <c r="E46" s="783"/>
      <c r="F46" s="600"/>
      <c r="G46" s="769"/>
      <c r="H46" s="770"/>
      <c r="I46" s="770"/>
      <c r="J46" s="770"/>
      <c r="K46" s="770"/>
      <c r="L46" s="771"/>
      <c r="M46" s="772"/>
      <c r="N46" s="706"/>
      <c r="O46" s="764"/>
      <c r="P46" s="601"/>
      <c r="Q46" s="858">
        <f t="shared" si="1"/>
        <v>0</v>
      </c>
    </row>
    <row r="47" spans="1:17" ht="23.25" customHeight="1" x14ac:dyDescent="0.25">
      <c r="A47" s="780"/>
      <c r="B47" s="781"/>
      <c r="C47" s="782"/>
      <c r="D47" s="782"/>
      <c r="E47" s="783"/>
      <c r="F47" s="600"/>
      <c r="G47" s="769"/>
      <c r="H47" s="770"/>
      <c r="I47" s="770"/>
      <c r="J47" s="770"/>
      <c r="K47" s="770"/>
      <c r="L47" s="771"/>
      <c r="M47" s="772"/>
      <c r="N47" s="706"/>
      <c r="O47" s="764"/>
      <c r="P47" s="601"/>
      <c r="Q47" s="858">
        <f t="shared" si="1"/>
        <v>0</v>
      </c>
    </row>
    <row r="48" spans="1:17" ht="23.25" customHeight="1" x14ac:dyDescent="0.25">
      <c r="A48" s="780"/>
      <c r="B48" s="781"/>
      <c r="C48" s="782"/>
      <c r="D48" s="782"/>
      <c r="E48" s="783"/>
      <c r="F48" s="600"/>
      <c r="G48" s="769"/>
      <c r="H48" s="770"/>
      <c r="I48" s="770"/>
      <c r="J48" s="770"/>
      <c r="K48" s="770"/>
      <c r="L48" s="771"/>
      <c r="M48" s="772"/>
      <c r="N48" s="706"/>
      <c r="O48" s="764"/>
      <c r="P48" s="601"/>
      <c r="Q48" s="858">
        <f t="shared" si="1"/>
        <v>0</v>
      </c>
    </row>
    <row r="49" spans="1:17" ht="23.25" customHeight="1" x14ac:dyDescent="0.25">
      <c r="A49" s="780"/>
      <c r="B49" s="781"/>
      <c r="C49" s="782"/>
      <c r="D49" s="782"/>
      <c r="E49" s="783"/>
      <c r="F49" s="600"/>
      <c r="G49" s="769"/>
      <c r="H49" s="770"/>
      <c r="I49" s="770"/>
      <c r="J49" s="770"/>
      <c r="K49" s="770"/>
      <c r="L49" s="771"/>
      <c r="M49" s="772"/>
      <c r="N49" s="706"/>
      <c r="O49" s="764"/>
      <c r="P49" s="601"/>
      <c r="Q49" s="858">
        <f t="shared" si="1"/>
        <v>0</v>
      </c>
    </row>
    <row r="50" spans="1:17" ht="23.25" customHeight="1" x14ac:dyDescent="0.25">
      <c r="A50" s="780"/>
      <c r="B50" s="781"/>
      <c r="C50" s="782"/>
      <c r="D50" s="782"/>
      <c r="E50" s="783"/>
      <c r="F50" s="600"/>
      <c r="G50" s="769"/>
      <c r="H50" s="770"/>
      <c r="I50" s="770"/>
      <c r="J50" s="770"/>
      <c r="K50" s="770"/>
      <c r="L50" s="771"/>
      <c r="M50" s="772"/>
      <c r="N50" s="706"/>
      <c r="O50" s="764"/>
      <c r="P50" s="601"/>
      <c r="Q50" s="858">
        <f t="shared" si="1"/>
        <v>0</v>
      </c>
    </row>
    <row r="51" spans="1:17" ht="23.25" customHeight="1" x14ac:dyDescent="0.25">
      <c r="A51" s="780"/>
      <c r="B51" s="781"/>
      <c r="C51" s="782"/>
      <c r="D51" s="782"/>
      <c r="E51" s="783"/>
      <c r="F51" s="600"/>
      <c r="G51" s="769"/>
      <c r="H51" s="770"/>
      <c r="I51" s="770"/>
      <c r="J51" s="770"/>
      <c r="K51" s="770"/>
      <c r="L51" s="771"/>
      <c r="M51" s="772"/>
      <c r="N51" s="706"/>
      <c r="O51" s="764"/>
      <c r="P51" s="601"/>
      <c r="Q51" s="858">
        <f t="shared" si="1"/>
        <v>0</v>
      </c>
    </row>
    <row r="52" spans="1:17" ht="23.25" customHeight="1" x14ac:dyDescent="0.25">
      <c r="A52" s="780"/>
      <c r="B52" s="781"/>
      <c r="C52" s="782"/>
      <c r="D52" s="782"/>
      <c r="E52" s="783"/>
      <c r="F52" s="600"/>
      <c r="G52" s="769"/>
      <c r="H52" s="770"/>
      <c r="I52" s="770"/>
      <c r="J52" s="770"/>
      <c r="K52" s="770"/>
      <c r="L52" s="771"/>
      <c r="M52" s="772"/>
      <c r="N52" s="706"/>
      <c r="O52" s="764"/>
      <c r="P52" s="601"/>
      <c r="Q52" s="858">
        <f t="shared" si="1"/>
        <v>0</v>
      </c>
    </row>
    <row r="53" spans="1:17" ht="23.25" customHeight="1" x14ac:dyDescent="0.25">
      <c r="A53" s="780"/>
      <c r="B53" s="781"/>
      <c r="C53" s="782"/>
      <c r="D53" s="782"/>
      <c r="E53" s="783"/>
      <c r="F53" s="600"/>
      <c r="G53" s="769"/>
      <c r="H53" s="770"/>
      <c r="I53" s="770"/>
      <c r="J53" s="770"/>
      <c r="K53" s="770"/>
      <c r="L53" s="771"/>
      <c r="M53" s="772"/>
      <c r="N53" s="706"/>
      <c r="O53" s="764"/>
      <c r="P53" s="601"/>
      <c r="Q53" s="858">
        <f t="shared" si="1"/>
        <v>0</v>
      </c>
    </row>
    <row r="54" spans="1:17" ht="23.25" customHeight="1" x14ac:dyDescent="0.25">
      <c r="A54" s="780"/>
      <c r="B54" s="781"/>
      <c r="C54" s="782"/>
      <c r="D54" s="782"/>
      <c r="E54" s="783"/>
      <c r="F54" s="600"/>
      <c r="G54" s="769"/>
      <c r="H54" s="770"/>
      <c r="I54" s="770"/>
      <c r="J54" s="770"/>
      <c r="K54" s="770"/>
      <c r="L54" s="771"/>
      <c r="M54" s="772"/>
      <c r="N54" s="706"/>
      <c r="O54" s="764"/>
      <c r="P54" s="601"/>
      <c r="Q54" s="858">
        <f t="shared" si="1"/>
        <v>0</v>
      </c>
    </row>
    <row r="55" spans="1:17" ht="23.25" customHeight="1" x14ac:dyDescent="0.25">
      <c r="A55" s="780"/>
      <c r="B55" s="781"/>
      <c r="C55" s="782"/>
      <c r="D55" s="782"/>
      <c r="E55" s="783"/>
      <c r="F55" s="600"/>
      <c r="G55" s="769"/>
      <c r="H55" s="770"/>
      <c r="I55" s="770"/>
      <c r="J55" s="770"/>
      <c r="K55" s="770"/>
      <c r="L55" s="771"/>
      <c r="M55" s="772"/>
      <c r="N55" s="706"/>
      <c r="O55" s="764"/>
      <c r="P55" s="601"/>
      <c r="Q55" s="858">
        <f t="shared" si="1"/>
        <v>0</v>
      </c>
    </row>
    <row r="56" spans="1:17" ht="23.25" customHeight="1" x14ac:dyDescent="0.25">
      <c r="A56" s="780"/>
      <c r="B56" s="781"/>
      <c r="C56" s="782"/>
      <c r="D56" s="782"/>
      <c r="E56" s="783"/>
      <c r="F56" s="600"/>
      <c r="G56" s="769"/>
      <c r="H56" s="770"/>
      <c r="I56" s="770"/>
      <c r="J56" s="770"/>
      <c r="K56" s="770"/>
      <c r="L56" s="771"/>
      <c r="M56" s="772"/>
      <c r="N56" s="706"/>
      <c r="O56" s="764"/>
      <c r="P56" s="601"/>
      <c r="Q56" s="858">
        <f t="shared" si="1"/>
        <v>0</v>
      </c>
    </row>
    <row r="57" spans="1:17" ht="23.25" customHeight="1" x14ac:dyDescent="0.25">
      <c r="A57" s="780"/>
      <c r="B57" s="781"/>
      <c r="C57" s="782"/>
      <c r="D57" s="782"/>
      <c r="E57" s="783"/>
      <c r="F57" s="600"/>
      <c r="G57" s="769"/>
      <c r="H57" s="770"/>
      <c r="I57" s="770"/>
      <c r="J57" s="770"/>
      <c r="K57" s="770"/>
      <c r="L57" s="771"/>
      <c r="M57" s="772"/>
      <c r="N57" s="706"/>
      <c r="O57" s="764"/>
      <c r="P57" s="601"/>
      <c r="Q57" s="858">
        <f t="shared" si="1"/>
        <v>0</v>
      </c>
    </row>
    <row r="58" spans="1:17" ht="23.25" customHeight="1" x14ac:dyDescent="0.25">
      <c r="A58" s="780"/>
      <c r="B58" s="781"/>
      <c r="C58" s="782"/>
      <c r="D58" s="782"/>
      <c r="E58" s="783"/>
      <c r="F58" s="600"/>
      <c r="G58" s="769"/>
      <c r="H58" s="770"/>
      <c r="I58" s="770"/>
      <c r="J58" s="770"/>
      <c r="K58" s="770"/>
      <c r="L58" s="771"/>
      <c r="M58" s="772"/>
      <c r="N58" s="706"/>
      <c r="O58" s="764"/>
      <c r="P58" s="601"/>
      <c r="Q58" s="858">
        <f t="shared" si="1"/>
        <v>0</v>
      </c>
    </row>
    <row r="59" spans="1:17" ht="23.25" customHeight="1" x14ac:dyDescent="0.25">
      <c r="A59" s="780"/>
      <c r="B59" s="781"/>
      <c r="C59" s="782"/>
      <c r="D59" s="782"/>
      <c r="E59" s="783"/>
      <c r="F59" s="600"/>
      <c r="G59" s="769"/>
      <c r="H59" s="770"/>
      <c r="I59" s="770"/>
      <c r="J59" s="770"/>
      <c r="K59" s="770"/>
      <c r="L59" s="771"/>
      <c r="M59" s="772"/>
      <c r="N59" s="706"/>
      <c r="O59" s="764"/>
      <c r="P59" s="601"/>
      <c r="Q59" s="858">
        <f t="shared" si="1"/>
        <v>0</v>
      </c>
    </row>
    <row r="60" spans="1:17" ht="23.25" customHeight="1" x14ac:dyDescent="0.25">
      <c r="A60" s="780"/>
      <c r="B60" s="781"/>
      <c r="C60" s="782"/>
      <c r="D60" s="782"/>
      <c r="E60" s="783"/>
      <c r="F60" s="600"/>
      <c r="G60" s="769"/>
      <c r="H60" s="770"/>
      <c r="I60" s="770"/>
      <c r="J60" s="770"/>
      <c r="K60" s="770"/>
      <c r="L60" s="771"/>
      <c r="M60" s="772"/>
      <c r="N60" s="706"/>
      <c r="O60" s="764"/>
      <c r="P60" s="601"/>
      <c r="Q60" s="858">
        <f t="shared" si="1"/>
        <v>0</v>
      </c>
    </row>
    <row r="61" spans="1:17" ht="23.25" customHeight="1" x14ac:dyDescent="0.25">
      <c r="A61" s="780"/>
      <c r="B61" s="781"/>
      <c r="C61" s="782"/>
      <c r="D61" s="782"/>
      <c r="E61" s="783"/>
      <c r="F61" s="600"/>
      <c r="G61" s="769"/>
      <c r="H61" s="770"/>
      <c r="I61" s="770"/>
      <c r="J61" s="770"/>
      <c r="K61" s="770"/>
      <c r="L61" s="771"/>
      <c r="M61" s="772"/>
      <c r="N61" s="706"/>
      <c r="O61" s="764"/>
      <c r="P61" s="601"/>
      <c r="Q61" s="858">
        <f t="shared" si="1"/>
        <v>0</v>
      </c>
    </row>
    <row r="62" spans="1:17" ht="23.25" customHeight="1" x14ac:dyDescent="0.25">
      <c r="A62" s="780"/>
      <c r="B62" s="781"/>
      <c r="C62" s="782"/>
      <c r="D62" s="782"/>
      <c r="E62" s="783"/>
      <c r="F62" s="600"/>
      <c r="G62" s="769"/>
      <c r="H62" s="770"/>
      <c r="I62" s="770"/>
      <c r="J62" s="770"/>
      <c r="K62" s="770"/>
      <c r="L62" s="771"/>
      <c r="M62" s="772"/>
      <c r="N62" s="706"/>
      <c r="O62" s="764"/>
      <c r="P62" s="601"/>
      <c r="Q62" s="858">
        <f t="shared" si="1"/>
        <v>0</v>
      </c>
    </row>
    <row r="63" spans="1:17" ht="23.25" customHeight="1" x14ac:dyDescent="0.25">
      <c r="A63" s="780"/>
      <c r="B63" s="781"/>
      <c r="C63" s="782"/>
      <c r="D63" s="782"/>
      <c r="E63" s="783"/>
      <c r="F63" s="600"/>
      <c r="G63" s="769"/>
      <c r="H63" s="770"/>
      <c r="I63" s="770"/>
      <c r="J63" s="770"/>
      <c r="K63" s="770"/>
      <c r="L63" s="771"/>
      <c r="M63" s="772"/>
      <c r="N63" s="706"/>
      <c r="O63" s="764"/>
      <c r="P63" s="601"/>
      <c r="Q63" s="858">
        <f t="shared" si="1"/>
        <v>0</v>
      </c>
    </row>
    <row r="64" spans="1:17" ht="23.25" customHeight="1" x14ac:dyDescent="0.25">
      <c r="A64" s="780"/>
      <c r="B64" s="781"/>
      <c r="C64" s="782"/>
      <c r="D64" s="782"/>
      <c r="E64" s="783"/>
      <c r="F64" s="600"/>
      <c r="G64" s="769"/>
      <c r="H64" s="770"/>
      <c r="I64" s="770"/>
      <c r="J64" s="770"/>
      <c r="K64" s="770"/>
      <c r="L64" s="771"/>
      <c r="M64" s="772"/>
      <c r="N64" s="706"/>
      <c r="O64" s="764"/>
      <c r="P64" s="601"/>
      <c r="Q64" s="858">
        <f t="shared" si="1"/>
        <v>0</v>
      </c>
    </row>
    <row r="65" spans="1:17" ht="23.25" customHeight="1" x14ac:dyDescent="0.25">
      <c r="A65" s="780"/>
      <c r="B65" s="781"/>
      <c r="C65" s="782"/>
      <c r="D65" s="782"/>
      <c r="E65" s="783"/>
      <c r="F65" s="600"/>
      <c r="G65" s="769"/>
      <c r="H65" s="770"/>
      <c r="I65" s="770"/>
      <c r="J65" s="770"/>
      <c r="K65" s="770"/>
      <c r="L65" s="771"/>
      <c r="M65" s="772"/>
      <c r="N65" s="706"/>
      <c r="O65" s="764"/>
      <c r="P65" s="601"/>
      <c r="Q65" s="858">
        <f t="shared" si="1"/>
        <v>0</v>
      </c>
    </row>
    <row r="66" spans="1:17" ht="23.25" customHeight="1" x14ac:dyDescent="0.25">
      <c r="A66" s="780"/>
      <c r="B66" s="781"/>
      <c r="C66" s="782"/>
      <c r="D66" s="782"/>
      <c r="E66" s="783"/>
      <c r="F66" s="600"/>
      <c r="G66" s="769"/>
      <c r="H66" s="770"/>
      <c r="I66" s="770"/>
      <c r="J66" s="770"/>
      <c r="K66" s="770"/>
      <c r="L66" s="771"/>
      <c r="M66" s="772"/>
      <c r="N66" s="706"/>
      <c r="O66" s="764"/>
      <c r="P66" s="601"/>
      <c r="Q66" s="858">
        <f t="shared" si="1"/>
        <v>0</v>
      </c>
    </row>
    <row r="67" spans="1:17" ht="23.25" customHeight="1" x14ac:dyDescent="0.25">
      <c r="A67" s="780"/>
      <c r="B67" s="781"/>
      <c r="C67" s="782"/>
      <c r="D67" s="782"/>
      <c r="E67" s="783"/>
      <c r="F67" s="600"/>
      <c r="G67" s="769"/>
      <c r="H67" s="770"/>
      <c r="I67" s="770"/>
      <c r="J67" s="770"/>
      <c r="K67" s="770"/>
      <c r="L67" s="771"/>
      <c r="M67" s="772"/>
      <c r="N67" s="706"/>
      <c r="O67" s="764"/>
      <c r="P67" s="601"/>
      <c r="Q67" s="858">
        <f t="shared" si="1"/>
        <v>0</v>
      </c>
    </row>
    <row r="68" spans="1:17" ht="23.25" customHeight="1" x14ac:dyDescent="0.25">
      <c r="A68" s="780"/>
      <c r="B68" s="781"/>
      <c r="C68" s="782"/>
      <c r="D68" s="782"/>
      <c r="E68" s="783"/>
      <c r="F68" s="600"/>
      <c r="G68" s="769"/>
      <c r="H68" s="770"/>
      <c r="I68" s="770"/>
      <c r="J68" s="770"/>
      <c r="K68" s="770"/>
      <c r="L68" s="771"/>
      <c r="M68" s="772"/>
      <c r="N68" s="706"/>
      <c r="O68" s="764"/>
      <c r="P68" s="601"/>
      <c r="Q68" s="858">
        <f t="shared" si="1"/>
        <v>0</v>
      </c>
    </row>
    <row r="69" spans="1:17" ht="23.25" customHeight="1" x14ac:dyDescent="0.25">
      <c r="A69" s="780"/>
      <c r="B69" s="781"/>
      <c r="C69" s="782"/>
      <c r="D69" s="782"/>
      <c r="E69" s="783"/>
      <c r="F69" s="600"/>
      <c r="G69" s="769"/>
      <c r="H69" s="770"/>
      <c r="I69" s="770"/>
      <c r="J69" s="770"/>
      <c r="K69" s="770"/>
      <c r="L69" s="771"/>
      <c r="M69" s="772"/>
      <c r="N69" s="706"/>
      <c r="O69" s="764"/>
      <c r="P69" s="601"/>
      <c r="Q69" s="858">
        <f t="shared" ref="Q69:Q84" si="2">SUM(G69:O69)</f>
        <v>0</v>
      </c>
    </row>
    <row r="70" spans="1:17" ht="23.25" customHeight="1" x14ac:dyDescent="0.25">
      <c r="A70" s="780"/>
      <c r="B70" s="781"/>
      <c r="C70" s="782"/>
      <c r="D70" s="782"/>
      <c r="E70" s="783"/>
      <c r="F70" s="600"/>
      <c r="G70" s="769"/>
      <c r="H70" s="770"/>
      <c r="I70" s="770"/>
      <c r="J70" s="770"/>
      <c r="K70" s="770"/>
      <c r="L70" s="771"/>
      <c r="M70" s="772"/>
      <c r="N70" s="706"/>
      <c r="O70" s="764"/>
      <c r="P70" s="601"/>
      <c r="Q70" s="858">
        <f t="shared" si="2"/>
        <v>0</v>
      </c>
    </row>
    <row r="71" spans="1:17" ht="23.25" customHeight="1" x14ac:dyDescent="0.25">
      <c r="A71" s="780"/>
      <c r="B71" s="781"/>
      <c r="C71" s="782"/>
      <c r="D71" s="782"/>
      <c r="E71" s="783"/>
      <c r="F71" s="600"/>
      <c r="G71" s="769"/>
      <c r="H71" s="770"/>
      <c r="I71" s="770"/>
      <c r="J71" s="770"/>
      <c r="K71" s="770"/>
      <c r="L71" s="771"/>
      <c r="M71" s="772"/>
      <c r="N71" s="706"/>
      <c r="O71" s="764"/>
      <c r="P71" s="601"/>
      <c r="Q71" s="858">
        <f t="shared" si="2"/>
        <v>0</v>
      </c>
    </row>
    <row r="72" spans="1:17" ht="23.25" customHeight="1" x14ac:dyDescent="0.25">
      <c r="A72" s="780"/>
      <c r="B72" s="781"/>
      <c r="C72" s="782"/>
      <c r="D72" s="782"/>
      <c r="E72" s="783"/>
      <c r="F72" s="600"/>
      <c r="G72" s="769"/>
      <c r="H72" s="770"/>
      <c r="I72" s="770"/>
      <c r="J72" s="770"/>
      <c r="K72" s="770"/>
      <c r="L72" s="771"/>
      <c r="M72" s="772"/>
      <c r="N72" s="706"/>
      <c r="O72" s="764"/>
      <c r="P72" s="601"/>
      <c r="Q72" s="858">
        <f t="shared" si="2"/>
        <v>0</v>
      </c>
    </row>
    <row r="73" spans="1:17" ht="23.25" customHeight="1" x14ac:dyDescent="0.25">
      <c r="A73" s="780"/>
      <c r="B73" s="781"/>
      <c r="C73" s="782"/>
      <c r="D73" s="782"/>
      <c r="E73" s="783"/>
      <c r="F73" s="600"/>
      <c r="G73" s="769"/>
      <c r="H73" s="770"/>
      <c r="I73" s="770"/>
      <c r="J73" s="770"/>
      <c r="K73" s="770"/>
      <c r="L73" s="771"/>
      <c r="M73" s="772"/>
      <c r="N73" s="706"/>
      <c r="O73" s="764"/>
      <c r="P73" s="601"/>
      <c r="Q73" s="858">
        <f t="shared" si="2"/>
        <v>0</v>
      </c>
    </row>
    <row r="74" spans="1:17" ht="23.25" customHeight="1" x14ac:dyDescent="0.25">
      <c r="A74" s="780"/>
      <c r="B74" s="781"/>
      <c r="C74" s="782"/>
      <c r="D74" s="782"/>
      <c r="E74" s="783"/>
      <c r="F74" s="600"/>
      <c r="G74" s="769"/>
      <c r="H74" s="770"/>
      <c r="I74" s="770"/>
      <c r="J74" s="770"/>
      <c r="K74" s="770"/>
      <c r="L74" s="771"/>
      <c r="M74" s="772"/>
      <c r="N74" s="706"/>
      <c r="O74" s="764"/>
      <c r="P74" s="601"/>
      <c r="Q74" s="858">
        <f t="shared" si="2"/>
        <v>0</v>
      </c>
    </row>
    <row r="75" spans="1:17" ht="23.25" customHeight="1" x14ac:dyDescent="0.25">
      <c r="A75" s="780"/>
      <c r="B75" s="781"/>
      <c r="C75" s="782"/>
      <c r="D75" s="782"/>
      <c r="E75" s="783"/>
      <c r="F75" s="600"/>
      <c r="G75" s="769"/>
      <c r="H75" s="770"/>
      <c r="I75" s="770"/>
      <c r="J75" s="770"/>
      <c r="K75" s="770"/>
      <c r="L75" s="771"/>
      <c r="M75" s="772"/>
      <c r="N75" s="706"/>
      <c r="O75" s="764"/>
      <c r="P75" s="601"/>
      <c r="Q75" s="858">
        <f t="shared" si="2"/>
        <v>0</v>
      </c>
    </row>
    <row r="76" spans="1:17" ht="23.25" customHeight="1" x14ac:dyDescent="0.25">
      <c r="A76" s="780"/>
      <c r="B76" s="781"/>
      <c r="C76" s="782"/>
      <c r="D76" s="782"/>
      <c r="E76" s="783"/>
      <c r="F76" s="600"/>
      <c r="G76" s="769"/>
      <c r="H76" s="770"/>
      <c r="I76" s="770"/>
      <c r="J76" s="770"/>
      <c r="K76" s="770"/>
      <c r="L76" s="771"/>
      <c r="M76" s="772"/>
      <c r="N76" s="706"/>
      <c r="O76" s="764"/>
      <c r="P76" s="601"/>
      <c r="Q76" s="858">
        <f t="shared" si="2"/>
        <v>0</v>
      </c>
    </row>
    <row r="77" spans="1:17" ht="23.25" customHeight="1" x14ac:dyDescent="0.25">
      <c r="A77" s="780"/>
      <c r="B77" s="781"/>
      <c r="C77" s="782"/>
      <c r="D77" s="782"/>
      <c r="E77" s="783"/>
      <c r="F77" s="600"/>
      <c r="G77" s="769"/>
      <c r="H77" s="770"/>
      <c r="I77" s="770"/>
      <c r="J77" s="770"/>
      <c r="K77" s="770"/>
      <c r="L77" s="771"/>
      <c r="M77" s="772"/>
      <c r="N77" s="706"/>
      <c r="O77" s="764"/>
      <c r="P77" s="601"/>
      <c r="Q77" s="858">
        <f t="shared" si="2"/>
        <v>0</v>
      </c>
    </row>
    <row r="78" spans="1:17" ht="23.25" customHeight="1" x14ac:dyDescent="0.25">
      <c r="A78" s="780"/>
      <c r="B78" s="781"/>
      <c r="C78" s="782"/>
      <c r="D78" s="782"/>
      <c r="E78" s="783"/>
      <c r="F78" s="600"/>
      <c r="G78" s="769"/>
      <c r="H78" s="770"/>
      <c r="I78" s="770"/>
      <c r="J78" s="770"/>
      <c r="K78" s="770"/>
      <c r="L78" s="771"/>
      <c r="M78" s="772"/>
      <c r="N78" s="706"/>
      <c r="O78" s="764"/>
      <c r="P78" s="601"/>
      <c r="Q78" s="858">
        <f t="shared" si="2"/>
        <v>0</v>
      </c>
    </row>
    <row r="79" spans="1:17" ht="23.25" customHeight="1" x14ac:dyDescent="0.25">
      <c r="A79" s="780"/>
      <c r="B79" s="781"/>
      <c r="C79" s="782"/>
      <c r="D79" s="782"/>
      <c r="E79" s="783"/>
      <c r="F79" s="600"/>
      <c r="G79" s="769"/>
      <c r="H79" s="770"/>
      <c r="I79" s="770"/>
      <c r="J79" s="770"/>
      <c r="K79" s="770"/>
      <c r="L79" s="771"/>
      <c r="M79" s="772"/>
      <c r="N79" s="706"/>
      <c r="O79" s="764"/>
      <c r="P79" s="601"/>
      <c r="Q79" s="858">
        <f t="shared" si="2"/>
        <v>0</v>
      </c>
    </row>
    <row r="80" spans="1:17" ht="23.25" customHeight="1" x14ac:dyDescent="0.25">
      <c r="A80" s="780"/>
      <c r="B80" s="781"/>
      <c r="C80" s="782"/>
      <c r="D80" s="782"/>
      <c r="E80" s="783"/>
      <c r="F80" s="600"/>
      <c r="G80" s="769"/>
      <c r="H80" s="770"/>
      <c r="I80" s="770"/>
      <c r="J80" s="770"/>
      <c r="K80" s="770"/>
      <c r="L80" s="771"/>
      <c r="M80" s="772"/>
      <c r="N80" s="706"/>
      <c r="O80" s="764"/>
      <c r="P80" s="601"/>
      <c r="Q80" s="858">
        <f t="shared" si="2"/>
        <v>0</v>
      </c>
    </row>
    <row r="81" spans="1:17" ht="23.25" customHeight="1" x14ac:dyDescent="0.25">
      <c r="A81" s="780"/>
      <c r="B81" s="781"/>
      <c r="C81" s="782"/>
      <c r="D81" s="782"/>
      <c r="E81" s="783"/>
      <c r="F81" s="600"/>
      <c r="G81" s="769"/>
      <c r="H81" s="770"/>
      <c r="I81" s="770"/>
      <c r="J81" s="770"/>
      <c r="K81" s="770"/>
      <c r="L81" s="771"/>
      <c r="M81" s="772"/>
      <c r="N81" s="706"/>
      <c r="O81" s="764"/>
      <c r="P81" s="601"/>
      <c r="Q81" s="858">
        <f t="shared" si="2"/>
        <v>0</v>
      </c>
    </row>
    <row r="82" spans="1:17" ht="23.25" customHeight="1" x14ac:dyDescent="0.25">
      <c r="A82" s="780"/>
      <c r="B82" s="781"/>
      <c r="C82" s="782"/>
      <c r="D82" s="782"/>
      <c r="E82" s="783"/>
      <c r="F82" s="600"/>
      <c r="G82" s="769"/>
      <c r="H82" s="770"/>
      <c r="I82" s="770"/>
      <c r="J82" s="770"/>
      <c r="K82" s="770"/>
      <c r="L82" s="771"/>
      <c r="M82" s="772"/>
      <c r="N82" s="706"/>
      <c r="O82" s="764"/>
      <c r="P82" s="601"/>
      <c r="Q82" s="858">
        <f t="shared" si="2"/>
        <v>0</v>
      </c>
    </row>
    <row r="83" spans="1:17" ht="23.25" customHeight="1" x14ac:dyDescent="0.25">
      <c r="A83" s="780"/>
      <c r="B83" s="781"/>
      <c r="C83" s="782"/>
      <c r="D83" s="782"/>
      <c r="E83" s="783"/>
      <c r="F83" s="600"/>
      <c r="G83" s="769"/>
      <c r="H83" s="770"/>
      <c r="I83" s="770"/>
      <c r="J83" s="770"/>
      <c r="K83" s="770"/>
      <c r="L83" s="771"/>
      <c r="M83" s="772"/>
      <c r="N83" s="706"/>
      <c r="O83" s="764"/>
      <c r="P83" s="601"/>
      <c r="Q83" s="858">
        <f t="shared" si="2"/>
        <v>0</v>
      </c>
    </row>
    <row r="84" spans="1:17" ht="23.25" customHeight="1" thickBot="1" x14ac:dyDescent="0.3">
      <c r="A84" s="785"/>
      <c r="B84" s="786"/>
      <c r="C84" s="787"/>
      <c r="D84" s="787"/>
      <c r="E84" s="788"/>
      <c r="F84" s="600"/>
      <c r="G84" s="773"/>
      <c r="H84" s="774"/>
      <c r="I84" s="774"/>
      <c r="J84" s="774"/>
      <c r="K84" s="774"/>
      <c r="L84" s="775"/>
      <c r="M84" s="776"/>
      <c r="N84" s="706"/>
      <c r="O84" s="765"/>
      <c r="P84" s="601"/>
      <c r="Q84" s="859">
        <f t="shared" si="2"/>
        <v>0</v>
      </c>
    </row>
    <row r="85" spans="1:17" s="712" customFormat="1" ht="16.5" thickTop="1" thickBot="1" x14ac:dyDescent="0.3">
      <c r="D85" s="751" t="s">
        <v>974</v>
      </c>
      <c r="E85" s="713">
        <f>SUM(E5:E84)</f>
        <v>0</v>
      </c>
      <c r="F85" s="715"/>
      <c r="G85" s="758">
        <f t="shared" ref="G85:M85" si="3">SUM(G5:G84)</f>
        <v>0</v>
      </c>
      <c r="H85" s="714">
        <f t="shared" si="3"/>
        <v>0</v>
      </c>
      <c r="I85" s="714">
        <f t="shared" si="3"/>
        <v>0</v>
      </c>
      <c r="J85" s="714">
        <f t="shared" si="3"/>
        <v>0</v>
      </c>
      <c r="K85" s="758">
        <f t="shared" si="3"/>
        <v>0</v>
      </c>
      <c r="L85" s="759">
        <f t="shared" si="3"/>
        <v>0</v>
      </c>
      <c r="M85" s="716">
        <f t="shared" si="3"/>
        <v>0</v>
      </c>
      <c r="N85" s="659">
        <f>SUM(O5:O84)</f>
        <v>0</v>
      </c>
      <c r="O85" s="717">
        <f>SUM(O5:O84)</f>
        <v>0</v>
      </c>
      <c r="P85" s="718"/>
      <c r="Q85" s="760">
        <f>SUM(Q5:Q84)</f>
        <v>0</v>
      </c>
    </row>
    <row r="86" spans="1:17" ht="3.75" customHeight="1" thickTop="1" x14ac:dyDescent="0.25">
      <c r="N86" s="593"/>
      <c r="O86" s="647"/>
      <c r="P86" s="647"/>
    </row>
    <row r="87" spans="1:17" ht="15" x14ac:dyDescent="0.25">
      <c r="D87" s="751" t="s">
        <v>975</v>
      </c>
      <c r="E87" s="756">
        <f>Konti_VS!D29</f>
        <v>0</v>
      </c>
      <c r="G87" s="757">
        <f>SUM(Konti_VS!E44,Konti_VS!F46:F47,Konti_VS!E51:E52,Konti_VS!B82)</f>
        <v>0</v>
      </c>
      <c r="H87" s="846">
        <f>Religion!H37</f>
        <v>0</v>
      </c>
      <c r="I87" s="755"/>
      <c r="J87" s="752"/>
      <c r="K87" s="752"/>
      <c r="L87" s="753">
        <f>Konti_VS!D92</f>
        <v>0</v>
      </c>
      <c r="M87" s="754">
        <f>Konti_VS!L67</f>
        <v>0</v>
      </c>
      <c r="N87" s="703"/>
      <c r="P87" s="648"/>
    </row>
    <row r="88" spans="1:17" ht="3.75" customHeight="1" x14ac:dyDescent="0.25">
      <c r="N88" s="593"/>
      <c r="O88" s="647"/>
      <c r="P88" s="647"/>
    </row>
    <row r="89" spans="1:17" ht="15" x14ac:dyDescent="0.25">
      <c r="D89" s="751" t="s">
        <v>976</v>
      </c>
      <c r="E89" s="756">
        <f>E87-E85</f>
        <v>0</v>
      </c>
      <c r="G89" s="757">
        <f>G87-G85-K85</f>
        <v>0</v>
      </c>
      <c r="H89" s="754">
        <f>H87-H85</f>
        <v>0</v>
      </c>
      <c r="I89" s="755"/>
      <c r="J89" s="752"/>
      <c r="K89" s="752"/>
      <c r="L89" s="753">
        <f>L87-L85</f>
        <v>0</v>
      </c>
      <c r="M89" s="753">
        <f>M87-M85</f>
        <v>0</v>
      </c>
      <c r="N89" s="703"/>
      <c r="P89" s="648"/>
    </row>
    <row r="90" spans="1:17" ht="15" x14ac:dyDescent="0.25">
      <c r="O90" s="708"/>
    </row>
    <row r="91" spans="1:17" ht="15" x14ac:dyDescent="0.25">
      <c r="O91" s="708"/>
    </row>
    <row r="92" spans="1:17" ht="15" x14ac:dyDescent="0.25">
      <c r="O92" s="708"/>
    </row>
    <row r="93" spans="1:17" ht="15" x14ac:dyDescent="0.25">
      <c r="O93" s="708"/>
    </row>
    <row r="94" spans="1:17" ht="15" x14ac:dyDescent="0.25">
      <c r="O94" s="708"/>
    </row>
    <row r="95" spans="1:17" ht="15" x14ac:dyDescent="0.25">
      <c r="O95" s="708"/>
    </row>
    <row r="96" spans="1:17" ht="15" x14ac:dyDescent="0.25">
      <c r="O96" s="708"/>
    </row>
    <row r="97" spans="15:15" ht="15" x14ac:dyDescent="0.25">
      <c r="O97" s="708"/>
    </row>
    <row r="98" spans="15:15" ht="15" x14ac:dyDescent="0.25">
      <c r="O98" s="708"/>
    </row>
    <row r="99" spans="15:15" ht="15" x14ac:dyDescent="0.25">
      <c r="O99" s="708"/>
    </row>
    <row r="100" spans="15:15" ht="15" x14ac:dyDescent="0.25">
      <c r="O100" s="708"/>
    </row>
    <row r="101" spans="15:15" ht="15" x14ac:dyDescent="0.25">
      <c r="O101" s="708"/>
    </row>
    <row r="102" spans="15:15" ht="15" x14ac:dyDescent="0.25">
      <c r="O102" s="708"/>
    </row>
    <row r="103" spans="15:15" ht="15" x14ac:dyDescent="0.25">
      <c r="O103" s="708"/>
    </row>
    <row r="104" spans="15:15" ht="15" x14ac:dyDescent="0.25">
      <c r="O104" s="708"/>
    </row>
    <row r="105" spans="15:15" ht="15" x14ac:dyDescent="0.25">
      <c r="O105" s="708"/>
    </row>
    <row r="106" spans="15:15" ht="15" x14ac:dyDescent="0.25">
      <c r="O106" s="708"/>
    </row>
    <row r="107" spans="15:15" ht="15" x14ac:dyDescent="0.25">
      <c r="O107" s="708"/>
    </row>
    <row r="108" spans="15:15" ht="15" x14ac:dyDescent="0.25">
      <c r="O108" s="708"/>
    </row>
    <row r="109" spans="15:15" ht="15" x14ac:dyDescent="0.25">
      <c r="O109" s="708"/>
    </row>
    <row r="110" spans="15:15" ht="15" x14ac:dyDescent="0.25">
      <c r="O110" s="708"/>
    </row>
    <row r="111" spans="15:15" ht="15" x14ac:dyDescent="0.25">
      <c r="O111" s="708"/>
    </row>
    <row r="112" spans="15:15" ht="15" x14ac:dyDescent="0.25">
      <c r="O112" s="708"/>
    </row>
    <row r="113" spans="15:15" ht="15" x14ac:dyDescent="0.25">
      <c r="O113" s="708"/>
    </row>
    <row r="114" spans="15:15" ht="15" x14ac:dyDescent="0.25">
      <c r="O114" s="708"/>
    </row>
    <row r="115" spans="15:15" ht="15" x14ac:dyDescent="0.25">
      <c r="O115" s="708"/>
    </row>
    <row r="116" spans="15:15" ht="15" x14ac:dyDescent="0.25">
      <c r="O116" s="708"/>
    </row>
    <row r="117" spans="15:15" ht="15" x14ac:dyDescent="0.25">
      <c r="O117" s="708"/>
    </row>
    <row r="118" spans="15:15" ht="15" x14ac:dyDescent="0.25">
      <c r="O118" s="708"/>
    </row>
    <row r="119" spans="15:15" ht="15" x14ac:dyDescent="0.25">
      <c r="O119" s="708"/>
    </row>
    <row r="120" spans="15:15" ht="15" x14ac:dyDescent="0.25">
      <c r="O120" s="708"/>
    </row>
    <row r="121" spans="15:15" ht="15" x14ac:dyDescent="0.25">
      <c r="O121" s="708"/>
    </row>
    <row r="122" spans="15:15" ht="15" x14ac:dyDescent="0.25">
      <c r="O122" s="708"/>
    </row>
    <row r="123" spans="15:15" ht="15" x14ac:dyDescent="0.25">
      <c r="O123" s="708"/>
    </row>
    <row r="124" spans="15:15" ht="15" x14ac:dyDescent="0.25">
      <c r="O124" s="708"/>
    </row>
    <row r="125" spans="15:15" ht="15" x14ac:dyDescent="0.25">
      <c r="O125" s="708"/>
    </row>
    <row r="126" spans="15:15" ht="15" x14ac:dyDescent="0.25">
      <c r="O126" s="708"/>
    </row>
    <row r="127" spans="15:15" ht="15" x14ac:dyDescent="0.25">
      <c r="O127" s="708"/>
    </row>
    <row r="128" spans="15:15" ht="15" x14ac:dyDescent="0.25">
      <c r="O128" s="708"/>
    </row>
    <row r="129" spans="15:15" ht="15" x14ac:dyDescent="0.25">
      <c r="O129" s="708"/>
    </row>
    <row r="130" spans="15:15" ht="15" x14ac:dyDescent="0.25">
      <c r="O130" s="708"/>
    </row>
    <row r="131" spans="15:15" ht="15" x14ac:dyDescent="0.25">
      <c r="O131" s="708"/>
    </row>
    <row r="132" spans="15:15" ht="15" x14ac:dyDescent="0.25">
      <c r="O132" s="708"/>
    </row>
    <row r="133" spans="15:15" ht="15" x14ac:dyDescent="0.25">
      <c r="O133" s="708"/>
    </row>
    <row r="134" spans="15:15" ht="15" x14ac:dyDescent="0.25">
      <c r="O134" s="708"/>
    </row>
    <row r="135" spans="15:15" ht="15" x14ac:dyDescent="0.25">
      <c r="O135" s="708"/>
    </row>
    <row r="136" spans="15:15" ht="15" x14ac:dyDescent="0.25">
      <c r="O136" s="708"/>
    </row>
    <row r="137" spans="15:15" ht="15" x14ac:dyDescent="0.25">
      <c r="O137" s="708"/>
    </row>
    <row r="138" spans="15:15" ht="15" x14ac:dyDescent="0.25">
      <c r="O138" s="708"/>
    </row>
    <row r="139" spans="15:15" ht="15" x14ac:dyDescent="0.25">
      <c r="O139" s="708"/>
    </row>
    <row r="140" spans="15:15" ht="15" x14ac:dyDescent="0.25">
      <c r="O140" s="708"/>
    </row>
    <row r="141" spans="15:15" ht="15" x14ac:dyDescent="0.25">
      <c r="O141" s="708"/>
    </row>
    <row r="142" spans="15:15" ht="15" x14ac:dyDescent="0.25">
      <c r="O142" s="708"/>
    </row>
    <row r="143" spans="15:15" ht="15" x14ac:dyDescent="0.25">
      <c r="O143" s="708"/>
    </row>
    <row r="144" spans="15:15" ht="15" x14ac:dyDescent="0.25">
      <c r="O144" s="708"/>
    </row>
    <row r="145" spans="15:15" ht="15" x14ac:dyDescent="0.25">
      <c r="O145" s="708"/>
    </row>
    <row r="146" spans="15:15" ht="15" x14ac:dyDescent="0.25">
      <c r="O146" s="708"/>
    </row>
    <row r="147" spans="15:15" ht="15" x14ac:dyDescent="0.25">
      <c r="O147" s="708"/>
    </row>
    <row r="148" spans="15:15" ht="15" x14ac:dyDescent="0.25">
      <c r="O148" s="708"/>
    </row>
    <row r="149" spans="15:15" ht="15" x14ac:dyDescent="0.25">
      <c r="O149" s="708"/>
    </row>
    <row r="150" spans="15:15" ht="15" x14ac:dyDescent="0.25">
      <c r="O150" s="708"/>
    </row>
    <row r="151" spans="15:15" ht="15" x14ac:dyDescent="0.25">
      <c r="O151" s="708"/>
    </row>
    <row r="152" spans="15:15" ht="15" x14ac:dyDescent="0.25">
      <c r="O152" s="708"/>
    </row>
    <row r="153" spans="15:15" ht="0" hidden="1" customHeight="1" x14ac:dyDescent="0.25">
      <c r="O153" s="708"/>
    </row>
    <row r="154" spans="15:15" ht="0" hidden="1" customHeight="1" x14ac:dyDescent="0.25">
      <c r="O154" s="708"/>
    </row>
    <row r="155" spans="15:15" ht="0" hidden="1" customHeight="1" x14ac:dyDescent="0.25">
      <c r="O155" s="708"/>
    </row>
    <row r="156" spans="15:15" ht="0" hidden="1" customHeight="1" x14ac:dyDescent="0.25">
      <c r="O156" s="708"/>
    </row>
    <row r="157" spans="15:15" ht="0" hidden="1" customHeight="1" x14ac:dyDescent="0.25">
      <c r="O157" s="708"/>
    </row>
    <row r="158" spans="15:15" ht="0" hidden="1" customHeight="1" x14ac:dyDescent="0.25">
      <c r="O158" s="708"/>
    </row>
    <row r="159" spans="15:15" ht="0" hidden="1" customHeight="1" x14ac:dyDescent="0.25">
      <c r="O159" s="708"/>
    </row>
    <row r="160" spans="15:15" ht="0" hidden="1" customHeight="1" x14ac:dyDescent="0.25">
      <c r="O160" s="708"/>
    </row>
    <row r="161" spans="15:15" ht="0" hidden="1" customHeight="1" x14ac:dyDescent="0.25">
      <c r="O161" s="708"/>
    </row>
    <row r="162" spans="15:15" ht="0" hidden="1" customHeight="1" x14ac:dyDescent="0.25">
      <c r="O162" s="708"/>
    </row>
    <row r="163" spans="15:15" ht="0" hidden="1" customHeight="1" x14ac:dyDescent="0.25">
      <c r="O163" s="708"/>
    </row>
    <row r="164" spans="15:15" ht="0" hidden="1" customHeight="1" x14ac:dyDescent="0.25">
      <c r="O164" s="708"/>
    </row>
    <row r="165" spans="15:15" ht="0" hidden="1" customHeight="1" x14ac:dyDescent="0.25">
      <c r="O165" s="708"/>
    </row>
    <row r="166" spans="15:15" ht="0" hidden="1" customHeight="1" x14ac:dyDescent="0.25">
      <c r="O166" s="708"/>
    </row>
    <row r="167" spans="15:15" ht="0" hidden="1" customHeight="1" x14ac:dyDescent="0.25">
      <c r="O167" s="708"/>
    </row>
    <row r="168" spans="15:15" ht="0" hidden="1" customHeight="1" x14ac:dyDescent="0.25">
      <c r="O168" s="708"/>
    </row>
    <row r="169" spans="15:15" ht="0" hidden="1" customHeight="1" x14ac:dyDescent="0.25">
      <c r="O169" s="708"/>
    </row>
    <row r="170" spans="15:15" ht="0" hidden="1" customHeight="1" x14ac:dyDescent="0.25">
      <c r="O170" s="708"/>
    </row>
    <row r="171" spans="15:15" ht="0" hidden="1" customHeight="1" x14ac:dyDescent="0.25">
      <c r="O171" s="708"/>
    </row>
    <row r="172" spans="15:15" ht="0" hidden="1" customHeight="1" x14ac:dyDescent="0.25">
      <c r="O172" s="708"/>
    </row>
    <row r="173" spans="15:15" ht="0" hidden="1" customHeight="1" x14ac:dyDescent="0.25">
      <c r="O173" s="708"/>
    </row>
    <row r="174" spans="15:15" ht="0" hidden="1" customHeight="1" x14ac:dyDescent="0.25">
      <c r="O174" s="708"/>
    </row>
    <row r="175" spans="15:15" ht="0" hidden="1" customHeight="1" x14ac:dyDescent="0.25">
      <c r="O175" s="708"/>
    </row>
    <row r="176" spans="15:15" ht="0" hidden="1" customHeight="1" x14ac:dyDescent="0.25">
      <c r="O176" s="708"/>
    </row>
    <row r="177" spans="15:15" ht="0" hidden="1" customHeight="1" x14ac:dyDescent="0.25">
      <c r="O177" s="708"/>
    </row>
    <row r="178" spans="15:15" ht="0" hidden="1" customHeight="1" x14ac:dyDescent="0.25">
      <c r="O178" s="708"/>
    </row>
    <row r="179" spans="15:15" ht="0" hidden="1" customHeight="1" x14ac:dyDescent="0.25">
      <c r="O179" s="708"/>
    </row>
    <row r="180" spans="15:15" ht="0" hidden="1" customHeight="1" x14ac:dyDescent="0.25">
      <c r="O180" s="708"/>
    </row>
    <row r="181" spans="15:15" ht="0" hidden="1" customHeight="1" x14ac:dyDescent="0.25">
      <c r="O181" s="708"/>
    </row>
    <row r="182" spans="15:15" ht="0" hidden="1" customHeight="1" x14ac:dyDescent="0.25">
      <c r="O182" s="708"/>
    </row>
    <row r="183" spans="15:15" ht="0" hidden="1" customHeight="1" x14ac:dyDescent="0.25">
      <c r="O183" s="708"/>
    </row>
    <row r="184" spans="15:15" ht="0" hidden="1" customHeight="1" x14ac:dyDescent="0.25">
      <c r="O184" s="708"/>
    </row>
    <row r="185" spans="15:15" ht="0" hidden="1" customHeight="1" x14ac:dyDescent="0.25">
      <c r="O185" s="708"/>
    </row>
    <row r="186" spans="15:15" ht="0" hidden="1" customHeight="1" x14ac:dyDescent="0.25">
      <c r="O186" s="708"/>
    </row>
    <row r="187" spans="15:15" ht="0" hidden="1" customHeight="1" x14ac:dyDescent="0.25">
      <c r="O187" s="708"/>
    </row>
    <row r="188" spans="15:15" ht="0" hidden="1" customHeight="1" x14ac:dyDescent="0.25">
      <c r="O188" s="708"/>
    </row>
    <row r="189" spans="15:15" ht="0" hidden="1" customHeight="1" x14ac:dyDescent="0.25">
      <c r="O189" s="708"/>
    </row>
    <row r="190" spans="15:15" ht="0" hidden="1" customHeight="1" x14ac:dyDescent="0.25">
      <c r="O190" s="708"/>
    </row>
    <row r="191" spans="15:15" ht="0" hidden="1" customHeight="1" x14ac:dyDescent="0.25">
      <c r="O191" s="708"/>
    </row>
    <row r="192" spans="15:15" ht="0" hidden="1" customHeight="1" x14ac:dyDescent="0.25">
      <c r="O192" s="708"/>
    </row>
    <row r="193" spans="15:15" ht="0" hidden="1" customHeight="1" x14ac:dyDescent="0.25">
      <c r="O193" s="708"/>
    </row>
    <row r="194" spans="15:15" ht="0" hidden="1" customHeight="1" x14ac:dyDescent="0.25">
      <c r="O194" s="708"/>
    </row>
    <row r="195" spans="15:15" ht="0" hidden="1" customHeight="1" x14ac:dyDescent="0.25">
      <c r="O195" s="708"/>
    </row>
    <row r="196" spans="15:15" ht="0" hidden="1" customHeight="1" x14ac:dyDescent="0.25">
      <c r="O196" s="708"/>
    </row>
    <row r="197" spans="15:15" ht="0" hidden="1" customHeight="1" x14ac:dyDescent="0.25">
      <c r="O197" s="708"/>
    </row>
    <row r="198" spans="15:15" ht="0" hidden="1" customHeight="1" x14ac:dyDescent="0.25">
      <c r="O198" s="708"/>
    </row>
    <row r="199" spans="15:15" ht="0" hidden="1" customHeight="1" x14ac:dyDescent="0.25">
      <c r="O199" s="708"/>
    </row>
    <row r="200" spans="15:15" ht="0" hidden="1" customHeight="1" x14ac:dyDescent="0.25">
      <c r="O200" s="708"/>
    </row>
    <row r="201" spans="15:15" ht="0" hidden="1" customHeight="1" x14ac:dyDescent="0.25">
      <c r="O201" s="708"/>
    </row>
    <row r="202" spans="15:15" ht="0" hidden="1" customHeight="1" x14ac:dyDescent="0.25">
      <c r="O202" s="708"/>
    </row>
    <row r="203" spans="15:15" ht="0" hidden="1" customHeight="1" x14ac:dyDescent="0.25">
      <c r="O203" s="708"/>
    </row>
    <row r="204" spans="15:15" ht="0" hidden="1" customHeight="1" x14ac:dyDescent="0.25">
      <c r="O204" s="708"/>
    </row>
    <row r="205" spans="15:15" ht="0" hidden="1" customHeight="1" x14ac:dyDescent="0.25">
      <c r="O205" s="708"/>
    </row>
    <row r="206" spans="15:15" ht="0" hidden="1" customHeight="1" x14ac:dyDescent="0.25">
      <c r="O206" s="708"/>
    </row>
    <row r="207" spans="15:15" ht="0" hidden="1" customHeight="1" x14ac:dyDescent="0.25">
      <c r="O207" s="708"/>
    </row>
    <row r="208" spans="15:15" ht="0" hidden="1" customHeight="1" x14ac:dyDescent="0.25">
      <c r="O208" s="708"/>
    </row>
    <row r="209" spans="15:15" ht="0" hidden="1" customHeight="1" x14ac:dyDescent="0.25">
      <c r="O209" s="708"/>
    </row>
    <row r="210" spans="15:15" ht="0" hidden="1" customHeight="1" x14ac:dyDescent="0.25">
      <c r="O210" s="708"/>
    </row>
    <row r="211" spans="15:15" ht="0" hidden="1" customHeight="1" x14ac:dyDescent="0.25">
      <c r="O211" s="708"/>
    </row>
    <row r="212" spans="15:15" ht="0" hidden="1" customHeight="1" x14ac:dyDescent="0.25">
      <c r="O212" s="708"/>
    </row>
    <row r="213" spans="15:15" ht="0" hidden="1" customHeight="1" x14ac:dyDescent="0.25">
      <c r="O213" s="708"/>
    </row>
    <row r="214" spans="15:15" ht="0" hidden="1" customHeight="1" x14ac:dyDescent="0.25">
      <c r="O214" s="708"/>
    </row>
    <row r="215" spans="15:15" ht="0" hidden="1" customHeight="1" x14ac:dyDescent="0.25">
      <c r="O215" s="708"/>
    </row>
    <row r="216" spans="15:15" ht="0" hidden="1" customHeight="1" x14ac:dyDescent="0.25">
      <c r="O216" s="708"/>
    </row>
    <row r="217" spans="15:15" ht="0" hidden="1" customHeight="1" x14ac:dyDescent="0.25">
      <c r="O217" s="708"/>
    </row>
    <row r="218" spans="15:15" ht="0" hidden="1" customHeight="1" x14ac:dyDescent="0.25">
      <c r="O218" s="708"/>
    </row>
    <row r="219" spans="15:15" ht="0" hidden="1" customHeight="1" x14ac:dyDescent="0.25">
      <c r="O219" s="708"/>
    </row>
    <row r="220" spans="15:15" ht="0" hidden="1" customHeight="1" x14ac:dyDescent="0.25">
      <c r="O220" s="708"/>
    </row>
    <row r="221" spans="15:15" ht="0" hidden="1" customHeight="1" x14ac:dyDescent="0.25">
      <c r="O221" s="708"/>
    </row>
    <row r="222" spans="15:15" ht="0" hidden="1" customHeight="1" x14ac:dyDescent="0.25">
      <c r="O222" s="708"/>
    </row>
    <row r="223" spans="15:15" ht="0" hidden="1" customHeight="1" x14ac:dyDescent="0.25">
      <c r="O223" s="708"/>
    </row>
    <row r="224" spans="15:15" ht="0" hidden="1" customHeight="1" x14ac:dyDescent="0.25">
      <c r="O224" s="708"/>
    </row>
    <row r="225" spans="15:15" ht="0" hidden="1" customHeight="1" x14ac:dyDescent="0.25">
      <c r="O225" s="708"/>
    </row>
    <row r="226" spans="15:15" ht="0" hidden="1" customHeight="1" x14ac:dyDescent="0.25">
      <c r="O226" s="708"/>
    </row>
    <row r="227" spans="15:15" ht="0" hidden="1" customHeight="1" x14ac:dyDescent="0.25">
      <c r="O227" s="708"/>
    </row>
    <row r="228" spans="15:15" ht="0" hidden="1" customHeight="1" x14ac:dyDescent="0.25">
      <c r="O228" s="708"/>
    </row>
    <row r="229" spans="15:15" ht="0" hidden="1" customHeight="1" x14ac:dyDescent="0.25">
      <c r="O229" s="708"/>
    </row>
    <row r="230" spans="15:15" ht="0" hidden="1" customHeight="1" x14ac:dyDescent="0.25">
      <c r="O230" s="708"/>
    </row>
    <row r="231" spans="15:15" ht="0" hidden="1" customHeight="1" x14ac:dyDescent="0.25">
      <c r="O231" s="708"/>
    </row>
    <row r="232" spans="15:15" ht="0" hidden="1" customHeight="1" x14ac:dyDescent="0.25">
      <c r="O232" s="708"/>
    </row>
    <row r="233" spans="15:15" ht="0" hidden="1" customHeight="1" x14ac:dyDescent="0.25">
      <c r="O233" s="708"/>
    </row>
    <row r="234" spans="15:15" ht="0" hidden="1" customHeight="1" x14ac:dyDescent="0.25">
      <c r="O234" s="708"/>
    </row>
    <row r="235" spans="15:15" ht="0" hidden="1" customHeight="1" x14ac:dyDescent="0.25">
      <c r="O235" s="708"/>
    </row>
    <row r="236" spans="15:15" ht="0" hidden="1" customHeight="1" x14ac:dyDescent="0.25">
      <c r="O236" s="708"/>
    </row>
    <row r="237" spans="15:15" ht="0" hidden="1" customHeight="1" x14ac:dyDescent="0.25">
      <c r="O237" s="708"/>
    </row>
    <row r="238" spans="15:15" ht="0" hidden="1" customHeight="1" x14ac:dyDescent="0.25">
      <c r="O238" s="708"/>
    </row>
    <row r="239" spans="15:15" ht="0" hidden="1" customHeight="1" x14ac:dyDescent="0.25">
      <c r="O239" s="708"/>
    </row>
    <row r="240" spans="15:15" ht="0" hidden="1" customHeight="1" x14ac:dyDescent="0.25">
      <c r="O240" s="708"/>
    </row>
    <row r="241" spans="15:15" ht="0" hidden="1" customHeight="1" x14ac:dyDescent="0.25">
      <c r="O241" s="708"/>
    </row>
    <row r="242" spans="15:15" ht="0" hidden="1" customHeight="1" x14ac:dyDescent="0.25">
      <c r="O242" s="708"/>
    </row>
    <row r="243" spans="15:15" ht="0" hidden="1" customHeight="1" x14ac:dyDescent="0.25">
      <c r="O243" s="708"/>
    </row>
    <row r="244" spans="15:15" ht="0" hidden="1" customHeight="1" x14ac:dyDescent="0.25">
      <c r="O244" s="708"/>
    </row>
    <row r="245" spans="15:15" ht="0" hidden="1" customHeight="1" x14ac:dyDescent="0.25">
      <c r="O245" s="708"/>
    </row>
    <row r="246" spans="15:15" ht="0" hidden="1" customHeight="1" x14ac:dyDescent="0.25">
      <c r="O246" s="708"/>
    </row>
    <row r="247" spans="15:15" ht="0" hidden="1" customHeight="1" x14ac:dyDescent="0.25">
      <c r="O247" s="708"/>
    </row>
    <row r="248" spans="15:15" ht="0" hidden="1" customHeight="1" x14ac:dyDescent="0.25">
      <c r="O248" s="708"/>
    </row>
    <row r="249" spans="15:15" ht="0" hidden="1" customHeight="1" x14ac:dyDescent="0.25">
      <c r="O249" s="708"/>
    </row>
  </sheetData>
  <sheetProtection algorithmName="SHA-512" hashValue="6J0ZFcB79lb0oaFZhrulaujtRELD7u1KJTuCLN7kjxARmwFGcqkt8k8rQIbIzAw/x4YjQwaAZIK5bhJdG4ETVg==" saltValue="qH6uV7tRdlOrx6TGJhoMkQ==" spinCount="100000" sheet="1" formatRows="0"/>
  <mergeCells count="1">
    <mergeCell ref="A4:B4"/>
  </mergeCells>
  <conditionalFormatting sqref="E89 G89:H89 L89:M89">
    <cfRule type="cellIs" dxfId="2" priority="1" operator="lessThan">
      <formula>0</formula>
    </cfRule>
  </conditionalFormatting>
  <dataValidations xWindow="729" yWindow="777" count="13">
    <dataValidation type="decimal" allowBlank="1" showInputMessage="1" showErrorMessage="1" sqref="M5:O47 JI5:JJ47 TE5:TF47 ADA5:ADB47 AMW5:AMX47 AWS5:AWT47 BGO5:BGP47 BQK5:BQL47 CAG5:CAH47 CKC5:CKD47 CTY5:CTZ47 DDU5:DDV47 DNQ5:DNR47 DXM5:DXN47 EHI5:EHJ47 ERE5:ERF47 FBA5:FBB47 FKW5:FKX47 FUS5:FUT47 GEO5:GEP47 GOK5:GOL47 GYG5:GYH47 HIC5:HID47 HRY5:HRZ47 IBU5:IBV47 ILQ5:ILR47 IVM5:IVN47 JFI5:JFJ47 JPE5:JPF47 JZA5:JZB47 KIW5:KIX47 KSS5:KST47 LCO5:LCP47 LMK5:LML47 LWG5:LWH47 MGC5:MGD47 MPY5:MPZ47 MZU5:MZV47 NJQ5:NJR47 NTM5:NTN47 ODI5:ODJ47 ONE5:ONF47 OXA5:OXB47 PGW5:PGX47 PQS5:PQT47 QAO5:QAP47 QKK5:QKL47 QUG5:QUH47 REC5:RED47 RNY5:RNZ47 RXU5:RXV47 SHQ5:SHR47 SRM5:SRN47 TBI5:TBJ47 TLE5:TLF47 TVA5:TVB47 UEW5:UEX47 UOS5:UOT47 UYO5:UYP47 VIK5:VIL47 VSG5:VSH47 WCC5:WCD47 WLY5:WLZ47 WVU5:WVV47 M65541:O65583 JI65541:JJ65583 TE65541:TF65583 ADA65541:ADB65583 AMW65541:AMX65583 AWS65541:AWT65583 BGO65541:BGP65583 BQK65541:BQL65583 CAG65541:CAH65583 CKC65541:CKD65583 CTY65541:CTZ65583 DDU65541:DDV65583 DNQ65541:DNR65583 DXM65541:DXN65583 EHI65541:EHJ65583 ERE65541:ERF65583 FBA65541:FBB65583 FKW65541:FKX65583 FUS65541:FUT65583 GEO65541:GEP65583 GOK65541:GOL65583 GYG65541:GYH65583 HIC65541:HID65583 HRY65541:HRZ65583 IBU65541:IBV65583 ILQ65541:ILR65583 IVM65541:IVN65583 JFI65541:JFJ65583 JPE65541:JPF65583 JZA65541:JZB65583 KIW65541:KIX65583 KSS65541:KST65583 LCO65541:LCP65583 LMK65541:LML65583 LWG65541:LWH65583 MGC65541:MGD65583 MPY65541:MPZ65583 MZU65541:MZV65583 NJQ65541:NJR65583 NTM65541:NTN65583 ODI65541:ODJ65583 ONE65541:ONF65583 OXA65541:OXB65583 PGW65541:PGX65583 PQS65541:PQT65583 QAO65541:QAP65583 QKK65541:QKL65583 QUG65541:QUH65583 REC65541:RED65583 RNY65541:RNZ65583 RXU65541:RXV65583 SHQ65541:SHR65583 SRM65541:SRN65583 TBI65541:TBJ65583 TLE65541:TLF65583 TVA65541:TVB65583 UEW65541:UEX65583 UOS65541:UOT65583 UYO65541:UYP65583 VIK65541:VIL65583 VSG65541:VSH65583 WCC65541:WCD65583 WLY65541:WLZ65583 WVU65541:WVV65583 M131077:O131119 JI131077:JJ131119 TE131077:TF131119 ADA131077:ADB131119 AMW131077:AMX131119 AWS131077:AWT131119 BGO131077:BGP131119 BQK131077:BQL131119 CAG131077:CAH131119 CKC131077:CKD131119 CTY131077:CTZ131119 DDU131077:DDV131119 DNQ131077:DNR131119 DXM131077:DXN131119 EHI131077:EHJ131119 ERE131077:ERF131119 FBA131077:FBB131119 FKW131077:FKX131119 FUS131077:FUT131119 GEO131077:GEP131119 GOK131077:GOL131119 GYG131077:GYH131119 HIC131077:HID131119 HRY131077:HRZ131119 IBU131077:IBV131119 ILQ131077:ILR131119 IVM131077:IVN131119 JFI131077:JFJ131119 JPE131077:JPF131119 JZA131077:JZB131119 KIW131077:KIX131119 KSS131077:KST131119 LCO131077:LCP131119 LMK131077:LML131119 LWG131077:LWH131119 MGC131077:MGD131119 MPY131077:MPZ131119 MZU131077:MZV131119 NJQ131077:NJR131119 NTM131077:NTN131119 ODI131077:ODJ131119 ONE131077:ONF131119 OXA131077:OXB131119 PGW131077:PGX131119 PQS131077:PQT131119 QAO131077:QAP131119 QKK131077:QKL131119 QUG131077:QUH131119 REC131077:RED131119 RNY131077:RNZ131119 RXU131077:RXV131119 SHQ131077:SHR131119 SRM131077:SRN131119 TBI131077:TBJ131119 TLE131077:TLF131119 TVA131077:TVB131119 UEW131077:UEX131119 UOS131077:UOT131119 UYO131077:UYP131119 VIK131077:VIL131119 VSG131077:VSH131119 WCC131077:WCD131119 WLY131077:WLZ131119 WVU131077:WVV131119 M196613:O196655 JI196613:JJ196655 TE196613:TF196655 ADA196613:ADB196655 AMW196613:AMX196655 AWS196613:AWT196655 BGO196613:BGP196655 BQK196613:BQL196655 CAG196613:CAH196655 CKC196613:CKD196655 CTY196613:CTZ196655 DDU196613:DDV196655 DNQ196613:DNR196655 DXM196613:DXN196655 EHI196613:EHJ196655 ERE196613:ERF196655 FBA196613:FBB196655 FKW196613:FKX196655 FUS196613:FUT196655 GEO196613:GEP196655 GOK196613:GOL196655 GYG196613:GYH196655 HIC196613:HID196655 HRY196613:HRZ196655 IBU196613:IBV196655 ILQ196613:ILR196655 IVM196613:IVN196655 JFI196613:JFJ196655 JPE196613:JPF196655 JZA196613:JZB196655 KIW196613:KIX196655 KSS196613:KST196655 LCO196613:LCP196655 LMK196613:LML196655 LWG196613:LWH196655 MGC196613:MGD196655 MPY196613:MPZ196655 MZU196613:MZV196655 NJQ196613:NJR196655 NTM196613:NTN196655 ODI196613:ODJ196655 ONE196613:ONF196655 OXA196613:OXB196655 PGW196613:PGX196655 PQS196613:PQT196655 QAO196613:QAP196655 QKK196613:QKL196655 QUG196613:QUH196655 REC196613:RED196655 RNY196613:RNZ196655 RXU196613:RXV196655 SHQ196613:SHR196655 SRM196613:SRN196655 TBI196613:TBJ196655 TLE196613:TLF196655 TVA196613:TVB196655 UEW196613:UEX196655 UOS196613:UOT196655 UYO196613:UYP196655 VIK196613:VIL196655 VSG196613:VSH196655 WCC196613:WCD196655 WLY196613:WLZ196655 WVU196613:WVV196655 M262149:O262191 JI262149:JJ262191 TE262149:TF262191 ADA262149:ADB262191 AMW262149:AMX262191 AWS262149:AWT262191 BGO262149:BGP262191 BQK262149:BQL262191 CAG262149:CAH262191 CKC262149:CKD262191 CTY262149:CTZ262191 DDU262149:DDV262191 DNQ262149:DNR262191 DXM262149:DXN262191 EHI262149:EHJ262191 ERE262149:ERF262191 FBA262149:FBB262191 FKW262149:FKX262191 FUS262149:FUT262191 GEO262149:GEP262191 GOK262149:GOL262191 GYG262149:GYH262191 HIC262149:HID262191 HRY262149:HRZ262191 IBU262149:IBV262191 ILQ262149:ILR262191 IVM262149:IVN262191 JFI262149:JFJ262191 JPE262149:JPF262191 JZA262149:JZB262191 KIW262149:KIX262191 KSS262149:KST262191 LCO262149:LCP262191 LMK262149:LML262191 LWG262149:LWH262191 MGC262149:MGD262191 MPY262149:MPZ262191 MZU262149:MZV262191 NJQ262149:NJR262191 NTM262149:NTN262191 ODI262149:ODJ262191 ONE262149:ONF262191 OXA262149:OXB262191 PGW262149:PGX262191 PQS262149:PQT262191 QAO262149:QAP262191 QKK262149:QKL262191 QUG262149:QUH262191 REC262149:RED262191 RNY262149:RNZ262191 RXU262149:RXV262191 SHQ262149:SHR262191 SRM262149:SRN262191 TBI262149:TBJ262191 TLE262149:TLF262191 TVA262149:TVB262191 UEW262149:UEX262191 UOS262149:UOT262191 UYO262149:UYP262191 VIK262149:VIL262191 VSG262149:VSH262191 WCC262149:WCD262191 WLY262149:WLZ262191 WVU262149:WVV262191 M327685:O327727 JI327685:JJ327727 TE327685:TF327727 ADA327685:ADB327727 AMW327685:AMX327727 AWS327685:AWT327727 BGO327685:BGP327727 BQK327685:BQL327727 CAG327685:CAH327727 CKC327685:CKD327727 CTY327685:CTZ327727 DDU327685:DDV327727 DNQ327685:DNR327727 DXM327685:DXN327727 EHI327685:EHJ327727 ERE327685:ERF327727 FBA327685:FBB327727 FKW327685:FKX327727 FUS327685:FUT327727 GEO327685:GEP327727 GOK327685:GOL327727 GYG327685:GYH327727 HIC327685:HID327727 HRY327685:HRZ327727 IBU327685:IBV327727 ILQ327685:ILR327727 IVM327685:IVN327727 JFI327685:JFJ327727 JPE327685:JPF327727 JZA327685:JZB327727 KIW327685:KIX327727 KSS327685:KST327727 LCO327685:LCP327727 LMK327685:LML327727 LWG327685:LWH327727 MGC327685:MGD327727 MPY327685:MPZ327727 MZU327685:MZV327727 NJQ327685:NJR327727 NTM327685:NTN327727 ODI327685:ODJ327727 ONE327685:ONF327727 OXA327685:OXB327727 PGW327685:PGX327727 PQS327685:PQT327727 QAO327685:QAP327727 QKK327685:QKL327727 QUG327685:QUH327727 REC327685:RED327727 RNY327685:RNZ327727 RXU327685:RXV327727 SHQ327685:SHR327727 SRM327685:SRN327727 TBI327685:TBJ327727 TLE327685:TLF327727 TVA327685:TVB327727 UEW327685:UEX327727 UOS327685:UOT327727 UYO327685:UYP327727 VIK327685:VIL327727 VSG327685:VSH327727 WCC327685:WCD327727 WLY327685:WLZ327727 WVU327685:WVV327727 M393221:O393263 JI393221:JJ393263 TE393221:TF393263 ADA393221:ADB393263 AMW393221:AMX393263 AWS393221:AWT393263 BGO393221:BGP393263 BQK393221:BQL393263 CAG393221:CAH393263 CKC393221:CKD393263 CTY393221:CTZ393263 DDU393221:DDV393263 DNQ393221:DNR393263 DXM393221:DXN393263 EHI393221:EHJ393263 ERE393221:ERF393263 FBA393221:FBB393263 FKW393221:FKX393263 FUS393221:FUT393263 GEO393221:GEP393263 GOK393221:GOL393263 GYG393221:GYH393263 HIC393221:HID393263 HRY393221:HRZ393263 IBU393221:IBV393263 ILQ393221:ILR393263 IVM393221:IVN393263 JFI393221:JFJ393263 JPE393221:JPF393263 JZA393221:JZB393263 KIW393221:KIX393263 KSS393221:KST393263 LCO393221:LCP393263 LMK393221:LML393263 LWG393221:LWH393263 MGC393221:MGD393263 MPY393221:MPZ393263 MZU393221:MZV393263 NJQ393221:NJR393263 NTM393221:NTN393263 ODI393221:ODJ393263 ONE393221:ONF393263 OXA393221:OXB393263 PGW393221:PGX393263 PQS393221:PQT393263 QAO393221:QAP393263 QKK393221:QKL393263 QUG393221:QUH393263 REC393221:RED393263 RNY393221:RNZ393263 RXU393221:RXV393263 SHQ393221:SHR393263 SRM393221:SRN393263 TBI393221:TBJ393263 TLE393221:TLF393263 TVA393221:TVB393263 UEW393221:UEX393263 UOS393221:UOT393263 UYO393221:UYP393263 VIK393221:VIL393263 VSG393221:VSH393263 WCC393221:WCD393263 WLY393221:WLZ393263 WVU393221:WVV393263 M458757:O458799 JI458757:JJ458799 TE458757:TF458799 ADA458757:ADB458799 AMW458757:AMX458799 AWS458757:AWT458799 BGO458757:BGP458799 BQK458757:BQL458799 CAG458757:CAH458799 CKC458757:CKD458799 CTY458757:CTZ458799 DDU458757:DDV458799 DNQ458757:DNR458799 DXM458757:DXN458799 EHI458757:EHJ458799 ERE458757:ERF458799 FBA458757:FBB458799 FKW458757:FKX458799 FUS458757:FUT458799 GEO458757:GEP458799 GOK458757:GOL458799 GYG458757:GYH458799 HIC458757:HID458799 HRY458757:HRZ458799 IBU458757:IBV458799 ILQ458757:ILR458799 IVM458757:IVN458799 JFI458757:JFJ458799 JPE458757:JPF458799 JZA458757:JZB458799 KIW458757:KIX458799 KSS458757:KST458799 LCO458757:LCP458799 LMK458757:LML458799 LWG458757:LWH458799 MGC458757:MGD458799 MPY458757:MPZ458799 MZU458757:MZV458799 NJQ458757:NJR458799 NTM458757:NTN458799 ODI458757:ODJ458799 ONE458757:ONF458799 OXA458757:OXB458799 PGW458757:PGX458799 PQS458757:PQT458799 QAO458757:QAP458799 QKK458757:QKL458799 QUG458757:QUH458799 REC458757:RED458799 RNY458757:RNZ458799 RXU458757:RXV458799 SHQ458757:SHR458799 SRM458757:SRN458799 TBI458757:TBJ458799 TLE458757:TLF458799 TVA458757:TVB458799 UEW458757:UEX458799 UOS458757:UOT458799 UYO458757:UYP458799 VIK458757:VIL458799 VSG458757:VSH458799 WCC458757:WCD458799 WLY458757:WLZ458799 WVU458757:WVV458799 M524293:O524335 JI524293:JJ524335 TE524293:TF524335 ADA524293:ADB524335 AMW524293:AMX524335 AWS524293:AWT524335 BGO524293:BGP524335 BQK524293:BQL524335 CAG524293:CAH524335 CKC524293:CKD524335 CTY524293:CTZ524335 DDU524293:DDV524335 DNQ524293:DNR524335 DXM524293:DXN524335 EHI524293:EHJ524335 ERE524293:ERF524335 FBA524293:FBB524335 FKW524293:FKX524335 FUS524293:FUT524335 GEO524293:GEP524335 GOK524293:GOL524335 GYG524293:GYH524335 HIC524293:HID524335 HRY524293:HRZ524335 IBU524293:IBV524335 ILQ524293:ILR524335 IVM524293:IVN524335 JFI524293:JFJ524335 JPE524293:JPF524335 JZA524293:JZB524335 KIW524293:KIX524335 KSS524293:KST524335 LCO524293:LCP524335 LMK524293:LML524335 LWG524293:LWH524335 MGC524293:MGD524335 MPY524293:MPZ524335 MZU524293:MZV524335 NJQ524293:NJR524335 NTM524293:NTN524335 ODI524293:ODJ524335 ONE524293:ONF524335 OXA524293:OXB524335 PGW524293:PGX524335 PQS524293:PQT524335 QAO524293:QAP524335 QKK524293:QKL524335 QUG524293:QUH524335 REC524293:RED524335 RNY524293:RNZ524335 RXU524293:RXV524335 SHQ524293:SHR524335 SRM524293:SRN524335 TBI524293:TBJ524335 TLE524293:TLF524335 TVA524293:TVB524335 UEW524293:UEX524335 UOS524293:UOT524335 UYO524293:UYP524335 VIK524293:VIL524335 VSG524293:VSH524335 WCC524293:WCD524335 WLY524293:WLZ524335 WVU524293:WVV524335 M589829:O589871 JI589829:JJ589871 TE589829:TF589871 ADA589829:ADB589871 AMW589829:AMX589871 AWS589829:AWT589871 BGO589829:BGP589871 BQK589829:BQL589871 CAG589829:CAH589871 CKC589829:CKD589871 CTY589829:CTZ589871 DDU589829:DDV589871 DNQ589829:DNR589871 DXM589829:DXN589871 EHI589829:EHJ589871 ERE589829:ERF589871 FBA589829:FBB589871 FKW589829:FKX589871 FUS589829:FUT589871 GEO589829:GEP589871 GOK589829:GOL589871 GYG589829:GYH589871 HIC589829:HID589871 HRY589829:HRZ589871 IBU589829:IBV589871 ILQ589829:ILR589871 IVM589829:IVN589871 JFI589829:JFJ589871 JPE589829:JPF589871 JZA589829:JZB589871 KIW589829:KIX589871 KSS589829:KST589871 LCO589829:LCP589871 LMK589829:LML589871 LWG589829:LWH589871 MGC589829:MGD589871 MPY589829:MPZ589871 MZU589829:MZV589871 NJQ589829:NJR589871 NTM589829:NTN589871 ODI589829:ODJ589871 ONE589829:ONF589871 OXA589829:OXB589871 PGW589829:PGX589871 PQS589829:PQT589871 QAO589829:QAP589871 QKK589829:QKL589871 QUG589829:QUH589871 REC589829:RED589871 RNY589829:RNZ589871 RXU589829:RXV589871 SHQ589829:SHR589871 SRM589829:SRN589871 TBI589829:TBJ589871 TLE589829:TLF589871 TVA589829:TVB589871 UEW589829:UEX589871 UOS589829:UOT589871 UYO589829:UYP589871 VIK589829:VIL589871 VSG589829:VSH589871 WCC589829:WCD589871 WLY589829:WLZ589871 WVU589829:WVV589871 M655365:O655407 JI655365:JJ655407 TE655365:TF655407 ADA655365:ADB655407 AMW655365:AMX655407 AWS655365:AWT655407 BGO655365:BGP655407 BQK655365:BQL655407 CAG655365:CAH655407 CKC655365:CKD655407 CTY655365:CTZ655407 DDU655365:DDV655407 DNQ655365:DNR655407 DXM655365:DXN655407 EHI655365:EHJ655407 ERE655365:ERF655407 FBA655365:FBB655407 FKW655365:FKX655407 FUS655365:FUT655407 GEO655365:GEP655407 GOK655365:GOL655407 GYG655365:GYH655407 HIC655365:HID655407 HRY655365:HRZ655407 IBU655365:IBV655407 ILQ655365:ILR655407 IVM655365:IVN655407 JFI655365:JFJ655407 JPE655365:JPF655407 JZA655365:JZB655407 KIW655365:KIX655407 KSS655365:KST655407 LCO655365:LCP655407 LMK655365:LML655407 LWG655365:LWH655407 MGC655365:MGD655407 MPY655365:MPZ655407 MZU655365:MZV655407 NJQ655365:NJR655407 NTM655365:NTN655407 ODI655365:ODJ655407 ONE655365:ONF655407 OXA655365:OXB655407 PGW655365:PGX655407 PQS655365:PQT655407 QAO655365:QAP655407 QKK655365:QKL655407 QUG655365:QUH655407 REC655365:RED655407 RNY655365:RNZ655407 RXU655365:RXV655407 SHQ655365:SHR655407 SRM655365:SRN655407 TBI655365:TBJ655407 TLE655365:TLF655407 TVA655365:TVB655407 UEW655365:UEX655407 UOS655365:UOT655407 UYO655365:UYP655407 VIK655365:VIL655407 VSG655365:VSH655407 WCC655365:WCD655407 WLY655365:WLZ655407 WVU655365:WVV655407 M720901:O720943 JI720901:JJ720943 TE720901:TF720943 ADA720901:ADB720943 AMW720901:AMX720943 AWS720901:AWT720943 BGO720901:BGP720943 BQK720901:BQL720943 CAG720901:CAH720943 CKC720901:CKD720943 CTY720901:CTZ720943 DDU720901:DDV720943 DNQ720901:DNR720943 DXM720901:DXN720943 EHI720901:EHJ720943 ERE720901:ERF720943 FBA720901:FBB720943 FKW720901:FKX720943 FUS720901:FUT720943 GEO720901:GEP720943 GOK720901:GOL720943 GYG720901:GYH720943 HIC720901:HID720943 HRY720901:HRZ720943 IBU720901:IBV720943 ILQ720901:ILR720943 IVM720901:IVN720943 JFI720901:JFJ720943 JPE720901:JPF720943 JZA720901:JZB720943 KIW720901:KIX720943 KSS720901:KST720943 LCO720901:LCP720943 LMK720901:LML720943 LWG720901:LWH720943 MGC720901:MGD720943 MPY720901:MPZ720943 MZU720901:MZV720943 NJQ720901:NJR720943 NTM720901:NTN720943 ODI720901:ODJ720943 ONE720901:ONF720943 OXA720901:OXB720943 PGW720901:PGX720943 PQS720901:PQT720943 QAO720901:QAP720943 QKK720901:QKL720943 QUG720901:QUH720943 REC720901:RED720943 RNY720901:RNZ720943 RXU720901:RXV720943 SHQ720901:SHR720943 SRM720901:SRN720943 TBI720901:TBJ720943 TLE720901:TLF720943 TVA720901:TVB720943 UEW720901:UEX720943 UOS720901:UOT720943 UYO720901:UYP720943 VIK720901:VIL720943 VSG720901:VSH720943 WCC720901:WCD720943 WLY720901:WLZ720943 WVU720901:WVV720943 M786437:O786479 JI786437:JJ786479 TE786437:TF786479 ADA786437:ADB786479 AMW786437:AMX786479 AWS786437:AWT786479 BGO786437:BGP786479 BQK786437:BQL786479 CAG786437:CAH786479 CKC786437:CKD786479 CTY786437:CTZ786479 DDU786437:DDV786479 DNQ786437:DNR786479 DXM786437:DXN786479 EHI786437:EHJ786479 ERE786437:ERF786479 FBA786437:FBB786479 FKW786437:FKX786479 FUS786437:FUT786479 GEO786437:GEP786479 GOK786437:GOL786479 GYG786437:GYH786479 HIC786437:HID786479 HRY786437:HRZ786479 IBU786437:IBV786479 ILQ786437:ILR786479 IVM786437:IVN786479 JFI786437:JFJ786479 JPE786437:JPF786479 JZA786437:JZB786479 KIW786437:KIX786479 KSS786437:KST786479 LCO786437:LCP786479 LMK786437:LML786479 LWG786437:LWH786479 MGC786437:MGD786479 MPY786437:MPZ786479 MZU786437:MZV786479 NJQ786437:NJR786479 NTM786437:NTN786479 ODI786437:ODJ786479 ONE786437:ONF786479 OXA786437:OXB786479 PGW786437:PGX786479 PQS786437:PQT786479 QAO786437:QAP786479 QKK786437:QKL786479 QUG786437:QUH786479 REC786437:RED786479 RNY786437:RNZ786479 RXU786437:RXV786479 SHQ786437:SHR786479 SRM786437:SRN786479 TBI786437:TBJ786479 TLE786437:TLF786479 TVA786437:TVB786479 UEW786437:UEX786479 UOS786437:UOT786479 UYO786437:UYP786479 VIK786437:VIL786479 VSG786437:VSH786479 WCC786437:WCD786479 WLY786437:WLZ786479 WVU786437:WVV786479 M851973:O852015 JI851973:JJ852015 TE851973:TF852015 ADA851973:ADB852015 AMW851973:AMX852015 AWS851973:AWT852015 BGO851973:BGP852015 BQK851973:BQL852015 CAG851973:CAH852015 CKC851973:CKD852015 CTY851973:CTZ852015 DDU851973:DDV852015 DNQ851973:DNR852015 DXM851973:DXN852015 EHI851973:EHJ852015 ERE851973:ERF852015 FBA851973:FBB852015 FKW851973:FKX852015 FUS851973:FUT852015 GEO851973:GEP852015 GOK851973:GOL852015 GYG851973:GYH852015 HIC851973:HID852015 HRY851973:HRZ852015 IBU851973:IBV852015 ILQ851973:ILR852015 IVM851973:IVN852015 JFI851973:JFJ852015 JPE851973:JPF852015 JZA851973:JZB852015 KIW851973:KIX852015 KSS851973:KST852015 LCO851973:LCP852015 LMK851973:LML852015 LWG851973:LWH852015 MGC851973:MGD852015 MPY851973:MPZ852015 MZU851973:MZV852015 NJQ851973:NJR852015 NTM851973:NTN852015 ODI851973:ODJ852015 ONE851973:ONF852015 OXA851973:OXB852015 PGW851973:PGX852015 PQS851973:PQT852015 QAO851973:QAP852015 QKK851973:QKL852015 QUG851973:QUH852015 REC851973:RED852015 RNY851973:RNZ852015 RXU851973:RXV852015 SHQ851973:SHR852015 SRM851973:SRN852015 TBI851973:TBJ852015 TLE851973:TLF852015 TVA851973:TVB852015 UEW851973:UEX852015 UOS851973:UOT852015 UYO851973:UYP852015 VIK851973:VIL852015 VSG851973:VSH852015 WCC851973:WCD852015 WLY851973:WLZ852015 WVU851973:WVV852015 M917509:O917551 JI917509:JJ917551 TE917509:TF917551 ADA917509:ADB917551 AMW917509:AMX917551 AWS917509:AWT917551 BGO917509:BGP917551 BQK917509:BQL917551 CAG917509:CAH917551 CKC917509:CKD917551 CTY917509:CTZ917551 DDU917509:DDV917551 DNQ917509:DNR917551 DXM917509:DXN917551 EHI917509:EHJ917551 ERE917509:ERF917551 FBA917509:FBB917551 FKW917509:FKX917551 FUS917509:FUT917551 GEO917509:GEP917551 GOK917509:GOL917551 GYG917509:GYH917551 HIC917509:HID917551 HRY917509:HRZ917551 IBU917509:IBV917551 ILQ917509:ILR917551 IVM917509:IVN917551 JFI917509:JFJ917551 JPE917509:JPF917551 JZA917509:JZB917551 KIW917509:KIX917551 KSS917509:KST917551 LCO917509:LCP917551 LMK917509:LML917551 LWG917509:LWH917551 MGC917509:MGD917551 MPY917509:MPZ917551 MZU917509:MZV917551 NJQ917509:NJR917551 NTM917509:NTN917551 ODI917509:ODJ917551 ONE917509:ONF917551 OXA917509:OXB917551 PGW917509:PGX917551 PQS917509:PQT917551 QAO917509:QAP917551 QKK917509:QKL917551 QUG917509:QUH917551 REC917509:RED917551 RNY917509:RNZ917551 RXU917509:RXV917551 SHQ917509:SHR917551 SRM917509:SRN917551 TBI917509:TBJ917551 TLE917509:TLF917551 TVA917509:TVB917551 UEW917509:UEX917551 UOS917509:UOT917551 UYO917509:UYP917551 VIK917509:VIL917551 VSG917509:VSH917551 WCC917509:WCD917551 WLY917509:WLZ917551 WVU917509:WVV917551 M983045:O983087 JI983045:JJ983087 TE983045:TF983087 ADA983045:ADB983087 AMW983045:AMX983087 AWS983045:AWT983087 BGO983045:BGP983087 BQK983045:BQL983087 CAG983045:CAH983087 CKC983045:CKD983087 CTY983045:CTZ983087 DDU983045:DDV983087 DNQ983045:DNR983087 DXM983045:DXN983087 EHI983045:EHJ983087 ERE983045:ERF983087 FBA983045:FBB983087 FKW983045:FKX983087 FUS983045:FUT983087 GEO983045:GEP983087 GOK983045:GOL983087 GYG983045:GYH983087 HIC983045:HID983087 HRY983045:HRZ983087 IBU983045:IBV983087 ILQ983045:ILR983087 IVM983045:IVN983087 JFI983045:JFJ983087 JPE983045:JPF983087 JZA983045:JZB983087 KIW983045:KIX983087 KSS983045:KST983087 LCO983045:LCP983087 LMK983045:LML983087 LWG983045:LWH983087 MGC983045:MGD983087 MPY983045:MPZ983087 MZU983045:MZV983087 NJQ983045:NJR983087 NTM983045:NTN983087 ODI983045:ODJ983087 ONE983045:ONF983087 OXA983045:OXB983087 PGW983045:PGX983087 PQS983045:PQT983087 QAO983045:QAP983087 QKK983045:QKL983087 QUG983045:QUH983087 REC983045:RED983087 RNY983045:RNZ983087 RXU983045:RXV983087 SHQ983045:SHR983087 SRM983045:SRN983087 TBI983045:TBJ983087 TLE983045:TLF983087 TVA983045:TVB983087 UEW983045:UEX983087 UOS983045:UOT983087 UYO983045:UYP983087 VIK983045:VIL983087 VSG983045:VSH983087 WCC983045:WCD983087 WLY983045:WLZ983087 WVU983045:WVV983087">
      <formula1>0</formula1>
      <formula2>33</formula2>
    </dataValidation>
    <dataValidation type="decimal" allowBlank="1" showInputMessage="1" showErrorMessage="1" error="bitte Stundenzahl eingeben!" sqref="H65541:K65583 JD5:JG47 SZ5:TC47 ACV5:ACY47 AMR5:AMU47 AWN5:AWQ47 BGJ5:BGM47 BQF5:BQI47 CAB5:CAE47 CJX5:CKA47 CTT5:CTW47 DDP5:DDS47 DNL5:DNO47 DXH5:DXK47 EHD5:EHG47 EQZ5:ERC47 FAV5:FAY47 FKR5:FKU47 FUN5:FUQ47 GEJ5:GEM47 GOF5:GOI47 GYB5:GYE47 HHX5:HIA47 HRT5:HRW47 IBP5:IBS47 ILL5:ILO47 IVH5:IVK47 JFD5:JFG47 JOZ5:JPC47 JYV5:JYY47 KIR5:KIU47 KSN5:KSQ47 LCJ5:LCM47 LMF5:LMI47 LWB5:LWE47 MFX5:MGA47 MPT5:MPW47 MZP5:MZS47 NJL5:NJO47 NTH5:NTK47 ODD5:ODG47 OMZ5:ONC47 OWV5:OWY47 PGR5:PGU47 PQN5:PQQ47 QAJ5:QAM47 QKF5:QKI47 QUB5:QUE47 RDX5:REA47 RNT5:RNW47 RXP5:RXS47 SHL5:SHO47 SRH5:SRK47 TBD5:TBG47 TKZ5:TLC47 TUV5:TUY47 UER5:UEU47 UON5:UOQ47 UYJ5:UYM47 VIF5:VII47 VSB5:VSE47 WBX5:WCA47 WLT5:WLW47 WVP5:WVS47 H131077:K131119 JD65541:JG65583 SZ65541:TC65583 ACV65541:ACY65583 AMR65541:AMU65583 AWN65541:AWQ65583 BGJ65541:BGM65583 BQF65541:BQI65583 CAB65541:CAE65583 CJX65541:CKA65583 CTT65541:CTW65583 DDP65541:DDS65583 DNL65541:DNO65583 DXH65541:DXK65583 EHD65541:EHG65583 EQZ65541:ERC65583 FAV65541:FAY65583 FKR65541:FKU65583 FUN65541:FUQ65583 GEJ65541:GEM65583 GOF65541:GOI65583 GYB65541:GYE65583 HHX65541:HIA65583 HRT65541:HRW65583 IBP65541:IBS65583 ILL65541:ILO65583 IVH65541:IVK65583 JFD65541:JFG65583 JOZ65541:JPC65583 JYV65541:JYY65583 KIR65541:KIU65583 KSN65541:KSQ65583 LCJ65541:LCM65583 LMF65541:LMI65583 LWB65541:LWE65583 MFX65541:MGA65583 MPT65541:MPW65583 MZP65541:MZS65583 NJL65541:NJO65583 NTH65541:NTK65583 ODD65541:ODG65583 OMZ65541:ONC65583 OWV65541:OWY65583 PGR65541:PGU65583 PQN65541:PQQ65583 QAJ65541:QAM65583 QKF65541:QKI65583 QUB65541:QUE65583 RDX65541:REA65583 RNT65541:RNW65583 RXP65541:RXS65583 SHL65541:SHO65583 SRH65541:SRK65583 TBD65541:TBG65583 TKZ65541:TLC65583 TUV65541:TUY65583 UER65541:UEU65583 UON65541:UOQ65583 UYJ65541:UYM65583 VIF65541:VII65583 VSB65541:VSE65583 WBX65541:WCA65583 WLT65541:WLW65583 WVP65541:WVS65583 H196613:K196655 JD131077:JG131119 SZ131077:TC131119 ACV131077:ACY131119 AMR131077:AMU131119 AWN131077:AWQ131119 BGJ131077:BGM131119 BQF131077:BQI131119 CAB131077:CAE131119 CJX131077:CKA131119 CTT131077:CTW131119 DDP131077:DDS131119 DNL131077:DNO131119 DXH131077:DXK131119 EHD131077:EHG131119 EQZ131077:ERC131119 FAV131077:FAY131119 FKR131077:FKU131119 FUN131077:FUQ131119 GEJ131077:GEM131119 GOF131077:GOI131119 GYB131077:GYE131119 HHX131077:HIA131119 HRT131077:HRW131119 IBP131077:IBS131119 ILL131077:ILO131119 IVH131077:IVK131119 JFD131077:JFG131119 JOZ131077:JPC131119 JYV131077:JYY131119 KIR131077:KIU131119 KSN131077:KSQ131119 LCJ131077:LCM131119 LMF131077:LMI131119 LWB131077:LWE131119 MFX131077:MGA131119 MPT131077:MPW131119 MZP131077:MZS131119 NJL131077:NJO131119 NTH131077:NTK131119 ODD131077:ODG131119 OMZ131077:ONC131119 OWV131077:OWY131119 PGR131077:PGU131119 PQN131077:PQQ131119 QAJ131077:QAM131119 QKF131077:QKI131119 QUB131077:QUE131119 RDX131077:REA131119 RNT131077:RNW131119 RXP131077:RXS131119 SHL131077:SHO131119 SRH131077:SRK131119 TBD131077:TBG131119 TKZ131077:TLC131119 TUV131077:TUY131119 UER131077:UEU131119 UON131077:UOQ131119 UYJ131077:UYM131119 VIF131077:VII131119 VSB131077:VSE131119 WBX131077:WCA131119 WLT131077:WLW131119 WVP131077:WVS131119 H262149:K262191 JD196613:JG196655 SZ196613:TC196655 ACV196613:ACY196655 AMR196613:AMU196655 AWN196613:AWQ196655 BGJ196613:BGM196655 BQF196613:BQI196655 CAB196613:CAE196655 CJX196613:CKA196655 CTT196613:CTW196655 DDP196613:DDS196655 DNL196613:DNO196655 DXH196613:DXK196655 EHD196613:EHG196655 EQZ196613:ERC196655 FAV196613:FAY196655 FKR196613:FKU196655 FUN196613:FUQ196655 GEJ196613:GEM196655 GOF196613:GOI196655 GYB196613:GYE196655 HHX196613:HIA196655 HRT196613:HRW196655 IBP196613:IBS196655 ILL196613:ILO196655 IVH196613:IVK196655 JFD196613:JFG196655 JOZ196613:JPC196655 JYV196613:JYY196655 KIR196613:KIU196655 KSN196613:KSQ196655 LCJ196613:LCM196655 LMF196613:LMI196655 LWB196613:LWE196655 MFX196613:MGA196655 MPT196613:MPW196655 MZP196613:MZS196655 NJL196613:NJO196655 NTH196613:NTK196655 ODD196613:ODG196655 OMZ196613:ONC196655 OWV196613:OWY196655 PGR196613:PGU196655 PQN196613:PQQ196655 QAJ196613:QAM196655 QKF196613:QKI196655 QUB196613:QUE196655 RDX196613:REA196655 RNT196613:RNW196655 RXP196613:RXS196655 SHL196613:SHO196655 SRH196613:SRK196655 TBD196613:TBG196655 TKZ196613:TLC196655 TUV196613:TUY196655 UER196613:UEU196655 UON196613:UOQ196655 UYJ196613:UYM196655 VIF196613:VII196655 VSB196613:VSE196655 WBX196613:WCA196655 WLT196613:WLW196655 WVP196613:WVS196655 H327685:K327727 JD262149:JG262191 SZ262149:TC262191 ACV262149:ACY262191 AMR262149:AMU262191 AWN262149:AWQ262191 BGJ262149:BGM262191 BQF262149:BQI262191 CAB262149:CAE262191 CJX262149:CKA262191 CTT262149:CTW262191 DDP262149:DDS262191 DNL262149:DNO262191 DXH262149:DXK262191 EHD262149:EHG262191 EQZ262149:ERC262191 FAV262149:FAY262191 FKR262149:FKU262191 FUN262149:FUQ262191 GEJ262149:GEM262191 GOF262149:GOI262191 GYB262149:GYE262191 HHX262149:HIA262191 HRT262149:HRW262191 IBP262149:IBS262191 ILL262149:ILO262191 IVH262149:IVK262191 JFD262149:JFG262191 JOZ262149:JPC262191 JYV262149:JYY262191 KIR262149:KIU262191 KSN262149:KSQ262191 LCJ262149:LCM262191 LMF262149:LMI262191 LWB262149:LWE262191 MFX262149:MGA262191 MPT262149:MPW262191 MZP262149:MZS262191 NJL262149:NJO262191 NTH262149:NTK262191 ODD262149:ODG262191 OMZ262149:ONC262191 OWV262149:OWY262191 PGR262149:PGU262191 PQN262149:PQQ262191 QAJ262149:QAM262191 QKF262149:QKI262191 QUB262149:QUE262191 RDX262149:REA262191 RNT262149:RNW262191 RXP262149:RXS262191 SHL262149:SHO262191 SRH262149:SRK262191 TBD262149:TBG262191 TKZ262149:TLC262191 TUV262149:TUY262191 UER262149:UEU262191 UON262149:UOQ262191 UYJ262149:UYM262191 VIF262149:VII262191 VSB262149:VSE262191 WBX262149:WCA262191 WLT262149:WLW262191 WVP262149:WVS262191 H393221:K393263 JD327685:JG327727 SZ327685:TC327727 ACV327685:ACY327727 AMR327685:AMU327727 AWN327685:AWQ327727 BGJ327685:BGM327727 BQF327685:BQI327727 CAB327685:CAE327727 CJX327685:CKA327727 CTT327685:CTW327727 DDP327685:DDS327727 DNL327685:DNO327727 DXH327685:DXK327727 EHD327685:EHG327727 EQZ327685:ERC327727 FAV327685:FAY327727 FKR327685:FKU327727 FUN327685:FUQ327727 GEJ327685:GEM327727 GOF327685:GOI327727 GYB327685:GYE327727 HHX327685:HIA327727 HRT327685:HRW327727 IBP327685:IBS327727 ILL327685:ILO327727 IVH327685:IVK327727 JFD327685:JFG327727 JOZ327685:JPC327727 JYV327685:JYY327727 KIR327685:KIU327727 KSN327685:KSQ327727 LCJ327685:LCM327727 LMF327685:LMI327727 LWB327685:LWE327727 MFX327685:MGA327727 MPT327685:MPW327727 MZP327685:MZS327727 NJL327685:NJO327727 NTH327685:NTK327727 ODD327685:ODG327727 OMZ327685:ONC327727 OWV327685:OWY327727 PGR327685:PGU327727 PQN327685:PQQ327727 QAJ327685:QAM327727 QKF327685:QKI327727 QUB327685:QUE327727 RDX327685:REA327727 RNT327685:RNW327727 RXP327685:RXS327727 SHL327685:SHO327727 SRH327685:SRK327727 TBD327685:TBG327727 TKZ327685:TLC327727 TUV327685:TUY327727 UER327685:UEU327727 UON327685:UOQ327727 UYJ327685:UYM327727 VIF327685:VII327727 VSB327685:VSE327727 WBX327685:WCA327727 WLT327685:WLW327727 WVP327685:WVS327727 H458757:K458799 JD393221:JG393263 SZ393221:TC393263 ACV393221:ACY393263 AMR393221:AMU393263 AWN393221:AWQ393263 BGJ393221:BGM393263 BQF393221:BQI393263 CAB393221:CAE393263 CJX393221:CKA393263 CTT393221:CTW393263 DDP393221:DDS393263 DNL393221:DNO393263 DXH393221:DXK393263 EHD393221:EHG393263 EQZ393221:ERC393263 FAV393221:FAY393263 FKR393221:FKU393263 FUN393221:FUQ393263 GEJ393221:GEM393263 GOF393221:GOI393263 GYB393221:GYE393263 HHX393221:HIA393263 HRT393221:HRW393263 IBP393221:IBS393263 ILL393221:ILO393263 IVH393221:IVK393263 JFD393221:JFG393263 JOZ393221:JPC393263 JYV393221:JYY393263 KIR393221:KIU393263 KSN393221:KSQ393263 LCJ393221:LCM393263 LMF393221:LMI393263 LWB393221:LWE393263 MFX393221:MGA393263 MPT393221:MPW393263 MZP393221:MZS393263 NJL393221:NJO393263 NTH393221:NTK393263 ODD393221:ODG393263 OMZ393221:ONC393263 OWV393221:OWY393263 PGR393221:PGU393263 PQN393221:PQQ393263 QAJ393221:QAM393263 QKF393221:QKI393263 QUB393221:QUE393263 RDX393221:REA393263 RNT393221:RNW393263 RXP393221:RXS393263 SHL393221:SHO393263 SRH393221:SRK393263 TBD393221:TBG393263 TKZ393221:TLC393263 TUV393221:TUY393263 UER393221:UEU393263 UON393221:UOQ393263 UYJ393221:UYM393263 VIF393221:VII393263 VSB393221:VSE393263 WBX393221:WCA393263 WLT393221:WLW393263 WVP393221:WVS393263 H524293:K524335 JD458757:JG458799 SZ458757:TC458799 ACV458757:ACY458799 AMR458757:AMU458799 AWN458757:AWQ458799 BGJ458757:BGM458799 BQF458757:BQI458799 CAB458757:CAE458799 CJX458757:CKA458799 CTT458757:CTW458799 DDP458757:DDS458799 DNL458757:DNO458799 DXH458757:DXK458799 EHD458757:EHG458799 EQZ458757:ERC458799 FAV458757:FAY458799 FKR458757:FKU458799 FUN458757:FUQ458799 GEJ458757:GEM458799 GOF458757:GOI458799 GYB458757:GYE458799 HHX458757:HIA458799 HRT458757:HRW458799 IBP458757:IBS458799 ILL458757:ILO458799 IVH458757:IVK458799 JFD458757:JFG458799 JOZ458757:JPC458799 JYV458757:JYY458799 KIR458757:KIU458799 KSN458757:KSQ458799 LCJ458757:LCM458799 LMF458757:LMI458799 LWB458757:LWE458799 MFX458757:MGA458799 MPT458757:MPW458799 MZP458757:MZS458799 NJL458757:NJO458799 NTH458757:NTK458799 ODD458757:ODG458799 OMZ458757:ONC458799 OWV458757:OWY458799 PGR458757:PGU458799 PQN458757:PQQ458799 QAJ458757:QAM458799 QKF458757:QKI458799 QUB458757:QUE458799 RDX458757:REA458799 RNT458757:RNW458799 RXP458757:RXS458799 SHL458757:SHO458799 SRH458757:SRK458799 TBD458757:TBG458799 TKZ458757:TLC458799 TUV458757:TUY458799 UER458757:UEU458799 UON458757:UOQ458799 UYJ458757:UYM458799 VIF458757:VII458799 VSB458757:VSE458799 WBX458757:WCA458799 WLT458757:WLW458799 WVP458757:WVS458799 H589829:K589871 JD524293:JG524335 SZ524293:TC524335 ACV524293:ACY524335 AMR524293:AMU524335 AWN524293:AWQ524335 BGJ524293:BGM524335 BQF524293:BQI524335 CAB524293:CAE524335 CJX524293:CKA524335 CTT524293:CTW524335 DDP524293:DDS524335 DNL524293:DNO524335 DXH524293:DXK524335 EHD524293:EHG524335 EQZ524293:ERC524335 FAV524293:FAY524335 FKR524293:FKU524335 FUN524293:FUQ524335 GEJ524293:GEM524335 GOF524293:GOI524335 GYB524293:GYE524335 HHX524293:HIA524335 HRT524293:HRW524335 IBP524293:IBS524335 ILL524293:ILO524335 IVH524293:IVK524335 JFD524293:JFG524335 JOZ524293:JPC524335 JYV524293:JYY524335 KIR524293:KIU524335 KSN524293:KSQ524335 LCJ524293:LCM524335 LMF524293:LMI524335 LWB524293:LWE524335 MFX524293:MGA524335 MPT524293:MPW524335 MZP524293:MZS524335 NJL524293:NJO524335 NTH524293:NTK524335 ODD524293:ODG524335 OMZ524293:ONC524335 OWV524293:OWY524335 PGR524293:PGU524335 PQN524293:PQQ524335 QAJ524293:QAM524335 QKF524293:QKI524335 QUB524293:QUE524335 RDX524293:REA524335 RNT524293:RNW524335 RXP524293:RXS524335 SHL524293:SHO524335 SRH524293:SRK524335 TBD524293:TBG524335 TKZ524293:TLC524335 TUV524293:TUY524335 UER524293:UEU524335 UON524293:UOQ524335 UYJ524293:UYM524335 VIF524293:VII524335 VSB524293:VSE524335 WBX524293:WCA524335 WLT524293:WLW524335 WVP524293:WVS524335 H655365:K655407 JD589829:JG589871 SZ589829:TC589871 ACV589829:ACY589871 AMR589829:AMU589871 AWN589829:AWQ589871 BGJ589829:BGM589871 BQF589829:BQI589871 CAB589829:CAE589871 CJX589829:CKA589871 CTT589829:CTW589871 DDP589829:DDS589871 DNL589829:DNO589871 DXH589829:DXK589871 EHD589829:EHG589871 EQZ589829:ERC589871 FAV589829:FAY589871 FKR589829:FKU589871 FUN589829:FUQ589871 GEJ589829:GEM589871 GOF589829:GOI589871 GYB589829:GYE589871 HHX589829:HIA589871 HRT589829:HRW589871 IBP589829:IBS589871 ILL589829:ILO589871 IVH589829:IVK589871 JFD589829:JFG589871 JOZ589829:JPC589871 JYV589829:JYY589871 KIR589829:KIU589871 KSN589829:KSQ589871 LCJ589829:LCM589871 LMF589829:LMI589871 LWB589829:LWE589871 MFX589829:MGA589871 MPT589829:MPW589871 MZP589829:MZS589871 NJL589829:NJO589871 NTH589829:NTK589871 ODD589829:ODG589871 OMZ589829:ONC589871 OWV589829:OWY589871 PGR589829:PGU589871 PQN589829:PQQ589871 QAJ589829:QAM589871 QKF589829:QKI589871 QUB589829:QUE589871 RDX589829:REA589871 RNT589829:RNW589871 RXP589829:RXS589871 SHL589829:SHO589871 SRH589829:SRK589871 TBD589829:TBG589871 TKZ589829:TLC589871 TUV589829:TUY589871 UER589829:UEU589871 UON589829:UOQ589871 UYJ589829:UYM589871 VIF589829:VII589871 VSB589829:VSE589871 WBX589829:WCA589871 WLT589829:WLW589871 WVP589829:WVS589871 H720901:K720943 JD655365:JG655407 SZ655365:TC655407 ACV655365:ACY655407 AMR655365:AMU655407 AWN655365:AWQ655407 BGJ655365:BGM655407 BQF655365:BQI655407 CAB655365:CAE655407 CJX655365:CKA655407 CTT655365:CTW655407 DDP655365:DDS655407 DNL655365:DNO655407 DXH655365:DXK655407 EHD655365:EHG655407 EQZ655365:ERC655407 FAV655365:FAY655407 FKR655365:FKU655407 FUN655365:FUQ655407 GEJ655365:GEM655407 GOF655365:GOI655407 GYB655365:GYE655407 HHX655365:HIA655407 HRT655365:HRW655407 IBP655365:IBS655407 ILL655365:ILO655407 IVH655365:IVK655407 JFD655365:JFG655407 JOZ655365:JPC655407 JYV655365:JYY655407 KIR655365:KIU655407 KSN655365:KSQ655407 LCJ655365:LCM655407 LMF655365:LMI655407 LWB655365:LWE655407 MFX655365:MGA655407 MPT655365:MPW655407 MZP655365:MZS655407 NJL655365:NJO655407 NTH655365:NTK655407 ODD655365:ODG655407 OMZ655365:ONC655407 OWV655365:OWY655407 PGR655365:PGU655407 PQN655365:PQQ655407 QAJ655365:QAM655407 QKF655365:QKI655407 QUB655365:QUE655407 RDX655365:REA655407 RNT655365:RNW655407 RXP655365:RXS655407 SHL655365:SHO655407 SRH655365:SRK655407 TBD655365:TBG655407 TKZ655365:TLC655407 TUV655365:TUY655407 UER655365:UEU655407 UON655365:UOQ655407 UYJ655365:UYM655407 VIF655365:VII655407 VSB655365:VSE655407 WBX655365:WCA655407 WLT655365:WLW655407 WVP655365:WVS655407 H786437:K786479 JD720901:JG720943 SZ720901:TC720943 ACV720901:ACY720943 AMR720901:AMU720943 AWN720901:AWQ720943 BGJ720901:BGM720943 BQF720901:BQI720943 CAB720901:CAE720943 CJX720901:CKA720943 CTT720901:CTW720943 DDP720901:DDS720943 DNL720901:DNO720943 DXH720901:DXK720943 EHD720901:EHG720943 EQZ720901:ERC720943 FAV720901:FAY720943 FKR720901:FKU720943 FUN720901:FUQ720943 GEJ720901:GEM720943 GOF720901:GOI720943 GYB720901:GYE720943 HHX720901:HIA720943 HRT720901:HRW720943 IBP720901:IBS720943 ILL720901:ILO720943 IVH720901:IVK720943 JFD720901:JFG720943 JOZ720901:JPC720943 JYV720901:JYY720943 KIR720901:KIU720943 KSN720901:KSQ720943 LCJ720901:LCM720943 LMF720901:LMI720943 LWB720901:LWE720943 MFX720901:MGA720943 MPT720901:MPW720943 MZP720901:MZS720943 NJL720901:NJO720943 NTH720901:NTK720943 ODD720901:ODG720943 OMZ720901:ONC720943 OWV720901:OWY720943 PGR720901:PGU720943 PQN720901:PQQ720943 QAJ720901:QAM720943 QKF720901:QKI720943 QUB720901:QUE720943 RDX720901:REA720943 RNT720901:RNW720943 RXP720901:RXS720943 SHL720901:SHO720943 SRH720901:SRK720943 TBD720901:TBG720943 TKZ720901:TLC720943 TUV720901:TUY720943 UER720901:UEU720943 UON720901:UOQ720943 UYJ720901:UYM720943 VIF720901:VII720943 VSB720901:VSE720943 WBX720901:WCA720943 WLT720901:WLW720943 WVP720901:WVS720943 H851973:K852015 JD786437:JG786479 SZ786437:TC786479 ACV786437:ACY786479 AMR786437:AMU786479 AWN786437:AWQ786479 BGJ786437:BGM786479 BQF786437:BQI786479 CAB786437:CAE786479 CJX786437:CKA786479 CTT786437:CTW786479 DDP786437:DDS786479 DNL786437:DNO786479 DXH786437:DXK786479 EHD786437:EHG786479 EQZ786437:ERC786479 FAV786437:FAY786479 FKR786437:FKU786479 FUN786437:FUQ786479 GEJ786437:GEM786479 GOF786437:GOI786479 GYB786437:GYE786479 HHX786437:HIA786479 HRT786437:HRW786479 IBP786437:IBS786479 ILL786437:ILO786479 IVH786437:IVK786479 JFD786437:JFG786479 JOZ786437:JPC786479 JYV786437:JYY786479 KIR786437:KIU786479 KSN786437:KSQ786479 LCJ786437:LCM786479 LMF786437:LMI786479 LWB786437:LWE786479 MFX786437:MGA786479 MPT786437:MPW786479 MZP786437:MZS786479 NJL786437:NJO786479 NTH786437:NTK786479 ODD786437:ODG786479 OMZ786437:ONC786479 OWV786437:OWY786479 PGR786437:PGU786479 PQN786437:PQQ786479 QAJ786437:QAM786479 QKF786437:QKI786479 QUB786437:QUE786479 RDX786437:REA786479 RNT786437:RNW786479 RXP786437:RXS786479 SHL786437:SHO786479 SRH786437:SRK786479 TBD786437:TBG786479 TKZ786437:TLC786479 TUV786437:TUY786479 UER786437:UEU786479 UON786437:UOQ786479 UYJ786437:UYM786479 VIF786437:VII786479 VSB786437:VSE786479 WBX786437:WCA786479 WLT786437:WLW786479 WVP786437:WVS786479 H917509:K917551 JD851973:JG852015 SZ851973:TC852015 ACV851973:ACY852015 AMR851973:AMU852015 AWN851973:AWQ852015 BGJ851973:BGM852015 BQF851973:BQI852015 CAB851973:CAE852015 CJX851973:CKA852015 CTT851973:CTW852015 DDP851973:DDS852015 DNL851973:DNO852015 DXH851973:DXK852015 EHD851973:EHG852015 EQZ851973:ERC852015 FAV851973:FAY852015 FKR851973:FKU852015 FUN851973:FUQ852015 GEJ851973:GEM852015 GOF851973:GOI852015 GYB851973:GYE852015 HHX851973:HIA852015 HRT851973:HRW852015 IBP851973:IBS852015 ILL851973:ILO852015 IVH851973:IVK852015 JFD851973:JFG852015 JOZ851973:JPC852015 JYV851973:JYY852015 KIR851973:KIU852015 KSN851973:KSQ852015 LCJ851973:LCM852015 LMF851973:LMI852015 LWB851973:LWE852015 MFX851973:MGA852015 MPT851973:MPW852015 MZP851973:MZS852015 NJL851973:NJO852015 NTH851973:NTK852015 ODD851973:ODG852015 OMZ851973:ONC852015 OWV851973:OWY852015 PGR851973:PGU852015 PQN851973:PQQ852015 QAJ851973:QAM852015 QKF851973:QKI852015 QUB851973:QUE852015 RDX851973:REA852015 RNT851973:RNW852015 RXP851973:RXS852015 SHL851973:SHO852015 SRH851973:SRK852015 TBD851973:TBG852015 TKZ851973:TLC852015 TUV851973:TUY852015 UER851973:UEU852015 UON851973:UOQ852015 UYJ851973:UYM852015 VIF851973:VII852015 VSB851973:VSE852015 WBX851973:WCA852015 WLT851973:WLW852015 WVP851973:WVS852015 H983045:K983087 JD917509:JG917551 SZ917509:TC917551 ACV917509:ACY917551 AMR917509:AMU917551 AWN917509:AWQ917551 BGJ917509:BGM917551 BQF917509:BQI917551 CAB917509:CAE917551 CJX917509:CKA917551 CTT917509:CTW917551 DDP917509:DDS917551 DNL917509:DNO917551 DXH917509:DXK917551 EHD917509:EHG917551 EQZ917509:ERC917551 FAV917509:FAY917551 FKR917509:FKU917551 FUN917509:FUQ917551 GEJ917509:GEM917551 GOF917509:GOI917551 GYB917509:GYE917551 HHX917509:HIA917551 HRT917509:HRW917551 IBP917509:IBS917551 ILL917509:ILO917551 IVH917509:IVK917551 JFD917509:JFG917551 JOZ917509:JPC917551 JYV917509:JYY917551 KIR917509:KIU917551 KSN917509:KSQ917551 LCJ917509:LCM917551 LMF917509:LMI917551 LWB917509:LWE917551 MFX917509:MGA917551 MPT917509:MPW917551 MZP917509:MZS917551 NJL917509:NJO917551 NTH917509:NTK917551 ODD917509:ODG917551 OMZ917509:ONC917551 OWV917509:OWY917551 PGR917509:PGU917551 PQN917509:PQQ917551 QAJ917509:QAM917551 QKF917509:QKI917551 QUB917509:QUE917551 RDX917509:REA917551 RNT917509:RNW917551 RXP917509:RXS917551 SHL917509:SHO917551 SRH917509:SRK917551 TBD917509:TBG917551 TKZ917509:TLC917551 TUV917509:TUY917551 UER917509:UEU917551 UON917509:UOQ917551 UYJ917509:UYM917551 VIF917509:VII917551 VSB917509:VSE917551 WBX917509:WCA917551 WLT917509:WLW917551 WVP917509:WVS917551 WVP983045:WVS983087 JD983045:JG983087 SZ983045:TC983087 ACV983045:ACY983087 AMR983045:AMU983087 AWN983045:AWQ983087 BGJ983045:BGM983087 BQF983045:BQI983087 CAB983045:CAE983087 CJX983045:CKA983087 CTT983045:CTW983087 DDP983045:DDS983087 DNL983045:DNO983087 DXH983045:DXK983087 EHD983045:EHG983087 EQZ983045:ERC983087 FAV983045:FAY983087 FKR983045:FKU983087 FUN983045:FUQ983087 GEJ983045:GEM983087 GOF983045:GOI983087 GYB983045:GYE983087 HHX983045:HIA983087 HRT983045:HRW983087 IBP983045:IBS983087 ILL983045:ILO983087 IVH983045:IVK983087 JFD983045:JFG983087 JOZ983045:JPC983087 JYV983045:JYY983087 KIR983045:KIU983087 KSN983045:KSQ983087 LCJ983045:LCM983087 LMF983045:LMI983087 LWB983045:LWE983087 MFX983045:MGA983087 MPT983045:MPW983087 MZP983045:MZS983087 NJL983045:NJO983087 NTH983045:NTK983087 ODD983045:ODG983087 OMZ983045:ONC983087 OWV983045:OWY983087 PGR983045:PGU983087 PQN983045:PQQ983087 QAJ983045:QAM983087 QKF983045:QKI983087 QUB983045:QUE983087 RDX983045:REA983087 RNT983045:RNW983087 RXP983045:RXS983087 SHL983045:SHO983087 SRH983045:SRK983087 TBD983045:TBG983087 TKZ983045:TLC983087 TUV983045:TUY983087 UER983045:UEU983087 UON983045:UOQ983087 UYJ983045:UYM983087 VIF983045:VII983087 VSB983045:VSE983087 WBX983045:WCA983087 WLT983045:WLW983087 H5:K83">
      <formula1>0</formula1>
      <formula2>33</formula2>
    </dataValidation>
    <dataValidation type="decimal" allowBlank="1" showInputMessage="1" showErrorMessage="1" prompt="bei Zutreffen Stundenzahl eingeben" sqref="WVN983045:WVN983087 JB5:JB47 SX5:SX47 ACT5:ACT47 AMP5:AMP47 AWL5:AWL47 BGH5:BGH47 BQD5:BQD47 BZZ5:BZZ47 CJV5:CJV47 CTR5:CTR47 DDN5:DDN47 DNJ5:DNJ47 DXF5:DXF47 EHB5:EHB47 EQX5:EQX47 FAT5:FAT47 FKP5:FKP47 FUL5:FUL47 GEH5:GEH47 GOD5:GOD47 GXZ5:GXZ47 HHV5:HHV47 HRR5:HRR47 IBN5:IBN47 ILJ5:ILJ47 IVF5:IVF47 JFB5:JFB47 JOX5:JOX47 JYT5:JYT47 KIP5:KIP47 KSL5:KSL47 LCH5:LCH47 LMD5:LMD47 LVZ5:LVZ47 MFV5:MFV47 MPR5:MPR47 MZN5:MZN47 NJJ5:NJJ47 NTF5:NTF47 ODB5:ODB47 OMX5:OMX47 OWT5:OWT47 PGP5:PGP47 PQL5:PQL47 QAH5:QAH47 QKD5:QKD47 QTZ5:QTZ47 RDV5:RDV47 RNR5:RNR47 RXN5:RXN47 SHJ5:SHJ47 SRF5:SRF47 TBB5:TBB47 TKX5:TKX47 TUT5:TUT47 UEP5:UEP47 UOL5:UOL47 UYH5:UYH47 VID5:VID47 VRZ5:VRZ47 WBV5:WBV47 WLR5:WLR47 WVN5:WVN47 L65541:L65583 JB65541:JB65583 SX65541:SX65583 ACT65541:ACT65583 AMP65541:AMP65583 AWL65541:AWL65583 BGH65541:BGH65583 BQD65541:BQD65583 BZZ65541:BZZ65583 CJV65541:CJV65583 CTR65541:CTR65583 DDN65541:DDN65583 DNJ65541:DNJ65583 DXF65541:DXF65583 EHB65541:EHB65583 EQX65541:EQX65583 FAT65541:FAT65583 FKP65541:FKP65583 FUL65541:FUL65583 GEH65541:GEH65583 GOD65541:GOD65583 GXZ65541:GXZ65583 HHV65541:HHV65583 HRR65541:HRR65583 IBN65541:IBN65583 ILJ65541:ILJ65583 IVF65541:IVF65583 JFB65541:JFB65583 JOX65541:JOX65583 JYT65541:JYT65583 KIP65541:KIP65583 KSL65541:KSL65583 LCH65541:LCH65583 LMD65541:LMD65583 LVZ65541:LVZ65583 MFV65541:MFV65583 MPR65541:MPR65583 MZN65541:MZN65583 NJJ65541:NJJ65583 NTF65541:NTF65583 ODB65541:ODB65583 OMX65541:OMX65583 OWT65541:OWT65583 PGP65541:PGP65583 PQL65541:PQL65583 QAH65541:QAH65583 QKD65541:QKD65583 QTZ65541:QTZ65583 RDV65541:RDV65583 RNR65541:RNR65583 RXN65541:RXN65583 SHJ65541:SHJ65583 SRF65541:SRF65583 TBB65541:TBB65583 TKX65541:TKX65583 TUT65541:TUT65583 UEP65541:UEP65583 UOL65541:UOL65583 UYH65541:UYH65583 VID65541:VID65583 VRZ65541:VRZ65583 WBV65541:WBV65583 WLR65541:WLR65583 WVN65541:WVN65583 L131077:L131119 JB131077:JB131119 SX131077:SX131119 ACT131077:ACT131119 AMP131077:AMP131119 AWL131077:AWL131119 BGH131077:BGH131119 BQD131077:BQD131119 BZZ131077:BZZ131119 CJV131077:CJV131119 CTR131077:CTR131119 DDN131077:DDN131119 DNJ131077:DNJ131119 DXF131077:DXF131119 EHB131077:EHB131119 EQX131077:EQX131119 FAT131077:FAT131119 FKP131077:FKP131119 FUL131077:FUL131119 GEH131077:GEH131119 GOD131077:GOD131119 GXZ131077:GXZ131119 HHV131077:HHV131119 HRR131077:HRR131119 IBN131077:IBN131119 ILJ131077:ILJ131119 IVF131077:IVF131119 JFB131077:JFB131119 JOX131077:JOX131119 JYT131077:JYT131119 KIP131077:KIP131119 KSL131077:KSL131119 LCH131077:LCH131119 LMD131077:LMD131119 LVZ131077:LVZ131119 MFV131077:MFV131119 MPR131077:MPR131119 MZN131077:MZN131119 NJJ131077:NJJ131119 NTF131077:NTF131119 ODB131077:ODB131119 OMX131077:OMX131119 OWT131077:OWT131119 PGP131077:PGP131119 PQL131077:PQL131119 QAH131077:QAH131119 QKD131077:QKD131119 QTZ131077:QTZ131119 RDV131077:RDV131119 RNR131077:RNR131119 RXN131077:RXN131119 SHJ131077:SHJ131119 SRF131077:SRF131119 TBB131077:TBB131119 TKX131077:TKX131119 TUT131077:TUT131119 UEP131077:UEP131119 UOL131077:UOL131119 UYH131077:UYH131119 VID131077:VID131119 VRZ131077:VRZ131119 WBV131077:WBV131119 WLR131077:WLR131119 WVN131077:WVN131119 L196613:L196655 JB196613:JB196655 SX196613:SX196655 ACT196613:ACT196655 AMP196613:AMP196655 AWL196613:AWL196655 BGH196613:BGH196655 BQD196613:BQD196655 BZZ196613:BZZ196655 CJV196613:CJV196655 CTR196613:CTR196655 DDN196613:DDN196655 DNJ196613:DNJ196655 DXF196613:DXF196655 EHB196613:EHB196655 EQX196613:EQX196655 FAT196613:FAT196655 FKP196613:FKP196655 FUL196613:FUL196655 GEH196613:GEH196655 GOD196613:GOD196655 GXZ196613:GXZ196655 HHV196613:HHV196655 HRR196613:HRR196655 IBN196613:IBN196655 ILJ196613:ILJ196655 IVF196613:IVF196655 JFB196613:JFB196655 JOX196613:JOX196655 JYT196613:JYT196655 KIP196613:KIP196655 KSL196613:KSL196655 LCH196613:LCH196655 LMD196613:LMD196655 LVZ196613:LVZ196655 MFV196613:MFV196655 MPR196613:MPR196655 MZN196613:MZN196655 NJJ196613:NJJ196655 NTF196613:NTF196655 ODB196613:ODB196655 OMX196613:OMX196655 OWT196613:OWT196655 PGP196613:PGP196655 PQL196613:PQL196655 QAH196613:QAH196655 QKD196613:QKD196655 QTZ196613:QTZ196655 RDV196613:RDV196655 RNR196613:RNR196655 RXN196613:RXN196655 SHJ196613:SHJ196655 SRF196613:SRF196655 TBB196613:TBB196655 TKX196613:TKX196655 TUT196613:TUT196655 UEP196613:UEP196655 UOL196613:UOL196655 UYH196613:UYH196655 VID196613:VID196655 VRZ196613:VRZ196655 WBV196613:WBV196655 WLR196613:WLR196655 WVN196613:WVN196655 L262149:L262191 JB262149:JB262191 SX262149:SX262191 ACT262149:ACT262191 AMP262149:AMP262191 AWL262149:AWL262191 BGH262149:BGH262191 BQD262149:BQD262191 BZZ262149:BZZ262191 CJV262149:CJV262191 CTR262149:CTR262191 DDN262149:DDN262191 DNJ262149:DNJ262191 DXF262149:DXF262191 EHB262149:EHB262191 EQX262149:EQX262191 FAT262149:FAT262191 FKP262149:FKP262191 FUL262149:FUL262191 GEH262149:GEH262191 GOD262149:GOD262191 GXZ262149:GXZ262191 HHV262149:HHV262191 HRR262149:HRR262191 IBN262149:IBN262191 ILJ262149:ILJ262191 IVF262149:IVF262191 JFB262149:JFB262191 JOX262149:JOX262191 JYT262149:JYT262191 KIP262149:KIP262191 KSL262149:KSL262191 LCH262149:LCH262191 LMD262149:LMD262191 LVZ262149:LVZ262191 MFV262149:MFV262191 MPR262149:MPR262191 MZN262149:MZN262191 NJJ262149:NJJ262191 NTF262149:NTF262191 ODB262149:ODB262191 OMX262149:OMX262191 OWT262149:OWT262191 PGP262149:PGP262191 PQL262149:PQL262191 QAH262149:QAH262191 QKD262149:QKD262191 QTZ262149:QTZ262191 RDV262149:RDV262191 RNR262149:RNR262191 RXN262149:RXN262191 SHJ262149:SHJ262191 SRF262149:SRF262191 TBB262149:TBB262191 TKX262149:TKX262191 TUT262149:TUT262191 UEP262149:UEP262191 UOL262149:UOL262191 UYH262149:UYH262191 VID262149:VID262191 VRZ262149:VRZ262191 WBV262149:WBV262191 WLR262149:WLR262191 WVN262149:WVN262191 L327685:L327727 JB327685:JB327727 SX327685:SX327727 ACT327685:ACT327727 AMP327685:AMP327727 AWL327685:AWL327727 BGH327685:BGH327727 BQD327685:BQD327727 BZZ327685:BZZ327727 CJV327685:CJV327727 CTR327685:CTR327727 DDN327685:DDN327727 DNJ327685:DNJ327727 DXF327685:DXF327727 EHB327685:EHB327727 EQX327685:EQX327727 FAT327685:FAT327727 FKP327685:FKP327727 FUL327685:FUL327727 GEH327685:GEH327727 GOD327685:GOD327727 GXZ327685:GXZ327727 HHV327685:HHV327727 HRR327685:HRR327727 IBN327685:IBN327727 ILJ327685:ILJ327727 IVF327685:IVF327727 JFB327685:JFB327727 JOX327685:JOX327727 JYT327685:JYT327727 KIP327685:KIP327727 KSL327685:KSL327727 LCH327685:LCH327727 LMD327685:LMD327727 LVZ327685:LVZ327727 MFV327685:MFV327727 MPR327685:MPR327727 MZN327685:MZN327727 NJJ327685:NJJ327727 NTF327685:NTF327727 ODB327685:ODB327727 OMX327685:OMX327727 OWT327685:OWT327727 PGP327685:PGP327727 PQL327685:PQL327727 QAH327685:QAH327727 QKD327685:QKD327727 QTZ327685:QTZ327727 RDV327685:RDV327727 RNR327685:RNR327727 RXN327685:RXN327727 SHJ327685:SHJ327727 SRF327685:SRF327727 TBB327685:TBB327727 TKX327685:TKX327727 TUT327685:TUT327727 UEP327685:UEP327727 UOL327685:UOL327727 UYH327685:UYH327727 VID327685:VID327727 VRZ327685:VRZ327727 WBV327685:WBV327727 WLR327685:WLR327727 WVN327685:WVN327727 L393221:L393263 JB393221:JB393263 SX393221:SX393263 ACT393221:ACT393263 AMP393221:AMP393263 AWL393221:AWL393263 BGH393221:BGH393263 BQD393221:BQD393263 BZZ393221:BZZ393263 CJV393221:CJV393263 CTR393221:CTR393263 DDN393221:DDN393263 DNJ393221:DNJ393263 DXF393221:DXF393263 EHB393221:EHB393263 EQX393221:EQX393263 FAT393221:FAT393263 FKP393221:FKP393263 FUL393221:FUL393263 GEH393221:GEH393263 GOD393221:GOD393263 GXZ393221:GXZ393263 HHV393221:HHV393263 HRR393221:HRR393263 IBN393221:IBN393263 ILJ393221:ILJ393263 IVF393221:IVF393263 JFB393221:JFB393263 JOX393221:JOX393263 JYT393221:JYT393263 KIP393221:KIP393263 KSL393221:KSL393263 LCH393221:LCH393263 LMD393221:LMD393263 LVZ393221:LVZ393263 MFV393221:MFV393263 MPR393221:MPR393263 MZN393221:MZN393263 NJJ393221:NJJ393263 NTF393221:NTF393263 ODB393221:ODB393263 OMX393221:OMX393263 OWT393221:OWT393263 PGP393221:PGP393263 PQL393221:PQL393263 QAH393221:QAH393263 QKD393221:QKD393263 QTZ393221:QTZ393263 RDV393221:RDV393263 RNR393221:RNR393263 RXN393221:RXN393263 SHJ393221:SHJ393263 SRF393221:SRF393263 TBB393221:TBB393263 TKX393221:TKX393263 TUT393221:TUT393263 UEP393221:UEP393263 UOL393221:UOL393263 UYH393221:UYH393263 VID393221:VID393263 VRZ393221:VRZ393263 WBV393221:WBV393263 WLR393221:WLR393263 WVN393221:WVN393263 L458757:L458799 JB458757:JB458799 SX458757:SX458799 ACT458757:ACT458799 AMP458757:AMP458799 AWL458757:AWL458799 BGH458757:BGH458799 BQD458757:BQD458799 BZZ458757:BZZ458799 CJV458757:CJV458799 CTR458757:CTR458799 DDN458757:DDN458799 DNJ458757:DNJ458799 DXF458757:DXF458799 EHB458757:EHB458799 EQX458757:EQX458799 FAT458757:FAT458799 FKP458757:FKP458799 FUL458757:FUL458799 GEH458757:GEH458799 GOD458757:GOD458799 GXZ458757:GXZ458799 HHV458757:HHV458799 HRR458757:HRR458799 IBN458757:IBN458799 ILJ458757:ILJ458799 IVF458757:IVF458799 JFB458757:JFB458799 JOX458757:JOX458799 JYT458757:JYT458799 KIP458757:KIP458799 KSL458757:KSL458799 LCH458757:LCH458799 LMD458757:LMD458799 LVZ458757:LVZ458799 MFV458757:MFV458799 MPR458757:MPR458799 MZN458757:MZN458799 NJJ458757:NJJ458799 NTF458757:NTF458799 ODB458757:ODB458799 OMX458757:OMX458799 OWT458757:OWT458799 PGP458757:PGP458799 PQL458757:PQL458799 QAH458757:QAH458799 QKD458757:QKD458799 QTZ458757:QTZ458799 RDV458757:RDV458799 RNR458757:RNR458799 RXN458757:RXN458799 SHJ458757:SHJ458799 SRF458757:SRF458799 TBB458757:TBB458799 TKX458757:TKX458799 TUT458757:TUT458799 UEP458757:UEP458799 UOL458757:UOL458799 UYH458757:UYH458799 VID458757:VID458799 VRZ458757:VRZ458799 WBV458757:WBV458799 WLR458757:WLR458799 WVN458757:WVN458799 L524293:L524335 JB524293:JB524335 SX524293:SX524335 ACT524293:ACT524335 AMP524293:AMP524335 AWL524293:AWL524335 BGH524293:BGH524335 BQD524293:BQD524335 BZZ524293:BZZ524335 CJV524293:CJV524335 CTR524293:CTR524335 DDN524293:DDN524335 DNJ524293:DNJ524335 DXF524293:DXF524335 EHB524293:EHB524335 EQX524293:EQX524335 FAT524293:FAT524335 FKP524293:FKP524335 FUL524293:FUL524335 GEH524293:GEH524335 GOD524293:GOD524335 GXZ524293:GXZ524335 HHV524293:HHV524335 HRR524293:HRR524335 IBN524293:IBN524335 ILJ524293:ILJ524335 IVF524293:IVF524335 JFB524293:JFB524335 JOX524293:JOX524335 JYT524293:JYT524335 KIP524293:KIP524335 KSL524293:KSL524335 LCH524293:LCH524335 LMD524293:LMD524335 LVZ524293:LVZ524335 MFV524293:MFV524335 MPR524293:MPR524335 MZN524293:MZN524335 NJJ524293:NJJ524335 NTF524293:NTF524335 ODB524293:ODB524335 OMX524293:OMX524335 OWT524293:OWT524335 PGP524293:PGP524335 PQL524293:PQL524335 QAH524293:QAH524335 QKD524293:QKD524335 QTZ524293:QTZ524335 RDV524293:RDV524335 RNR524293:RNR524335 RXN524293:RXN524335 SHJ524293:SHJ524335 SRF524293:SRF524335 TBB524293:TBB524335 TKX524293:TKX524335 TUT524293:TUT524335 UEP524293:UEP524335 UOL524293:UOL524335 UYH524293:UYH524335 VID524293:VID524335 VRZ524293:VRZ524335 WBV524293:WBV524335 WLR524293:WLR524335 WVN524293:WVN524335 L589829:L589871 JB589829:JB589871 SX589829:SX589871 ACT589829:ACT589871 AMP589829:AMP589871 AWL589829:AWL589871 BGH589829:BGH589871 BQD589829:BQD589871 BZZ589829:BZZ589871 CJV589829:CJV589871 CTR589829:CTR589871 DDN589829:DDN589871 DNJ589829:DNJ589871 DXF589829:DXF589871 EHB589829:EHB589871 EQX589829:EQX589871 FAT589829:FAT589871 FKP589829:FKP589871 FUL589829:FUL589871 GEH589829:GEH589871 GOD589829:GOD589871 GXZ589829:GXZ589871 HHV589829:HHV589871 HRR589829:HRR589871 IBN589829:IBN589871 ILJ589829:ILJ589871 IVF589829:IVF589871 JFB589829:JFB589871 JOX589829:JOX589871 JYT589829:JYT589871 KIP589829:KIP589871 KSL589829:KSL589871 LCH589829:LCH589871 LMD589829:LMD589871 LVZ589829:LVZ589871 MFV589829:MFV589871 MPR589829:MPR589871 MZN589829:MZN589871 NJJ589829:NJJ589871 NTF589829:NTF589871 ODB589829:ODB589871 OMX589829:OMX589871 OWT589829:OWT589871 PGP589829:PGP589871 PQL589829:PQL589871 QAH589829:QAH589871 QKD589829:QKD589871 QTZ589829:QTZ589871 RDV589829:RDV589871 RNR589829:RNR589871 RXN589829:RXN589871 SHJ589829:SHJ589871 SRF589829:SRF589871 TBB589829:TBB589871 TKX589829:TKX589871 TUT589829:TUT589871 UEP589829:UEP589871 UOL589829:UOL589871 UYH589829:UYH589871 VID589829:VID589871 VRZ589829:VRZ589871 WBV589829:WBV589871 WLR589829:WLR589871 WVN589829:WVN589871 L655365:L655407 JB655365:JB655407 SX655365:SX655407 ACT655365:ACT655407 AMP655365:AMP655407 AWL655365:AWL655407 BGH655365:BGH655407 BQD655365:BQD655407 BZZ655365:BZZ655407 CJV655365:CJV655407 CTR655365:CTR655407 DDN655365:DDN655407 DNJ655365:DNJ655407 DXF655365:DXF655407 EHB655365:EHB655407 EQX655365:EQX655407 FAT655365:FAT655407 FKP655365:FKP655407 FUL655365:FUL655407 GEH655365:GEH655407 GOD655365:GOD655407 GXZ655365:GXZ655407 HHV655365:HHV655407 HRR655365:HRR655407 IBN655365:IBN655407 ILJ655365:ILJ655407 IVF655365:IVF655407 JFB655365:JFB655407 JOX655365:JOX655407 JYT655365:JYT655407 KIP655365:KIP655407 KSL655365:KSL655407 LCH655365:LCH655407 LMD655365:LMD655407 LVZ655365:LVZ655407 MFV655365:MFV655407 MPR655365:MPR655407 MZN655365:MZN655407 NJJ655365:NJJ655407 NTF655365:NTF655407 ODB655365:ODB655407 OMX655365:OMX655407 OWT655365:OWT655407 PGP655365:PGP655407 PQL655365:PQL655407 QAH655365:QAH655407 QKD655365:QKD655407 QTZ655365:QTZ655407 RDV655365:RDV655407 RNR655365:RNR655407 RXN655365:RXN655407 SHJ655365:SHJ655407 SRF655365:SRF655407 TBB655365:TBB655407 TKX655365:TKX655407 TUT655365:TUT655407 UEP655365:UEP655407 UOL655365:UOL655407 UYH655365:UYH655407 VID655365:VID655407 VRZ655365:VRZ655407 WBV655365:WBV655407 WLR655365:WLR655407 WVN655365:WVN655407 L720901:L720943 JB720901:JB720943 SX720901:SX720943 ACT720901:ACT720943 AMP720901:AMP720943 AWL720901:AWL720943 BGH720901:BGH720943 BQD720901:BQD720943 BZZ720901:BZZ720943 CJV720901:CJV720943 CTR720901:CTR720943 DDN720901:DDN720943 DNJ720901:DNJ720943 DXF720901:DXF720943 EHB720901:EHB720943 EQX720901:EQX720943 FAT720901:FAT720943 FKP720901:FKP720943 FUL720901:FUL720943 GEH720901:GEH720943 GOD720901:GOD720943 GXZ720901:GXZ720943 HHV720901:HHV720943 HRR720901:HRR720943 IBN720901:IBN720943 ILJ720901:ILJ720943 IVF720901:IVF720943 JFB720901:JFB720943 JOX720901:JOX720943 JYT720901:JYT720943 KIP720901:KIP720943 KSL720901:KSL720943 LCH720901:LCH720943 LMD720901:LMD720943 LVZ720901:LVZ720943 MFV720901:MFV720943 MPR720901:MPR720943 MZN720901:MZN720943 NJJ720901:NJJ720943 NTF720901:NTF720943 ODB720901:ODB720943 OMX720901:OMX720943 OWT720901:OWT720943 PGP720901:PGP720943 PQL720901:PQL720943 QAH720901:QAH720943 QKD720901:QKD720943 QTZ720901:QTZ720943 RDV720901:RDV720943 RNR720901:RNR720943 RXN720901:RXN720943 SHJ720901:SHJ720943 SRF720901:SRF720943 TBB720901:TBB720943 TKX720901:TKX720943 TUT720901:TUT720943 UEP720901:UEP720943 UOL720901:UOL720943 UYH720901:UYH720943 VID720901:VID720943 VRZ720901:VRZ720943 WBV720901:WBV720943 WLR720901:WLR720943 WVN720901:WVN720943 L786437:L786479 JB786437:JB786479 SX786437:SX786479 ACT786437:ACT786479 AMP786437:AMP786479 AWL786437:AWL786479 BGH786437:BGH786479 BQD786437:BQD786479 BZZ786437:BZZ786479 CJV786437:CJV786479 CTR786437:CTR786479 DDN786437:DDN786479 DNJ786437:DNJ786479 DXF786437:DXF786479 EHB786437:EHB786479 EQX786437:EQX786479 FAT786437:FAT786479 FKP786437:FKP786479 FUL786437:FUL786479 GEH786437:GEH786479 GOD786437:GOD786479 GXZ786437:GXZ786479 HHV786437:HHV786479 HRR786437:HRR786479 IBN786437:IBN786479 ILJ786437:ILJ786479 IVF786437:IVF786479 JFB786437:JFB786479 JOX786437:JOX786479 JYT786437:JYT786479 KIP786437:KIP786479 KSL786437:KSL786479 LCH786437:LCH786479 LMD786437:LMD786479 LVZ786437:LVZ786479 MFV786437:MFV786479 MPR786437:MPR786479 MZN786437:MZN786479 NJJ786437:NJJ786479 NTF786437:NTF786479 ODB786437:ODB786479 OMX786437:OMX786479 OWT786437:OWT786479 PGP786437:PGP786479 PQL786437:PQL786479 QAH786437:QAH786479 QKD786437:QKD786479 QTZ786437:QTZ786479 RDV786437:RDV786479 RNR786437:RNR786479 RXN786437:RXN786479 SHJ786437:SHJ786479 SRF786437:SRF786479 TBB786437:TBB786479 TKX786437:TKX786479 TUT786437:TUT786479 UEP786437:UEP786479 UOL786437:UOL786479 UYH786437:UYH786479 VID786437:VID786479 VRZ786437:VRZ786479 WBV786437:WBV786479 WLR786437:WLR786479 WVN786437:WVN786479 L851973:L852015 JB851973:JB852015 SX851973:SX852015 ACT851973:ACT852015 AMP851973:AMP852015 AWL851973:AWL852015 BGH851973:BGH852015 BQD851973:BQD852015 BZZ851973:BZZ852015 CJV851973:CJV852015 CTR851973:CTR852015 DDN851973:DDN852015 DNJ851973:DNJ852015 DXF851973:DXF852015 EHB851973:EHB852015 EQX851973:EQX852015 FAT851973:FAT852015 FKP851973:FKP852015 FUL851973:FUL852015 GEH851973:GEH852015 GOD851973:GOD852015 GXZ851973:GXZ852015 HHV851973:HHV852015 HRR851973:HRR852015 IBN851973:IBN852015 ILJ851973:ILJ852015 IVF851973:IVF852015 JFB851973:JFB852015 JOX851973:JOX852015 JYT851973:JYT852015 KIP851973:KIP852015 KSL851973:KSL852015 LCH851973:LCH852015 LMD851973:LMD852015 LVZ851973:LVZ852015 MFV851973:MFV852015 MPR851973:MPR852015 MZN851973:MZN852015 NJJ851973:NJJ852015 NTF851973:NTF852015 ODB851973:ODB852015 OMX851973:OMX852015 OWT851973:OWT852015 PGP851973:PGP852015 PQL851973:PQL852015 QAH851973:QAH852015 QKD851973:QKD852015 QTZ851973:QTZ852015 RDV851973:RDV852015 RNR851973:RNR852015 RXN851973:RXN852015 SHJ851973:SHJ852015 SRF851973:SRF852015 TBB851973:TBB852015 TKX851973:TKX852015 TUT851973:TUT852015 UEP851973:UEP852015 UOL851973:UOL852015 UYH851973:UYH852015 VID851973:VID852015 VRZ851973:VRZ852015 WBV851973:WBV852015 WLR851973:WLR852015 WVN851973:WVN852015 L917509:L917551 JB917509:JB917551 SX917509:SX917551 ACT917509:ACT917551 AMP917509:AMP917551 AWL917509:AWL917551 BGH917509:BGH917551 BQD917509:BQD917551 BZZ917509:BZZ917551 CJV917509:CJV917551 CTR917509:CTR917551 DDN917509:DDN917551 DNJ917509:DNJ917551 DXF917509:DXF917551 EHB917509:EHB917551 EQX917509:EQX917551 FAT917509:FAT917551 FKP917509:FKP917551 FUL917509:FUL917551 GEH917509:GEH917551 GOD917509:GOD917551 GXZ917509:GXZ917551 HHV917509:HHV917551 HRR917509:HRR917551 IBN917509:IBN917551 ILJ917509:ILJ917551 IVF917509:IVF917551 JFB917509:JFB917551 JOX917509:JOX917551 JYT917509:JYT917551 KIP917509:KIP917551 KSL917509:KSL917551 LCH917509:LCH917551 LMD917509:LMD917551 LVZ917509:LVZ917551 MFV917509:MFV917551 MPR917509:MPR917551 MZN917509:MZN917551 NJJ917509:NJJ917551 NTF917509:NTF917551 ODB917509:ODB917551 OMX917509:OMX917551 OWT917509:OWT917551 PGP917509:PGP917551 PQL917509:PQL917551 QAH917509:QAH917551 QKD917509:QKD917551 QTZ917509:QTZ917551 RDV917509:RDV917551 RNR917509:RNR917551 RXN917509:RXN917551 SHJ917509:SHJ917551 SRF917509:SRF917551 TBB917509:TBB917551 TKX917509:TKX917551 TUT917509:TUT917551 UEP917509:UEP917551 UOL917509:UOL917551 UYH917509:UYH917551 VID917509:VID917551 VRZ917509:VRZ917551 WBV917509:WBV917551 WLR917509:WLR917551 WVN917509:WVN917551 L983045:L983087 JB983045:JB983087 SX983045:SX983087 ACT983045:ACT983087 AMP983045:AMP983087 AWL983045:AWL983087 BGH983045:BGH983087 BQD983045:BQD983087 BZZ983045:BZZ983087 CJV983045:CJV983087 CTR983045:CTR983087 DDN983045:DDN983087 DNJ983045:DNJ983087 DXF983045:DXF983087 EHB983045:EHB983087 EQX983045:EQX983087 FAT983045:FAT983087 FKP983045:FKP983087 FUL983045:FUL983087 GEH983045:GEH983087 GOD983045:GOD983087 GXZ983045:GXZ983087 HHV983045:HHV983087 HRR983045:HRR983087 IBN983045:IBN983087 ILJ983045:ILJ983087 IVF983045:IVF983087 JFB983045:JFB983087 JOX983045:JOX983087 JYT983045:JYT983087 KIP983045:KIP983087 KSL983045:KSL983087 LCH983045:LCH983087 LMD983045:LMD983087 LVZ983045:LVZ983087 MFV983045:MFV983087 MPR983045:MPR983087 MZN983045:MZN983087 NJJ983045:NJJ983087 NTF983045:NTF983087 ODB983045:ODB983087 OMX983045:OMX983087 OWT983045:OWT983087 PGP983045:PGP983087 PQL983045:PQL983087 QAH983045:QAH983087 QKD983045:QKD983087 QTZ983045:QTZ983087 RDV983045:RDV983087 RNR983045:RNR983087 RXN983045:RXN983087 SHJ983045:SHJ983087 SRF983045:SRF983087 TBB983045:TBB983087 TKX983045:TKX983087 TUT983045:TUT983087 UEP983045:UEP983087 UOL983045:UOL983087 UYH983045:UYH983087 VID983045:VID983087 VRZ983045:VRZ983087 WBV983045:WBV983087 WLR983045:WLR983087">
      <formula1>0</formula1>
      <formula2>40</formula2>
    </dataValidation>
    <dataValidation allowBlank="1" showInputMessage="1" showErrorMessage="1" prompt="bitte auch die Lehrpersonen OHNE aktive Dienstleistung anführen!" sqref="A6:A8 IU6:IU8 SQ6:SQ8 ACM6:ACM8 AMI6:AMI8 AWE6:AWE8 BGA6:BGA8 BPW6:BPW8 BZS6:BZS8 CJO6:CJO8 CTK6:CTK8 DDG6:DDG8 DNC6:DNC8 DWY6:DWY8 EGU6:EGU8 EQQ6:EQQ8 FAM6:FAM8 FKI6:FKI8 FUE6:FUE8 GEA6:GEA8 GNW6:GNW8 GXS6:GXS8 HHO6:HHO8 HRK6:HRK8 IBG6:IBG8 ILC6:ILC8 IUY6:IUY8 JEU6:JEU8 JOQ6:JOQ8 JYM6:JYM8 KII6:KII8 KSE6:KSE8 LCA6:LCA8 LLW6:LLW8 LVS6:LVS8 MFO6:MFO8 MPK6:MPK8 MZG6:MZG8 NJC6:NJC8 NSY6:NSY8 OCU6:OCU8 OMQ6:OMQ8 OWM6:OWM8 PGI6:PGI8 PQE6:PQE8 QAA6:QAA8 QJW6:QJW8 QTS6:QTS8 RDO6:RDO8 RNK6:RNK8 RXG6:RXG8 SHC6:SHC8 SQY6:SQY8 TAU6:TAU8 TKQ6:TKQ8 TUM6:TUM8 UEI6:UEI8 UOE6:UOE8 UYA6:UYA8 VHW6:VHW8 VRS6:VRS8 WBO6:WBO8 WLK6:WLK8 WVG6:WVG8 A65542:A65544 IU65542:IU65544 SQ65542:SQ65544 ACM65542:ACM65544 AMI65542:AMI65544 AWE65542:AWE65544 BGA65542:BGA65544 BPW65542:BPW65544 BZS65542:BZS65544 CJO65542:CJO65544 CTK65542:CTK65544 DDG65542:DDG65544 DNC65542:DNC65544 DWY65542:DWY65544 EGU65542:EGU65544 EQQ65542:EQQ65544 FAM65542:FAM65544 FKI65542:FKI65544 FUE65542:FUE65544 GEA65542:GEA65544 GNW65542:GNW65544 GXS65542:GXS65544 HHO65542:HHO65544 HRK65542:HRK65544 IBG65542:IBG65544 ILC65542:ILC65544 IUY65542:IUY65544 JEU65542:JEU65544 JOQ65542:JOQ65544 JYM65542:JYM65544 KII65542:KII65544 KSE65542:KSE65544 LCA65542:LCA65544 LLW65542:LLW65544 LVS65542:LVS65544 MFO65542:MFO65544 MPK65542:MPK65544 MZG65542:MZG65544 NJC65542:NJC65544 NSY65542:NSY65544 OCU65542:OCU65544 OMQ65542:OMQ65544 OWM65542:OWM65544 PGI65542:PGI65544 PQE65542:PQE65544 QAA65542:QAA65544 QJW65542:QJW65544 QTS65542:QTS65544 RDO65542:RDO65544 RNK65542:RNK65544 RXG65542:RXG65544 SHC65542:SHC65544 SQY65542:SQY65544 TAU65542:TAU65544 TKQ65542:TKQ65544 TUM65542:TUM65544 UEI65542:UEI65544 UOE65542:UOE65544 UYA65542:UYA65544 VHW65542:VHW65544 VRS65542:VRS65544 WBO65542:WBO65544 WLK65542:WLK65544 WVG65542:WVG65544 A131078:A131080 IU131078:IU131080 SQ131078:SQ131080 ACM131078:ACM131080 AMI131078:AMI131080 AWE131078:AWE131080 BGA131078:BGA131080 BPW131078:BPW131080 BZS131078:BZS131080 CJO131078:CJO131080 CTK131078:CTK131080 DDG131078:DDG131080 DNC131078:DNC131080 DWY131078:DWY131080 EGU131078:EGU131080 EQQ131078:EQQ131080 FAM131078:FAM131080 FKI131078:FKI131080 FUE131078:FUE131080 GEA131078:GEA131080 GNW131078:GNW131080 GXS131078:GXS131080 HHO131078:HHO131080 HRK131078:HRK131080 IBG131078:IBG131080 ILC131078:ILC131080 IUY131078:IUY131080 JEU131078:JEU131080 JOQ131078:JOQ131080 JYM131078:JYM131080 KII131078:KII131080 KSE131078:KSE131080 LCA131078:LCA131080 LLW131078:LLW131080 LVS131078:LVS131080 MFO131078:MFO131080 MPK131078:MPK131080 MZG131078:MZG131080 NJC131078:NJC131080 NSY131078:NSY131080 OCU131078:OCU131080 OMQ131078:OMQ131080 OWM131078:OWM131080 PGI131078:PGI131080 PQE131078:PQE131080 QAA131078:QAA131080 QJW131078:QJW131080 QTS131078:QTS131080 RDO131078:RDO131080 RNK131078:RNK131080 RXG131078:RXG131080 SHC131078:SHC131080 SQY131078:SQY131080 TAU131078:TAU131080 TKQ131078:TKQ131080 TUM131078:TUM131080 UEI131078:UEI131080 UOE131078:UOE131080 UYA131078:UYA131080 VHW131078:VHW131080 VRS131078:VRS131080 WBO131078:WBO131080 WLK131078:WLK131080 WVG131078:WVG131080 A196614:A196616 IU196614:IU196616 SQ196614:SQ196616 ACM196614:ACM196616 AMI196614:AMI196616 AWE196614:AWE196616 BGA196614:BGA196616 BPW196614:BPW196616 BZS196614:BZS196616 CJO196614:CJO196616 CTK196614:CTK196616 DDG196614:DDG196616 DNC196614:DNC196616 DWY196614:DWY196616 EGU196614:EGU196616 EQQ196614:EQQ196616 FAM196614:FAM196616 FKI196614:FKI196616 FUE196614:FUE196616 GEA196614:GEA196616 GNW196614:GNW196616 GXS196614:GXS196616 HHO196614:HHO196616 HRK196614:HRK196616 IBG196614:IBG196616 ILC196614:ILC196616 IUY196614:IUY196616 JEU196614:JEU196616 JOQ196614:JOQ196616 JYM196614:JYM196616 KII196614:KII196616 KSE196614:KSE196616 LCA196614:LCA196616 LLW196614:LLW196616 LVS196614:LVS196616 MFO196614:MFO196616 MPK196614:MPK196616 MZG196614:MZG196616 NJC196614:NJC196616 NSY196614:NSY196616 OCU196614:OCU196616 OMQ196614:OMQ196616 OWM196614:OWM196616 PGI196614:PGI196616 PQE196614:PQE196616 QAA196614:QAA196616 QJW196614:QJW196616 QTS196614:QTS196616 RDO196614:RDO196616 RNK196614:RNK196616 RXG196614:RXG196616 SHC196614:SHC196616 SQY196614:SQY196616 TAU196614:TAU196616 TKQ196614:TKQ196616 TUM196614:TUM196616 UEI196614:UEI196616 UOE196614:UOE196616 UYA196614:UYA196616 VHW196614:VHW196616 VRS196614:VRS196616 WBO196614:WBO196616 WLK196614:WLK196616 WVG196614:WVG196616 A262150:A262152 IU262150:IU262152 SQ262150:SQ262152 ACM262150:ACM262152 AMI262150:AMI262152 AWE262150:AWE262152 BGA262150:BGA262152 BPW262150:BPW262152 BZS262150:BZS262152 CJO262150:CJO262152 CTK262150:CTK262152 DDG262150:DDG262152 DNC262150:DNC262152 DWY262150:DWY262152 EGU262150:EGU262152 EQQ262150:EQQ262152 FAM262150:FAM262152 FKI262150:FKI262152 FUE262150:FUE262152 GEA262150:GEA262152 GNW262150:GNW262152 GXS262150:GXS262152 HHO262150:HHO262152 HRK262150:HRK262152 IBG262150:IBG262152 ILC262150:ILC262152 IUY262150:IUY262152 JEU262150:JEU262152 JOQ262150:JOQ262152 JYM262150:JYM262152 KII262150:KII262152 KSE262150:KSE262152 LCA262150:LCA262152 LLW262150:LLW262152 LVS262150:LVS262152 MFO262150:MFO262152 MPK262150:MPK262152 MZG262150:MZG262152 NJC262150:NJC262152 NSY262150:NSY262152 OCU262150:OCU262152 OMQ262150:OMQ262152 OWM262150:OWM262152 PGI262150:PGI262152 PQE262150:PQE262152 QAA262150:QAA262152 QJW262150:QJW262152 QTS262150:QTS262152 RDO262150:RDO262152 RNK262150:RNK262152 RXG262150:RXG262152 SHC262150:SHC262152 SQY262150:SQY262152 TAU262150:TAU262152 TKQ262150:TKQ262152 TUM262150:TUM262152 UEI262150:UEI262152 UOE262150:UOE262152 UYA262150:UYA262152 VHW262150:VHW262152 VRS262150:VRS262152 WBO262150:WBO262152 WLK262150:WLK262152 WVG262150:WVG262152 A327686:A327688 IU327686:IU327688 SQ327686:SQ327688 ACM327686:ACM327688 AMI327686:AMI327688 AWE327686:AWE327688 BGA327686:BGA327688 BPW327686:BPW327688 BZS327686:BZS327688 CJO327686:CJO327688 CTK327686:CTK327688 DDG327686:DDG327688 DNC327686:DNC327688 DWY327686:DWY327688 EGU327686:EGU327688 EQQ327686:EQQ327688 FAM327686:FAM327688 FKI327686:FKI327688 FUE327686:FUE327688 GEA327686:GEA327688 GNW327686:GNW327688 GXS327686:GXS327688 HHO327686:HHO327688 HRK327686:HRK327688 IBG327686:IBG327688 ILC327686:ILC327688 IUY327686:IUY327688 JEU327686:JEU327688 JOQ327686:JOQ327688 JYM327686:JYM327688 KII327686:KII327688 KSE327686:KSE327688 LCA327686:LCA327688 LLW327686:LLW327688 LVS327686:LVS327688 MFO327686:MFO327688 MPK327686:MPK327688 MZG327686:MZG327688 NJC327686:NJC327688 NSY327686:NSY327688 OCU327686:OCU327688 OMQ327686:OMQ327688 OWM327686:OWM327688 PGI327686:PGI327688 PQE327686:PQE327688 QAA327686:QAA327688 QJW327686:QJW327688 QTS327686:QTS327688 RDO327686:RDO327688 RNK327686:RNK327688 RXG327686:RXG327688 SHC327686:SHC327688 SQY327686:SQY327688 TAU327686:TAU327688 TKQ327686:TKQ327688 TUM327686:TUM327688 UEI327686:UEI327688 UOE327686:UOE327688 UYA327686:UYA327688 VHW327686:VHW327688 VRS327686:VRS327688 WBO327686:WBO327688 WLK327686:WLK327688 WVG327686:WVG327688 A393222:A393224 IU393222:IU393224 SQ393222:SQ393224 ACM393222:ACM393224 AMI393222:AMI393224 AWE393222:AWE393224 BGA393222:BGA393224 BPW393222:BPW393224 BZS393222:BZS393224 CJO393222:CJO393224 CTK393222:CTK393224 DDG393222:DDG393224 DNC393222:DNC393224 DWY393222:DWY393224 EGU393222:EGU393224 EQQ393222:EQQ393224 FAM393222:FAM393224 FKI393222:FKI393224 FUE393222:FUE393224 GEA393222:GEA393224 GNW393222:GNW393224 GXS393222:GXS393224 HHO393222:HHO393224 HRK393222:HRK393224 IBG393222:IBG393224 ILC393222:ILC393224 IUY393222:IUY393224 JEU393222:JEU393224 JOQ393222:JOQ393224 JYM393222:JYM393224 KII393222:KII393224 KSE393222:KSE393224 LCA393222:LCA393224 LLW393222:LLW393224 LVS393222:LVS393224 MFO393222:MFO393224 MPK393222:MPK393224 MZG393222:MZG393224 NJC393222:NJC393224 NSY393222:NSY393224 OCU393222:OCU393224 OMQ393222:OMQ393224 OWM393222:OWM393224 PGI393222:PGI393224 PQE393222:PQE393224 QAA393222:QAA393224 QJW393222:QJW393224 QTS393222:QTS393224 RDO393222:RDO393224 RNK393222:RNK393224 RXG393222:RXG393224 SHC393222:SHC393224 SQY393222:SQY393224 TAU393222:TAU393224 TKQ393222:TKQ393224 TUM393222:TUM393224 UEI393222:UEI393224 UOE393222:UOE393224 UYA393222:UYA393224 VHW393222:VHW393224 VRS393222:VRS393224 WBO393222:WBO393224 WLK393222:WLK393224 WVG393222:WVG393224 A458758:A458760 IU458758:IU458760 SQ458758:SQ458760 ACM458758:ACM458760 AMI458758:AMI458760 AWE458758:AWE458760 BGA458758:BGA458760 BPW458758:BPW458760 BZS458758:BZS458760 CJO458758:CJO458760 CTK458758:CTK458760 DDG458758:DDG458760 DNC458758:DNC458760 DWY458758:DWY458760 EGU458758:EGU458760 EQQ458758:EQQ458760 FAM458758:FAM458760 FKI458758:FKI458760 FUE458758:FUE458760 GEA458758:GEA458760 GNW458758:GNW458760 GXS458758:GXS458760 HHO458758:HHO458760 HRK458758:HRK458760 IBG458758:IBG458760 ILC458758:ILC458760 IUY458758:IUY458760 JEU458758:JEU458760 JOQ458758:JOQ458760 JYM458758:JYM458760 KII458758:KII458760 KSE458758:KSE458760 LCA458758:LCA458760 LLW458758:LLW458760 LVS458758:LVS458760 MFO458758:MFO458760 MPK458758:MPK458760 MZG458758:MZG458760 NJC458758:NJC458760 NSY458758:NSY458760 OCU458758:OCU458760 OMQ458758:OMQ458760 OWM458758:OWM458760 PGI458758:PGI458760 PQE458758:PQE458760 QAA458758:QAA458760 QJW458758:QJW458760 QTS458758:QTS458760 RDO458758:RDO458760 RNK458758:RNK458760 RXG458758:RXG458760 SHC458758:SHC458760 SQY458758:SQY458760 TAU458758:TAU458760 TKQ458758:TKQ458760 TUM458758:TUM458760 UEI458758:UEI458760 UOE458758:UOE458760 UYA458758:UYA458760 VHW458758:VHW458760 VRS458758:VRS458760 WBO458758:WBO458760 WLK458758:WLK458760 WVG458758:WVG458760 A524294:A524296 IU524294:IU524296 SQ524294:SQ524296 ACM524294:ACM524296 AMI524294:AMI524296 AWE524294:AWE524296 BGA524294:BGA524296 BPW524294:BPW524296 BZS524294:BZS524296 CJO524294:CJO524296 CTK524294:CTK524296 DDG524294:DDG524296 DNC524294:DNC524296 DWY524294:DWY524296 EGU524294:EGU524296 EQQ524294:EQQ524296 FAM524294:FAM524296 FKI524294:FKI524296 FUE524294:FUE524296 GEA524294:GEA524296 GNW524294:GNW524296 GXS524294:GXS524296 HHO524294:HHO524296 HRK524294:HRK524296 IBG524294:IBG524296 ILC524294:ILC524296 IUY524294:IUY524296 JEU524294:JEU524296 JOQ524294:JOQ524296 JYM524294:JYM524296 KII524294:KII524296 KSE524294:KSE524296 LCA524294:LCA524296 LLW524294:LLW524296 LVS524294:LVS524296 MFO524294:MFO524296 MPK524294:MPK524296 MZG524294:MZG524296 NJC524294:NJC524296 NSY524294:NSY524296 OCU524294:OCU524296 OMQ524294:OMQ524296 OWM524294:OWM524296 PGI524294:PGI524296 PQE524294:PQE524296 QAA524294:QAA524296 QJW524294:QJW524296 QTS524294:QTS524296 RDO524294:RDO524296 RNK524294:RNK524296 RXG524294:RXG524296 SHC524294:SHC524296 SQY524294:SQY524296 TAU524294:TAU524296 TKQ524294:TKQ524296 TUM524294:TUM524296 UEI524294:UEI524296 UOE524294:UOE524296 UYA524294:UYA524296 VHW524294:VHW524296 VRS524294:VRS524296 WBO524294:WBO524296 WLK524294:WLK524296 WVG524294:WVG524296 A589830:A589832 IU589830:IU589832 SQ589830:SQ589832 ACM589830:ACM589832 AMI589830:AMI589832 AWE589830:AWE589832 BGA589830:BGA589832 BPW589830:BPW589832 BZS589830:BZS589832 CJO589830:CJO589832 CTK589830:CTK589832 DDG589830:DDG589832 DNC589830:DNC589832 DWY589830:DWY589832 EGU589830:EGU589832 EQQ589830:EQQ589832 FAM589830:FAM589832 FKI589830:FKI589832 FUE589830:FUE589832 GEA589830:GEA589832 GNW589830:GNW589832 GXS589830:GXS589832 HHO589830:HHO589832 HRK589830:HRK589832 IBG589830:IBG589832 ILC589830:ILC589832 IUY589830:IUY589832 JEU589830:JEU589832 JOQ589830:JOQ589832 JYM589830:JYM589832 KII589830:KII589832 KSE589830:KSE589832 LCA589830:LCA589832 LLW589830:LLW589832 LVS589830:LVS589832 MFO589830:MFO589832 MPK589830:MPK589832 MZG589830:MZG589832 NJC589830:NJC589832 NSY589830:NSY589832 OCU589830:OCU589832 OMQ589830:OMQ589832 OWM589830:OWM589832 PGI589830:PGI589832 PQE589830:PQE589832 QAA589830:QAA589832 QJW589830:QJW589832 QTS589830:QTS589832 RDO589830:RDO589832 RNK589830:RNK589832 RXG589830:RXG589832 SHC589830:SHC589832 SQY589830:SQY589832 TAU589830:TAU589832 TKQ589830:TKQ589832 TUM589830:TUM589832 UEI589830:UEI589832 UOE589830:UOE589832 UYA589830:UYA589832 VHW589830:VHW589832 VRS589830:VRS589832 WBO589830:WBO589832 WLK589830:WLK589832 WVG589830:WVG589832 A655366:A655368 IU655366:IU655368 SQ655366:SQ655368 ACM655366:ACM655368 AMI655366:AMI655368 AWE655366:AWE655368 BGA655366:BGA655368 BPW655366:BPW655368 BZS655366:BZS655368 CJO655366:CJO655368 CTK655366:CTK655368 DDG655366:DDG655368 DNC655366:DNC655368 DWY655366:DWY655368 EGU655366:EGU655368 EQQ655366:EQQ655368 FAM655366:FAM655368 FKI655366:FKI655368 FUE655366:FUE655368 GEA655366:GEA655368 GNW655366:GNW655368 GXS655366:GXS655368 HHO655366:HHO655368 HRK655366:HRK655368 IBG655366:IBG655368 ILC655366:ILC655368 IUY655366:IUY655368 JEU655366:JEU655368 JOQ655366:JOQ655368 JYM655366:JYM655368 KII655366:KII655368 KSE655366:KSE655368 LCA655366:LCA655368 LLW655366:LLW655368 LVS655366:LVS655368 MFO655366:MFO655368 MPK655366:MPK655368 MZG655366:MZG655368 NJC655366:NJC655368 NSY655366:NSY655368 OCU655366:OCU655368 OMQ655366:OMQ655368 OWM655366:OWM655368 PGI655366:PGI655368 PQE655366:PQE655368 QAA655366:QAA655368 QJW655366:QJW655368 QTS655366:QTS655368 RDO655366:RDO655368 RNK655366:RNK655368 RXG655366:RXG655368 SHC655366:SHC655368 SQY655366:SQY655368 TAU655366:TAU655368 TKQ655366:TKQ655368 TUM655366:TUM655368 UEI655366:UEI655368 UOE655366:UOE655368 UYA655366:UYA655368 VHW655366:VHW655368 VRS655366:VRS655368 WBO655366:WBO655368 WLK655366:WLK655368 WVG655366:WVG655368 A720902:A720904 IU720902:IU720904 SQ720902:SQ720904 ACM720902:ACM720904 AMI720902:AMI720904 AWE720902:AWE720904 BGA720902:BGA720904 BPW720902:BPW720904 BZS720902:BZS720904 CJO720902:CJO720904 CTK720902:CTK720904 DDG720902:DDG720904 DNC720902:DNC720904 DWY720902:DWY720904 EGU720902:EGU720904 EQQ720902:EQQ720904 FAM720902:FAM720904 FKI720902:FKI720904 FUE720902:FUE720904 GEA720902:GEA720904 GNW720902:GNW720904 GXS720902:GXS720904 HHO720902:HHO720904 HRK720902:HRK720904 IBG720902:IBG720904 ILC720902:ILC720904 IUY720902:IUY720904 JEU720902:JEU720904 JOQ720902:JOQ720904 JYM720902:JYM720904 KII720902:KII720904 KSE720902:KSE720904 LCA720902:LCA720904 LLW720902:LLW720904 LVS720902:LVS720904 MFO720902:MFO720904 MPK720902:MPK720904 MZG720902:MZG720904 NJC720902:NJC720904 NSY720902:NSY720904 OCU720902:OCU720904 OMQ720902:OMQ720904 OWM720902:OWM720904 PGI720902:PGI720904 PQE720902:PQE720904 QAA720902:QAA720904 QJW720902:QJW720904 QTS720902:QTS720904 RDO720902:RDO720904 RNK720902:RNK720904 RXG720902:RXG720904 SHC720902:SHC720904 SQY720902:SQY720904 TAU720902:TAU720904 TKQ720902:TKQ720904 TUM720902:TUM720904 UEI720902:UEI720904 UOE720902:UOE720904 UYA720902:UYA720904 VHW720902:VHW720904 VRS720902:VRS720904 WBO720902:WBO720904 WLK720902:WLK720904 WVG720902:WVG720904 A786438:A786440 IU786438:IU786440 SQ786438:SQ786440 ACM786438:ACM786440 AMI786438:AMI786440 AWE786438:AWE786440 BGA786438:BGA786440 BPW786438:BPW786440 BZS786438:BZS786440 CJO786438:CJO786440 CTK786438:CTK786440 DDG786438:DDG786440 DNC786438:DNC786440 DWY786438:DWY786440 EGU786438:EGU786440 EQQ786438:EQQ786440 FAM786438:FAM786440 FKI786438:FKI786440 FUE786438:FUE786440 GEA786438:GEA786440 GNW786438:GNW786440 GXS786438:GXS786440 HHO786438:HHO786440 HRK786438:HRK786440 IBG786438:IBG786440 ILC786438:ILC786440 IUY786438:IUY786440 JEU786438:JEU786440 JOQ786438:JOQ786440 JYM786438:JYM786440 KII786438:KII786440 KSE786438:KSE786440 LCA786438:LCA786440 LLW786438:LLW786440 LVS786438:LVS786440 MFO786438:MFO786440 MPK786438:MPK786440 MZG786438:MZG786440 NJC786438:NJC786440 NSY786438:NSY786440 OCU786438:OCU786440 OMQ786438:OMQ786440 OWM786438:OWM786440 PGI786438:PGI786440 PQE786438:PQE786440 QAA786438:QAA786440 QJW786438:QJW786440 QTS786438:QTS786440 RDO786438:RDO786440 RNK786438:RNK786440 RXG786438:RXG786440 SHC786438:SHC786440 SQY786438:SQY786440 TAU786438:TAU786440 TKQ786438:TKQ786440 TUM786438:TUM786440 UEI786438:UEI786440 UOE786438:UOE786440 UYA786438:UYA786440 VHW786438:VHW786440 VRS786438:VRS786440 WBO786438:WBO786440 WLK786438:WLK786440 WVG786438:WVG786440 A851974:A851976 IU851974:IU851976 SQ851974:SQ851976 ACM851974:ACM851976 AMI851974:AMI851976 AWE851974:AWE851976 BGA851974:BGA851976 BPW851974:BPW851976 BZS851974:BZS851976 CJO851974:CJO851976 CTK851974:CTK851976 DDG851974:DDG851976 DNC851974:DNC851976 DWY851974:DWY851976 EGU851974:EGU851976 EQQ851974:EQQ851976 FAM851974:FAM851976 FKI851974:FKI851976 FUE851974:FUE851976 GEA851974:GEA851976 GNW851974:GNW851976 GXS851974:GXS851976 HHO851974:HHO851976 HRK851974:HRK851976 IBG851974:IBG851976 ILC851974:ILC851976 IUY851974:IUY851976 JEU851974:JEU851976 JOQ851974:JOQ851976 JYM851974:JYM851976 KII851974:KII851976 KSE851974:KSE851976 LCA851974:LCA851976 LLW851974:LLW851976 LVS851974:LVS851976 MFO851974:MFO851976 MPK851974:MPK851976 MZG851974:MZG851976 NJC851974:NJC851976 NSY851974:NSY851976 OCU851974:OCU851976 OMQ851974:OMQ851976 OWM851974:OWM851976 PGI851974:PGI851976 PQE851974:PQE851976 QAA851974:QAA851976 QJW851974:QJW851976 QTS851974:QTS851976 RDO851974:RDO851976 RNK851974:RNK851976 RXG851974:RXG851976 SHC851974:SHC851976 SQY851974:SQY851976 TAU851974:TAU851976 TKQ851974:TKQ851976 TUM851974:TUM851976 UEI851974:UEI851976 UOE851974:UOE851976 UYA851974:UYA851976 VHW851974:VHW851976 VRS851974:VRS851976 WBO851974:WBO851976 WLK851974:WLK851976 WVG851974:WVG851976 A917510:A917512 IU917510:IU917512 SQ917510:SQ917512 ACM917510:ACM917512 AMI917510:AMI917512 AWE917510:AWE917512 BGA917510:BGA917512 BPW917510:BPW917512 BZS917510:BZS917512 CJO917510:CJO917512 CTK917510:CTK917512 DDG917510:DDG917512 DNC917510:DNC917512 DWY917510:DWY917512 EGU917510:EGU917512 EQQ917510:EQQ917512 FAM917510:FAM917512 FKI917510:FKI917512 FUE917510:FUE917512 GEA917510:GEA917512 GNW917510:GNW917512 GXS917510:GXS917512 HHO917510:HHO917512 HRK917510:HRK917512 IBG917510:IBG917512 ILC917510:ILC917512 IUY917510:IUY917512 JEU917510:JEU917512 JOQ917510:JOQ917512 JYM917510:JYM917512 KII917510:KII917512 KSE917510:KSE917512 LCA917510:LCA917512 LLW917510:LLW917512 LVS917510:LVS917512 MFO917510:MFO917512 MPK917510:MPK917512 MZG917510:MZG917512 NJC917510:NJC917512 NSY917510:NSY917512 OCU917510:OCU917512 OMQ917510:OMQ917512 OWM917510:OWM917512 PGI917510:PGI917512 PQE917510:PQE917512 QAA917510:QAA917512 QJW917510:QJW917512 QTS917510:QTS917512 RDO917510:RDO917512 RNK917510:RNK917512 RXG917510:RXG917512 SHC917510:SHC917512 SQY917510:SQY917512 TAU917510:TAU917512 TKQ917510:TKQ917512 TUM917510:TUM917512 UEI917510:UEI917512 UOE917510:UOE917512 UYA917510:UYA917512 VHW917510:VHW917512 VRS917510:VRS917512 WBO917510:WBO917512 WLK917510:WLK917512 WVG917510:WVG917512 A983046:A983048 IU983046:IU983048 SQ983046:SQ983048 ACM983046:ACM983048 AMI983046:AMI983048 AWE983046:AWE983048 BGA983046:BGA983048 BPW983046:BPW983048 BZS983046:BZS983048 CJO983046:CJO983048 CTK983046:CTK983048 DDG983046:DDG983048 DNC983046:DNC983048 DWY983046:DWY983048 EGU983046:EGU983048 EQQ983046:EQQ983048 FAM983046:FAM983048 FKI983046:FKI983048 FUE983046:FUE983048 GEA983046:GEA983048 GNW983046:GNW983048 GXS983046:GXS983048 HHO983046:HHO983048 HRK983046:HRK983048 IBG983046:IBG983048 ILC983046:ILC983048 IUY983046:IUY983048 JEU983046:JEU983048 JOQ983046:JOQ983048 JYM983046:JYM983048 KII983046:KII983048 KSE983046:KSE983048 LCA983046:LCA983048 LLW983046:LLW983048 LVS983046:LVS983048 MFO983046:MFO983048 MPK983046:MPK983048 MZG983046:MZG983048 NJC983046:NJC983048 NSY983046:NSY983048 OCU983046:OCU983048 OMQ983046:OMQ983048 OWM983046:OWM983048 PGI983046:PGI983048 PQE983046:PQE983048 QAA983046:QAA983048 QJW983046:QJW983048 QTS983046:QTS983048 RDO983046:RDO983048 RNK983046:RNK983048 RXG983046:RXG983048 SHC983046:SHC983048 SQY983046:SQY983048 TAU983046:TAU983048 TKQ983046:TKQ983048 TUM983046:TUM983048 UEI983046:UEI983048 UOE983046:UOE983048 UYA983046:UYA983048 VHW983046:VHW983048 VRS983046:VRS983048 WBO983046:WBO983048 WLK983046:WLK983048 WVG983046:WVG983048"/>
    <dataValidation allowBlank="1" showInputMessage="1" showErrorMessage="1" prompt="bei Zutreffen &quot;X&quot; oder &quot;ja&quot; eingeben" sqref="WVM983045:WVM983087 JA5:JA47 SW5:SW47 ACS5:ACS47 AMO5:AMO47 AWK5:AWK47 BGG5:BGG47 BQC5:BQC47 BZY5:BZY47 CJU5:CJU47 CTQ5:CTQ47 DDM5:DDM47 DNI5:DNI47 DXE5:DXE47 EHA5:EHA47 EQW5:EQW47 FAS5:FAS47 FKO5:FKO47 FUK5:FUK47 GEG5:GEG47 GOC5:GOC47 GXY5:GXY47 HHU5:HHU47 HRQ5:HRQ47 IBM5:IBM47 ILI5:ILI47 IVE5:IVE47 JFA5:JFA47 JOW5:JOW47 JYS5:JYS47 KIO5:KIO47 KSK5:KSK47 LCG5:LCG47 LMC5:LMC47 LVY5:LVY47 MFU5:MFU47 MPQ5:MPQ47 MZM5:MZM47 NJI5:NJI47 NTE5:NTE47 ODA5:ODA47 OMW5:OMW47 OWS5:OWS47 PGO5:PGO47 PQK5:PQK47 QAG5:QAG47 QKC5:QKC47 QTY5:QTY47 RDU5:RDU47 RNQ5:RNQ47 RXM5:RXM47 SHI5:SHI47 SRE5:SRE47 TBA5:TBA47 TKW5:TKW47 TUS5:TUS47 UEO5:UEO47 UOK5:UOK47 UYG5:UYG47 VIC5:VIC47 VRY5:VRY47 WBU5:WBU47 WLQ5:WLQ47 WVM5:WVM47 G65541:G65583 JA65541:JA65583 SW65541:SW65583 ACS65541:ACS65583 AMO65541:AMO65583 AWK65541:AWK65583 BGG65541:BGG65583 BQC65541:BQC65583 BZY65541:BZY65583 CJU65541:CJU65583 CTQ65541:CTQ65583 DDM65541:DDM65583 DNI65541:DNI65583 DXE65541:DXE65583 EHA65541:EHA65583 EQW65541:EQW65583 FAS65541:FAS65583 FKO65541:FKO65583 FUK65541:FUK65583 GEG65541:GEG65583 GOC65541:GOC65583 GXY65541:GXY65583 HHU65541:HHU65583 HRQ65541:HRQ65583 IBM65541:IBM65583 ILI65541:ILI65583 IVE65541:IVE65583 JFA65541:JFA65583 JOW65541:JOW65583 JYS65541:JYS65583 KIO65541:KIO65583 KSK65541:KSK65583 LCG65541:LCG65583 LMC65541:LMC65583 LVY65541:LVY65583 MFU65541:MFU65583 MPQ65541:MPQ65583 MZM65541:MZM65583 NJI65541:NJI65583 NTE65541:NTE65583 ODA65541:ODA65583 OMW65541:OMW65583 OWS65541:OWS65583 PGO65541:PGO65583 PQK65541:PQK65583 QAG65541:QAG65583 QKC65541:QKC65583 QTY65541:QTY65583 RDU65541:RDU65583 RNQ65541:RNQ65583 RXM65541:RXM65583 SHI65541:SHI65583 SRE65541:SRE65583 TBA65541:TBA65583 TKW65541:TKW65583 TUS65541:TUS65583 UEO65541:UEO65583 UOK65541:UOK65583 UYG65541:UYG65583 VIC65541:VIC65583 VRY65541:VRY65583 WBU65541:WBU65583 WLQ65541:WLQ65583 WVM65541:WVM65583 G131077:G131119 JA131077:JA131119 SW131077:SW131119 ACS131077:ACS131119 AMO131077:AMO131119 AWK131077:AWK131119 BGG131077:BGG131119 BQC131077:BQC131119 BZY131077:BZY131119 CJU131077:CJU131119 CTQ131077:CTQ131119 DDM131077:DDM131119 DNI131077:DNI131119 DXE131077:DXE131119 EHA131077:EHA131119 EQW131077:EQW131119 FAS131077:FAS131119 FKO131077:FKO131119 FUK131077:FUK131119 GEG131077:GEG131119 GOC131077:GOC131119 GXY131077:GXY131119 HHU131077:HHU131119 HRQ131077:HRQ131119 IBM131077:IBM131119 ILI131077:ILI131119 IVE131077:IVE131119 JFA131077:JFA131119 JOW131077:JOW131119 JYS131077:JYS131119 KIO131077:KIO131119 KSK131077:KSK131119 LCG131077:LCG131119 LMC131077:LMC131119 LVY131077:LVY131119 MFU131077:MFU131119 MPQ131077:MPQ131119 MZM131077:MZM131119 NJI131077:NJI131119 NTE131077:NTE131119 ODA131077:ODA131119 OMW131077:OMW131119 OWS131077:OWS131119 PGO131077:PGO131119 PQK131077:PQK131119 QAG131077:QAG131119 QKC131077:QKC131119 QTY131077:QTY131119 RDU131077:RDU131119 RNQ131077:RNQ131119 RXM131077:RXM131119 SHI131077:SHI131119 SRE131077:SRE131119 TBA131077:TBA131119 TKW131077:TKW131119 TUS131077:TUS131119 UEO131077:UEO131119 UOK131077:UOK131119 UYG131077:UYG131119 VIC131077:VIC131119 VRY131077:VRY131119 WBU131077:WBU131119 WLQ131077:WLQ131119 WVM131077:WVM131119 G196613:G196655 JA196613:JA196655 SW196613:SW196655 ACS196613:ACS196655 AMO196613:AMO196655 AWK196613:AWK196655 BGG196613:BGG196655 BQC196613:BQC196655 BZY196613:BZY196655 CJU196613:CJU196655 CTQ196613:CTQ196655 DDM196613:DDM196655 DNI196613:DNI196655 DXE196613:DXE196655 EHA196613:EHA196655 EQW196613:EQW196655 FAS196613:FAS196655 FKO196613:FKO196655 FUK196613:FUK196655 GEG196613:GEG196655 GOC196613:GOC196655 GXY196613:GXY196655 HHU196613:HHU196655 HRQ196613:HRQ196655 IBM196613:IBM196655 ILI196613:ILI196655 IVE196613:IVE196655 JFA196613:JFA196655 JOW196613:JOW196655 JYS196613:JYS196655 KIO196613:KIO196655 KSK196613:KSK196655 LCG196613:LCG196655 LMC196613:LMC196655 LVY196613:LVY196655 MFU196613:MFU196655 MPQ196613:MPQ196655 MZM196613:MZM196655 NJI196613:NJI196655 NTE196613:NTE196655 ODA196613:ODA196655 OMW196613:OMW196655 OWS196613:OWS196655 PGO196613:PGO196655 PQK196613:PQK196655 QAG196613:QAG196655 QKC196613:QKC196655 QTY196613:QTY196655 RDU196613:RDU196655 RNQ196613:RNQ196655 RXM196613:RXM196655 SHI196613:SHI196655 SRE196613:SRE196655 TBA196613:TBA196655 TKW196613:TKW196655 TUS196613:TUS196655 UEO196613:UEO196655 UOK196613:UOK196655 UYG196613:UYG196655 VIC196613:VIC196655 VRY196613:VRY196655 WBU196613:WBU196655 WLQ196613:WLQ196655 WVM196613:WVM196655 G262149:G262191 JA262149:JA262191 SW262149:SW262191 ACS262149:ACS262191 AMO262149:AMO262191 AWK262149:AWK262191 BGG262149:BGG262191 BQC262149:BQC262191 BZY262149:BZY262191 CJU262149:CJU262191 CTQ262149:CTQ262191 DDM262149:DDM262191 DNI262149:DNI262191 DXE262149:DXE262191 EHA262149:EHA262191 EQW262149:EQW262191 FAS262149:FAS262191 FKO262149:FKO262191 FUK262149:FUK262191 GEG262149:GEG262191 GOC262149:GOC262191 GXY262149:GXY262191 HHU262149:HHU262191 HRQ262149:HRQ262191 IBM262149:IBM262191 ILI262149:ILI262191 IVE262149:IVE262191 JFA262149:JFA262191 JOW262149:JOW262191 JYS262149:JYS262191 KIO262149:KIO262191 KSK262149:KSK262191 LCG262149:LCG262191 LMC262149:LMC262191 LVY262149:LVY262191 MFU262149:MFU262191 MPQ262149:MPQ262191 MZM262149:MZM262191 NJI262149:NJI262191 NTE262149:NTE262191 ODA262149:ODA262191 OMW262149:OMW262191 OWS262149:OWS262191 PGO262149:PGO262191 PQK262149:PQK262191 QAG262149:QAG262191 QKC262149:QKC262191 QTY262149:QTY262191 RDU262149:RDU262191 RNQ262149:RNQ262191 RXM262149:RXM262191 SHI262149:SHI262191 SRE262149:SRE262191 TBA262149:TBA262191 TKW262149:TKW262191 TUS262149:TUS262191 UEO262149:UEO262191 UOK262149:UOK262191 UYG262149:UYG262191 VIC262149:VIC262191 VRY262149:VRY262191 WBU262149:WBU262191 WLQ262149:WLQ262191 WVM262149:WVM262191 G327685:G327727 JA327685:JA327727 SW327685:SW327727 ACS327685:ACS327727 AMO327685:AMO327727 AWK327685:AWK327727 BGG327685:BGG327727 BQC327685:BQC327727 BZY327685:BZY327727 CJU327685:CJU327727 CTQ327685:CTQ327727 DDM327685:DDM327727 DNI327685:DNI327727 DXE327685:DXE327727 EHA327685:EHA327727 EQW327685:EQW327727 FAS327685:FAS327727 FKO327685:FKO327727 FUK327685:FUK327727 GEG327685:GEG327727 GOC327685:GOC327727 GXY327685:GXY327727 HHU327685:HHU327727 HRQ327685:HRQ327727 IBM327685:IBM327727 ILI327685:ILI327727 IVE327685:IVE327727 JFA327685:JFA327727 JOW327685:JOW327727 JYS327685:JYS327727 KIO327685:KIO327727 KSK327685:KSK327727 LCG327685:LCG327727 LMC327685:LMC327727 LVY327685:LVY327727 MFU327685:MFU327727 MPQ327685:MPQ327727 MZM327685:MZM327727 NJI327685:NJI327727 NTE327685:NTE327727 ODA327685:ODA327727 OMW327685:OMW327727 OWS327685:OWS327727 PGO327685:PGO327727 PQK327685:PQK327727 QAG327685:QAG327727 QKC327685:QKC327727 QTY327685:QTY327727 RDU327685:RDU327727 RNQ327685:RNQ327727 RXM327685:RXM327727 SHI327685:SHI327727 SRE327685:SRE327727 TBA327685:TBA327727 TKW327685:TKW327727 TUS327685:TUS327727 UEO327685:UEO327727 UOK327685:UOK327727 UYG327685:UYG327727 VIC327685:VIC327727 VRY327685:VRY327727 WBU327685:WBU327727 WLQ327685:WLQ327727 WVM327685:WVM327727 G393221:G393263 JA393221:JA393263 SW393221:SW393263 ACS393221:ACS393263 AMO393221:AMO393263 AWK393221:AWK393263 BGG393221:BGG393263 BQC393221:BQC393263 BZY393221:BZY393263 CJU393221:CJU393263 CTQ393221:CTQ393263 DDM393221:DDM393263 DNI393221:DNI393263 DXE393221:DXE393263 EHA393221:EHA393263 EQW393221:EQW393263 FAS393221:FAS393263 FKO393221:FKO393263 FUK393221:FUK393263 GEG393221:GEG393263 GOC393221:GOC393263 GXY393221:GXY393263 HHU393221:HHU393263 HRQ393221:HRQ393263 IBM393221:IBM393263 ILI393221:ILI393263 IVE393221:IVE393263 JFA393221:JFA393263 JOW393221:JOW393263 JYS393221:JYS393263 KIO393221:KIO393263 KSK393221:KSK393263 LCG393221:LCG393263 LMC393221:LMC393263 LVY393221:LVY393263 MFU393221:MFU393263 MPQ393221:MPQ393263 MZM393221:MZM393263 NJI393221:NJI393263 NTE393221:NTE393263 ODA393221:ODA393263 OMW393221:OMW393263 OWS393221:OWS393263 PGO393221:PGO393263 PQK393221:PQK393263 QAG393221:QAG393263 QKC393221:QKC393263 QTY393221:QTY393263 RDU393221:RDU393263 RNQ393221:RNQ393263 RXM393221:RXM393263 SHI393221:SHI393263 SRE393221:SRE393263 TBA393221:TBA393263 TKW393221:TKW393263 TUS393221:TUS393263 UEO393221:UEO393263 UOK393221:UOK393263 UYG393221:UYG393263 VIC393221:VIC393263 VRY393221:VRY393263 WBU393221:WBU393263 WLQ393221:WLQ393263 WVM393221:WVM393263 G458757:G458799 JA458757:JA458799 SW458757:SW458799 ACS458757:ACS458799 AMO458757:AMO458799 AWK458757:AWK458799 BGG458757:BGG458799 BQC458757:BQC458799 BZY458757:BZY458799 CJU458757:CJU458799 CTQ458757:CTQ458799 DDM458757:DDM458799 DNI458757:DNI458799 DXE458757:DXE458799 EHA458757:EHA458799 EQW458757:EQW458799 FAS458757:FAS458799 FKO458757:FKO458799 FUK458757:FUK458799 GEG458757:GEG458799 GOC458757:GOC458799 GXY458757:GXY458799 HHU458757:HHU458799 HRQ458757:HRQ458799 IBM458757:IBM458799 ILI458757:ILI458799 IVE458757:IVE458799 JFA458757:JFA458799 JOW458757:JOW458799 JYS458757:JYS458799 KIO458757:KIO458799 KSK458757:KSK458799 LCG458757:LCG458799 LMC458757:LMC458799 LVY458757:LVY458799 MFU458757:MFU458799 MPQ458757:MPQ458799 MZM458757:MZM458799 NJI458757:NJI458799 NTE458757:NTE458799 ODA458757:ODA458799 OMW458757:OMW458799 OWS458757:OWS458799 PGO458757:PGO458799 PQK458757:PQK458799 QAG458757:QAG458799 QKC458757:QKC458799 QTY458757:QTY458799 RDU458757:RDU458799 RNQ458757:RNQ458799 RXM458757:RXM458799 SHI458757:SHI458799 SRE458757:SRE458799 TBA458757:TBA458799 TKW458757:TKW458799 TUS458757:TUS458799 UEO458757:UEO458799 UOK458757:UOK458799 UYG458757:UYG458799 VIC458757:VIC458799 VRY458757:VRY458799 WBU458757:WBU458799 WLQ458757:WLQ458799 WVM458757:WVM458799 G524293:G524335 JA524293:JA524335 SW524293:SW524335 ACS524293:ACS524335 AMO524293:AMO524335 AWK524293:AWK524335 BGG524293:BGG524335 BQC524293:BQC524335 BZY524293:BZY524335 CJU524293:CJU524335 CTQ524293:CTQ524335 DDM524293:DDM524335 DNI524293:DNI524335 DXE524293:DXE524335 EHA524293:EHA524335 EQW524293:EQW524335 FAS524293:FAS524335 FKO524293:FKO524335 FUK524293:FUK524335 GEG524293:GEG524335 GOC524293:GOC524335 GXY524293:GXY524335 HHU524293:HHU524335 HRQ524293:HRQ524335 IBM524293:IBM524335 ILI524293:ILI524335 IVE524293:IVE524335 JFA524293:JFA524335 JOW524293:JOW524335 JYS524293:JYS524335 KIO524293:KIO524335 KSK524293:KSK524335 LCG524293:LCG524335 LMC524293:LMC524335 LVY524293:LVY524335 MFU524293:MFU524335 MPQ524293:MPQ524335 MZM524293:MZM524335 NJI524293:NJI524335 NTE524293:NTE524335 ODA524293:ODA524335 OMW524293:OMW524335 OWS524293:OWS524335 PGO524293:PGO524335 PQK524293:PQK524335 QAG524293:QAG524335 QKC524293:QKC524335 QTY524293:QTY524335 RDU524293:RDU524335 RNQ524293:RNQ524335 RXM524293:RXM524335 SHI524293:SHI524335 SRE524293:SRE524335 TBA524293:TBA524335 TKW524293:TKW524335 TUS524293:TUS524335 UEO524293:UEO524335 UOK524293:UOK524335 UYG524293:UYG524335 VIC524293:VIC524335 VRY524293:VRY524335 WBU524293:WBU524335 WLQ524293:WLQ524335 WVM524293:WVM524335 G589829:G589871 JA589829:JA589871 SW589829:SW589871 ACS589829:ACS589871 AMO589829:AMO589871 AWK589829:AWK589871 BGG589829:BGG589871 BQC589829:BQC589871 BZY589829:BZY589871 CJU589829:CJU589871 CTQ589829:CTQ589871 DDM589829:DDM589871 DNI589829:DNI589871 DXE589829:DXE589871 EHA589829:EHA589871 EQW589829:EQW589871 FAS589829:FAS589871 FKO589829:FKO589871 FUK589829:FUK589871 GEG589829:GEG589871 GOC589829:GOC589871 GXY589829:GXY589871 HHU589829:HHU589871 HRQ589829:HRQ589871 IBM589829:IBM589871 ILI589829:ILI589871 IVE589829:IVE589871 JFA589829:JFA589871 JOW589829:JOW589871 JYS589829:JYS589871 KIO589829:KIO589871 KSK589829:KSK589871 LCG589829:LCG589871 LMC589829:LMC589871 LVY589829:LVY589871 MFU589829:MFU589871 MPQ589829:MPQ589871 MZM589829:MZM589871 NJI589829:NJI589871 NTE589829:NTE589871 ODA589829:ODA589871 OMW589829:OMW589871 OWS589829:OWS589871 PGO589829:PGO589871 PQK589829:PQK589871 QAG589829:QAG589871 QKC589829:QKC589871 QTY589829:QTY589871 RDU589829:RDU589871 RNQ589829:RNQ589871 RXM589829:RXM589871 SHI589829:SHI589871 SRE589829:SRE589871 TBA589829:TBA589871 TKW589829:TKW589871 TUS589829:TUS589871 UEO589829:UEO589871 UOK589829:UOK589871 UYG589829:UYG589871 VIC589829:VIC589871 VRY589829:VRY589871 WBU589829:WBU589871 WLQ589829:WLQ589871 WVM589829:WVM589871 G655365:G655407 JA655365:JA655407 SW655365:SW655407 ACS655365:ACS655407 AMO655365:AMO655407 AWK655365:AWK655407 BGG655365:BGG655407 BQC655365:BQC655407 BZY655365:BZY655407 CJU655365:CJU655407 CTQ655365:CTQ655407 DDM655365:DDM655407 DNI655365:DNI655407 DXE655365:DXE655407 EHA655365:EHA655407 EQW655365:EQW655407 FAS655365:FAS655407 FKO655365:FKO655407 FUK655365:FUK655407 GEG655365:GEG655407 GOC655365:GOC655407 GXY655365:GXY655407 HHU655365:HHU655407 HRQ655365:HRQ655407 IBM655365:IBM655407 ILI655365:ILI655407 IVE655365:IVE655407 JFA655365:JFA655407 JOW655365:JOW655407 JYS655365:JYS655407 KIO655365:KIO655407 KSK655365:KSK655407 LCG655365:LCG655407 LMC655365:LMC655407 LVY655365:LVY655407 MFU655365:MFU655407 MPQ655365:MPQ655407 MZM655365:MZM655407 NJI655365:NJI655407 NTE655365:NTE655407 ODA655365:ODA655407 OMW655365:OMW655407 OWS655365:OWS655407 PGO655365:PGO655407 PQK655365:PQK655407 QAG655365:QAG655407 QKC655365:QKC655407 QTY655365:QTY655407 RDU655365:RDU655407 RNQ655365:RNQ655407 RXM655365:RXM655407 SHI655365:SHI655407 SRE655365:SRE655407 TBA655365:TBA655407 TKW655365:TKW655407 TUS655365:TUS655407 UEO655365:UEO655407 UOK655365:UOK655407 UYG655365:UYG655407 VIC655365:VIC655407 VRY655365:VRY655407 WBU655365:WBU655407 WLQ655365:WLQ655407 WVM655365:WVM655407 G720901:G720943 JA720901:JA720943 SW720901:SW720943 ACS720901:ACS720943 AMO720901:AMO720943 AWK720901:AWK720943 BGG720901:BGG720943 BQC720901:BQC720943 BZY720901:BZY720943 CJU720901:CJU720943 CTQ720901:CTQ720943 DDM720901:DDM720943 DNI720901:DNI720943 DXE720901:DXE720943 EHA720901:EHA720943 EQW720901:EQW720943 FAS720901:FAS720943 FKO720901:FKO720943 FUK720901:FUK720943 GEG720901:GEG720943 GOC720901:GOC720943 GXY720901:GXY720943 HHU720901:HHU720943 HRQ720901:HRQ720943 IBM720901:IBM720943 ILI720901:ILI720943 IVE720901:IVE720943 JFA720901:JFA720943 JOW720901:JOW720943 JYS720901:JYS720943 KIO720901:KIO720943 KSK720901:KSK720943 LCG720901:LCG720943 LMC720901:LMC720943 LVY720901:LVY720943 MFU720901:MFU720943 MPQ720901:MPQ720943 MZM720901:MZM720943 NJI720901:NJI720943 NTE720901:NTE720943 ODA720901:ODA720943 OMW720901:OMW720943 OWS720901:OWS720943 PGO720901:PGO720943 PQK720901:PQK720943 QAG720901:QAG720943 QKC720901:QKC720943 QTY720901:QTY720943 RDU720901:RDU720943 RNQ720901:RNQ720943 RXM720901:RXM720943 SHI720901:SHI720943 SRE720901:SRE720943 TBA720901:TBA720943 TKW720901:TKW720943 TUS720901:TUS720943 UEO720901:UEO720943 UOK720901:UOK720943 UYG720901:UYG720943 VIC720901:VIC720943 VRY720901:VRY720943 WBU720901:WBU720943 WLQ720901:WLQ720943 WVM720901:WVM720943 G786437:G786479 JA786437:JA786479 SW786437:SW786479 ACS786437:ACS786479 AMO786437:AMO786479 AWK786437:AWK786479 BGG786437:BGG786479 BQC786437:BQC786479 BZY786437:BZY786479 CJU786437:CJU786479 CTQ786437:CTQ786479 DDM786437:DDM786479 DNI786437:DNI786479 DXE786437:DXE786479 EHA786437:EHA786479 EQW786437:EQW786479 FAS786437:FAS786479 FKO786437:FKO786479 FUK786437:FUK786479 GEG786437:GEG786479 GOC786437:GOC786479 GXY786437:GXY786479 HHU786437:HHU786479 HRQ786437:HRQ786479 IBM786437:IBM786479 ILI786437:ILI786479 IVE786437:IVE786479 JFA786437:JFA786479 JOW786437:JOW786479 JYS786437:JYS786479 KIO786437:KIO786479 KSK786437:KSK786479 LCG786437:LCG786479 LMC786437:LMC786479 LVY786437:LVY786479 MFU786437:MFU786479 MPQ786437:MPQ786479 MZM786437:MZM786479 NJI786437:NJI786479 NTE786437:NTE786479 ODA786437:ODA786479 OMW786437:OMW786479 OWS786437:OWS786479 PGO786437:PGO786479 PQK786437:PQK786479 QAG786437:QAG786479 QKC786437:QKC786479 QTY786437:QTY786479 RDU786437:RDU786479 RNQ786437:RNQ786479 RXM786437:RXM786479 SHI786437:SHI786479 SRE786437:SRE786479 TBA786437:TBA786479 TKW786437:TKW786479 TUS786437:TUS786479 UEO786437:UEO786479 UOK786437:UOK786479 UYG786437:UYG786479 VIC786437:VIC786479 VRY786437:VRY786479 WBU786437:WBU786479 WLQ786437:WLQ786479 WVM786437:WVM786479 G851973:G852015 JA851973:JA852015 SW851973:SW852015 ACS851973:ACS852015 AMO851973:AMO852015 AWK851973:AWK852015 BGG851973:BGG852015 BQC851973:BQC852015 BZY851973:BZY852015 CJU851973:CJU852015 CTQ851973:CTQ852015 DDM851973:DDM852015 DNI851973:DNI852015 DXE851973:DXE852015 EHA851973:EHA852015 EQW851973:EQW852015 FAS851973:FAS852015 FKO851973:FKO852015 FUK851973:FUK852015 GEG851973:GEG852015 GOC851973:GOC852015 GXY851973:GXY852015 HHU851973:HHU852015 HRQ851973:HRQ852015 IBM851973:IBM852015 ILI851973:ILI852015 IVE851973:IVE852015 JFA851973:JFA852015 JOW851973:JOW852015 JYS851973:JYS852015 KIO851973:KIO852015 KSK851973:KSK852015 LCG851973:LCG852015 LMC851973:LMC852015 LVY851973:LVY852015 MFU851973:MFU852015 MPQ851973:MPQ852015 MZM851973:MZM852015 NJI851973:NJI852015 NTE851973:NTE852015 ODA851973:ODA852015 OMW851973:OMW852015 OWS851973:OWS852015 PGO851973:PGO852015 PQK851973:PQK852015 QAG851973:QAG852015 QKC851973:QKC852015 QTY851973:QTY852015 RDU851973:RDU852015 RNQ851973:RNQ852015 RXM851973:RXM852015 SHI851973:SHI852015 SRE851973:SRE852015 TBA851973:TBA852015 TKW851973:TKW852015 TUS851973:TUS852015 UEO851973:UEO852015 UOK851973:UOK852015 UYG851973:UYG852015 VIC851973:VIC852015 VRY851973:VRY852015 WBU851973:WBU852015 WLQ851973:WLQ852015 WVM851973:WVM852015 G917509:G917551 JA917509:JA917551 SW917509:SW917551 ACS917509:ACS917551 AMO917509:AMO917551 AWK917509:AWK917551 BGG917509:BGG917551 BQC917509:BQC917551 BZY917509:BZY917551 CJU917509:CJU917551 CTQ917509:CTQ917551 DDM917509:DDM917551 DNI917509:DNI917551 DXE917509:DXE917551 EHA917509:EHA917551 EQW917509:EQW917551 FAS917509:FAS917551 FKO917509:FKO917551 FUK917509:FUK917551 GEG917509:GEG917551 GOC917509:GOC917551 GXY917509:GXY917551 HHU917509:HHU917551 HRQ917509:HRQ917551 IBM917509:IBM917551 ILI917509:ILI917551 IVE917509:IVE917551 JFA917509:JFA917551 JOW917509:JOW917551 JYS917509:JYS917551 KIO917509:KIO917551 KSK917509:KSK917551 LCG917509:LCG917551 LMC917509:LMC917551 LVY917509:LVY917551 MFU917509:MFU917551 MPQ917509:MPQ917551 MZM917509:MZM917551 NJI917509:NJI917551 NTE917509:NTE917551 ODA917509:ODA917551 OMW917509:OMW917551 OWS917509:OWS917551 PGO917509:PGO917551 PQK917509:PQK917551 QAG917509:QAG917551 QKC917509:QKC917551 QTY917509:QTY917551 RDU917509:RDU917551 RNQ917509:RNQ917551 RXM917509:RXM917551 SHI917509:SHI917551 SRE917509:SRE917551 TBA917509:TBA917551 TKW917509:TKW917551 TUS917509:TUS917551 UEO917509:UEO917551 UOK917509:UOK917551 UYG917509:UYG917551 VIC917509:VIC917551 VRY917509:VRY917551 WBU917509:WBU917551 WLQ917509:WLQ917551 WVM917509:WVM917551 G983045:G983087 JA983045:JA983087 SW983045:SW983087 ACS983045:ACS983087 AMO983045:AMO983087 AWK983045:AWK983087 BGG983045:BGG983087 BQC983045:BQC983087 BZY983045:BZY983087 CJU983045:CJU983087 CTQ983045:CTQ983087 DDM983045:DDM983087 DNI983045:DNI983087 DXE983045:DXE983087 EHA983045:EHA983087 EQW983045:EQW983087 FAS983045:FAS983087 FKO983045:FKO983087 FUK983045:FUK983087 GEG983045:GEG983087 GOC983045:GOC983087 GXY983045:GXY983087 HHU983045:HHU983087 HRQ983045:HRQ983087 IBM983045:IBM983087 ILI983045:ILI983087 IVE983045:IVE983087 JFA983045:JFA983087 JOW983045:JOW983087 JYS983045:JYS983087 KIO983045:KIO983087 KSK983045:KSK983087 LCG983045:LCG983087 LMC983045:LMC983087 LVY983045:LVY983087 MFU983045:MFU983087 MPQ983045:MPQ983087 MZM983045:MZM983087 NJI983045:NJI983087 NTE983045:NTE983087 ODA983045:ODA983087 OMW983045:OMW983087 OWS983045:OWS983087 PGO983045:PGO983087 PQK983045:PQK983087 QAG983045:QAG983087 QKC983045:QKC983087 QTY983045:QTY983087 RDU983045:RDU983087 RNQ983045:RNQ983087 RXM983045:RXM983087 SHI983045:SHI983087 SRE983045:SRE983087 TBA983045:TBA983087 TKW983045:TKW983087 TUS983045:TUS983087 UEO983045:UEO983087 UOK983045:UOK983087 UYG983045:UYG983087 VIC983045:VIC983087 VRY983045:VRY983087 WBU983045:WBU983087 WLQ983045:WLQ983087"/>
    <dataValidation allowBlank="1" showInputMessage="1" showErrorMessage="1" promptTitle="Leitung" prompt="Hier bitte den Namen der Leitung eingeben." sqref="A5:B5"/>
    <dataValidation type="decimal" allowBlank="1" showInputMessage="1" showErrorMessage="1" promptTitle="Wert von 0 bis 1" prompt="Unterrichtet eine Lehrperson zB mit 60% klassenführend ist hier 0,6 einzugeben._x000a__x000a_Hier ist nicht zwangsweise der Klassenvorstand gefragt, sondern welche Lehrpersonen klassenführend unterrichten." sqref="E5:E84">
      <formula1>0</formula1>
      <formula2>2</formula2>
    </dataValidation>
    <dataValidation allowBlank="1" showInputMessage="1" showErrorMessage="1" promptTitle="Berechnung" prompt="Stundenkontigent für Unterricht + GTS + Extra-Antrag" sqref="G87"/>
    <dataValidation type="decimal" allowBlank="1" showInputMessage="1" showErrorMessage="1" promptTitle="Stütz- und BegleitlehrerInnen" prompt="Die Lehrperson muss über einen entsprechenden Dienstvertrag als &quot;Stütz- und BegleitlehrerIn&quot; verfügen." sqref="L5:L84">
      <formula1>0</formula1>
      <formula2>40</formula2>
    </dataValidation>
    <dataValidation type="decimal" allowBlank="1" showInputMessage="1" showErrorMessage="1" errorTitle="Keine Eingabe" promptTitle="Summebildung" prompt="Die Anzahl der Unterrichtstunden in den entsprechenden Fächern in den Spalte G bis O eintragen." sqref="Q5:Q84">
      <formula1>0</formula1>
      <formula2>40</formula2>
    </dataValidation>
    <dataValidation allowBlank="1" showInputMessage="1" showErrorMessage="1" promptTitle="Anzahl Klassen" prompt="Hier wird die Anzahl der eingerichteten Klassen übernommen" sqref="E87"/>
    <dataValidation type="decimal" allowBlank="1" showInputMessage="1" showErrorMessage="1" promptTitle="Stunden" prompt="Hier ist die Summe aller Stunden (Unterricht, GTS, unverbindl. Übungen...) einzugeben_x000a__x000a_außer:_x000a_Religion, Erstsprache, Sprachheil, spez. Lernfö, Werken, Assistenz, Einrechnungen und Stunden an anderen Schulen." sqref="G5:G84">
      <formula1>0</formula1>
      <formula2>40</formula2>
    </dataValidation>
    <dataValidation type="decimal" allowBlank="1" showInputMessage="1" showErrorMessage="1" errorTitle="Stunden eingeben" error="Bitte die Anzahl der Stunden eigeben, mit welcher die Lehrperson voraussichtlich am neuen Standort eingesetzt wird." sqref="D5:D84">
      <formula1>0</formula1>
      <formula2>40</formula2>
    </dataValidation>
  </dataValidations>
  <printOptions horizontalCentered="1" gridLinesSet="0"/>
  <pageMargins left="0.39370078740157483" right="0.27559055118110237" top="0.47244094488188981" bottom="0.47244094488188981" header="0.31496062992125984" footer="0.35433070866141736"/>
  <pageSetup paperSize="9" scale="58"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7030A0"/>
    <pageSetUpPr fitToPage="1"/>
  </sheetPr>
  <dimension ref="A1:AD249"/>
  <sheetViews>
    <sheetView showGridLines="0" showZeros="0" zoomScaleNormal="100" zoomScaleSheetLayoutView="115" workbookViewId="0">
      <pane ySplit="3" topLeftCell="A4" activePane="bottomLeft" state="frozen"/>
      <selection activeCell="E53" sqref="E53"/>
      <selection pane="bottomLeft" activeCell="A5" sqref="A5"/>
    </sheetView>
  </sheetViews>
  <sheetFormatPr baseColWidth="10" defaultColWidth="12.85546875" defaultRowHeight="0" customHeight="1" zeroHeight="1" x14ac:dyDescent="0.25"/>
  <cols>
    <col min="1" max="1" width="25.42578125" style="593" customWidth="1"/>
    <col min="2" max="2" width="17.140625" style="593" customWidth="1"/>
    <col min="3" max="3" width="9.140625" style="593" customWidth="1"/>
    <col min="4" max="4" width="9.140625" style="703" customWidth="1"/>
    <col min="5" max="5" width="1.7109375" style="594" customWidth="1"/>
    <col min="6" max="6" width="9.28515625" style="593" customWidth="1"/>
    <col min="7" max="7" width="9.140625" style="703" customWidth="1"/>
    <col min="8" max="10" width="10.140625" style="593" customWidth="1"/>
    <col min="11" max="12" width="10.140625" style="647" customWidth="1"/>
    <col min="13" max="13" width="10.140625" style="648" customWidth="1"/>
    <col min="14" max="15" width="10.140625" style="593" customWidth="1"/>
    <col min="16" max="16" width="11.7109375" style="593" customWidth="1"/>
    <col min="18" max="18" width="15.28515625" style="593" bestFit="1" customWidth="1"/>
    <col min="19" max="20" width="11.7109375" style="593" customWidth="1"/>
    <col min="22" max="236" width="11.7109375" style="593" customWidth="1"/>
    <col min="237" max="246" width="12.85546875" style="593"/>
    <col min="247" max="247" width="25.42578125" style="593" customWidth="1"/>
    <col min="248" max="248" width="17.140625" style="593" customWidth="1"/>
    <col min="249" max="251" width="9.140625" style="593" customWidth="1"/>
    <col min="252" max="252" width="1.7109375" style="593" customWidth="1"/>
    <col min="253" max="254" width="9.140625" style="593" customWidth="1"/>
    <col min="255" max="255" width="1.140625" style="593" customWidth="1"/>
    <col min="256" max="259" width="9.140625" style="593" customWidth="1"/>
    <col min="260" max="260" width="1.140625" style="593" customWidth="1"/>
    <col min="261" max="262" width="9.140625" style="593" customWidth="1"/>
    <col min="263" max="263" width="2" style="593" customWidth="1"/>
    <col min="264" max="264" width="7.5703125" style="593" customWidth="1"/>
    <col min="265" max="492" width="11.7109375" style="593" customWidth="1"/>
    <col min="493" max="502" width="12.85546875" style="593"/>
    <col min="503" max="503" width="25.42578125" style="593" customWidth="1"/>
    <col min="504" max="504" width="17.140625" style="593" customWidth="1"/>
    <col min="505" max="507" width="9.140625" style="593" customWidth="1"/>
    <col min="508" max="508" width="1.7109375" style="593" customWidth="1"/>
    <col min="509" max="510" width="9.140625" style="593" customWidth="1"/>
    <col min="511" max="511" width="1.140625" style="593" customWidth="1"/>
    <col min="512" max="515" width="9.140625" style="593" customWidth="1"/>
    <col min="516" max="516" width="1.140625" style="593" customWidth="1"/>
    <col min="517" max="518" width="9.140625" style="593" customWidth="1"/>
    <col min="519" max="519" width="2" style="593" customWidth="1"/>
    <col min="520" max="520" width="7.5703125" style="593" customWidth="1"/>
    <col min="521" max="748" width="11.7109375" style="593" customWidth="1"/>
    <col min="749" max="758" width="12.85546875" style="593"/>
    <col min="759" max="759" width="25.42578125" style="593" customWidth="1"/>
    <col min="760" max="760" width="17.140625" style="593" customWidth="1"/>
    <col min="761" max="763" width="9.140625" style="593" customWidth="1"/>
    <col min="764" max="764" width="1.7109375" style="593" customWidth="1"/>
    <col min="765" max="766" width="9.140625" style="593" customWidth="1"/>
    <col min="767" max="767" width="1.140625" style="593" customWidth="1"/>
    <col min="768" max="771" width="9.140625" style="593" customWidth="1"/>
    <col min="772" max="772" width="1.140625" style="593" customWidth="1"/>
    <col min="773" max="774" width="9.140625" style="593" customWidth="1"/>
    <col min="775" max="775" width="2" style="593" customWidth="1"/>
    <col min="776" max="776" width="7.5703125" style="593" customWidth="1"/>
    <col min="777" max="1004" width="11.7109375" style="593" customWidth="1"/>
    <col min="1005" max="1014" width="12.85546875" style="593"/>
    <col min="1015" max="1015" width="25.42578125" style="593" customWidth="1"/>
    <col min="1016" max="1016" width="17.140625" style="593" customWidth="1"/>
    <col min="1017" max="1019" width="9.140625" style="593" customWidth="1"/>
    <col min="1020" max="1020" width="1.7109375" style="593" customWidth="1"/>
    <col min="1021" max="1022" width="9.140625" style="593" customWidth="1"/>
    <col min="1023" max="1023" width="1.140625" style="593" customWidth="1"/>
    <col min="1024" max="1027" width="9.140625" style="593" customWidth="1"/>
    <col min="1028" max="1028" width="1.140625" style="593" customWidth="1"/>
    <col min="1029" max="1030" width="9.140625" style="593" customWidth="1"/>
    <col min="1031" max="1031" width="2" style="593" customWidth="1"/>
    <col min="1032" max="1032" width="7.5703125" style="593" customWidth="1"/>
    <col min="1033" max="1260" width="11.7109375" style="593" customWidth="1"/>
    <col min="1261" max="1270" width="12.85546875" style="593"/>
    <col min="1271" max="1271" width="25.42578125" style="593" customWidth="1"/>
    <col min="1272" max="1272" width="17.140625" style="593" customWidth="1"/>
    <col min="1273" max="1275" width="9.140625" style="593" customWidth="1"/>
    <col min="1276" max="1276" width="1.7109375" style="593" customWidth="1"/>
    <col min="1277" max="1278" width="9.140625" style="593" customWidth="1"/>
    <col min="1279" max="1279" width="1.140625" style="593" customWidth="1"/>
    <col min="1280" max="1283" width="9.140625" style="593" customWidth="1"/>
    <col min="1284" max="1284" width="1.140625" style="593" customWidth="1"/>
    <col min="1285" max="1286" width="9.140625" style="593" customWidth="1"/>
    <col min="1287" max="1287" width="2" style="593" customWidth="1"/>
    <col min="1288" max="1288" width="7.5703125" style="593" customWidth="1"/>
    <col min="1289" max="1516" width="11.7109375" style="593" customWidth="1"/>
    <col min="1517" max="1526" width="12.85546875" style="593"/>
    <col min="1527" max="1527" width="25.42578125" style="593" customWidth="1"/>
    <col min="1528" max="1528" width="17.140625" style="593" customWidth="1"/>
    <col min="1529" max="1531" width="9.140625" style="593" customWidth="1"/>
    <col min="1532" max="1532" width="1.7109375" style="593" customWidth="1"/>
    <col min="1533" max="1534" width="9.140625" style="593" customWidth="1"/>
    <col min="1535" max="1535" width="1.140625" style="593" customWidth="1"/>
    <col min="1536" max="1539" width="9.140625" style="593" customWidth="1"/>
    <col min="1540" max="1540" width="1.140625" style="593" customWidth="1"/>
    <col min="1541" max="1542" width="9.140625" style="593" customWidth="1"/>
    <col min="1543" max="1543" width="2" style="593" customWidth="1"/>
    <col min="1544" max="1544" width="7.5703125" style="593" customWidth="1"/>
    <col min="1545" max="1772" width="11.7109375" style="593" customWidth="1"/>
    <col min="1773" max="1782" width="12.85546875" style="593"/>
    <col min="1783" max="1783" width="25.42578125" style="593" customWidth="1"/>
    <col min="1784" max="1784" width="17.140625" style="593" customWidth="1"/>
    <col min="1785" max="1787" width="9.140625" style="593" customWidth="1"/>
    <col min="1788" max="1788" width="1.7109375" style="593" customWidth="1"/>
    <col min="1789" max="1790" width="9.140625" style="593" customWidth="1"/>
    <col min="1791" max="1791" width="1.140625" style="593" customWidth="1"/>
    <col min="1792" max="1795" width="9.140625" style="593" customWidth="1"/>
    <col min="1796" max="1796" width="1.140625" style="593" customWidth="1"/>
    <col min="1797" max="1798" width="9.140625" style="593" customWidth="1"/>
    <col min="1799" max="1799" width="2" style="593" customWidth="1"/>
    <col min="1800" max="1800" width="7.5703125" style="593" customWidth="1"/>
    <col min="1801" max="2028" width="11.7109375" style="593" customWidth="1"/>
    <col min="2029" max="2038" width="12.85546875" style="593"/>
    <col min="2039" max="2039" width="25.42578125" style="593" customWidth="1"/>
    <col min="2040" max="2040" width="17.140625" style="593" customWidth="1"/>
    <col min="2041" max="2043" width="9.140625" style="593" customWidth="1"/>
    <col min="2044" max="2044" width="1.7109375" style="593" customWidth="1"/>
    <col min="2045" max="2046" width="9.140625" style="593" customWidth="1"/>
    <col min="2047" max="2047" width="1.140625" style="593" customWidth="1"/>
    <col min="2048" max="2051" width="9.140625" style="593" customWidth="1"/>
    <col min="2052" max="2052" width="1.140625" style="593" customWidth="1"/>
    <col min="2053" max="2054" width="9.140625" style="593" customWidth="1"/>
    <col min="2055" max="2055" width="2" style="593" customWidth="1"/>
    <col min="2056" max="2056" width="7.5703125" style="593" customWidth="1"/>
    <col min="2057" max="2284" width="11.7109375" style="593" customWidth="1"/>
    <col min="2285" max="2294" width="12.85546875" style="593"/>
    <col min="2295" max="2295" width="25.42578125" style="593" customWidth="1"/>
    <col min="2296" max="2296" width="17.140625" style="593" customWidth="1"/>
    <col min="2297" max="2299" width="9.140625" style="593" customWidth="1"/>
    <col min="2300" max="2300" width="1.7109375" style="593" customWidth="1"/>
    <col min="2301" max="2302" width="9.140625" style="593" customWidth="1"/>
    <col min="2303" max="2303" width="1.140625" style="593" customWidth="1"/>
    <col min="2304" max="2307" width="9.140625" style="593" customWidth="1"/>
    <col min="2308" max="2308" width="1.140625" style="593" customWidth="1"/>
    <col min="2309" max="2310" width="9.140625" style="593" customWidth="1"/>
    <col min="2311" max="2311" width="2" style="593" customWidth="1"/>
    <col min="2312" max="2312" width="7.5703125" style="593" customWidth="1"/>
    <col min="2313" max="2540" width="11.7109375" style="593" customWidth="1"/>
    <col min="2541" max="2550" width="12.85546875" style="593"/>
    <col min="2551" max="2551" width="25.42578125" style="593" customWidth="1"/>
    <col min="2552" max="2552" width="17.140625" style="593" customWidth="1"/>
    <col min="2553" max="2555" width="9.140625" style="593" customWidth="1"/>
    <col min="2556" max="2556" width="1.7109375" style="593" customWidth="1"/>
    <col min="2557" max="2558" width="9.140625" style="593" customWidth="1"/>
    <col min="2559" max="2559" width="1.140625" style="593" customWidth="1"/>
    <col min="2560" max="2563" width="9.140625" style="593" customWidth="1"/>
    <col min="2564" max="2564" width="1.140625" style="593" customWidth="1"/>
    <col min="2565" max="2566" width="9.140625" style="593" customWidth="1"/>
    <col min="2567" max="2567" width="2" style="593" customWidth="1"/>
    <col min="2568" max="2568" width="7.5703125" style="593" customWidth="1"/>
    <col min="2569" max="2796" width="11.7109375" style="593" customWidth="1"/>
    <col min="2797" max="2806" width="12.85546875" style="593"/>
    <col min="2807" max="2807" width="25.42578125" style="593" customWidth="1"/>
    <col min="2808" max="2808" width="17.140625" style="593" customWidth="1"/>
    <col min="2809" max="2811" width="9.140625" style="593" customWidth="1"/>
    <col min="2812" max="2812" width="1.7109375" style="593" customWidth="1"/>
    <col min="2813" max="2814" width="9.140625" style="593" customWidth="1"/>
    <col min="2815" max="2815" width="1.140625" style="593" customWidth="1"/>
    <col min="2816" max="2819" width="9.140625" style="593" customWidth="1"/>
    <col min="2820" max="2820" width="1.140625" style="593" customWidth="1"/>
    <col min="2821" max="2822" width="9.140625" style="593" customWidth="1"/>
    <col min="2823" max="2823" width="2" style="593" customWidth="1"/>
    <col min="2824" max="2824" width="7.5703125" style="593" customWidth="1"/>
    <col min="2825" max="3052" width="11.7109375" style="593" customWidth="1"/>
    <col min="3053" max="3062" width="12.85546875" style="593"/>
    <col min="3063" max="3063" width="25.42578125" style="593" customWidth="1"/>
    <col min="3064" max="3064" width="17.140625" style="593" customWidth="1"/>
    <col min="3065" max="3067" width="9.140625" style="593" customWidth="1"/>
    <col min="3068" max="3068" width="1.7109375" style="593" customWidth="1"/>
    <col min="3069" max="3070" width="9.140625" style="593" customWidth="1"/>
    <col min="3071" max="3071" width="1.140625" style="593" customWidth="1"/>
    <col min="3072" max="3075" width="9.140625" style="593" customWidth="1"/>
    <col min="3076" max="3076" width="1.140625" style="593" customWidth="1"/>
    <col min="3077" max="3078" width="9.140625" style="593" customWidth="1"/>
    <col min="3079" max="3079" width="2" style="593" customWidth="1"/>
    <col min="3080" max="3080" width="7.5703125" style="593" customWidth="1"/>
    <col min="3081" max="3308" width="11.7109375" style="593" customWidth="1"/>
    <col min="3309" max="3318" width="12.85546875" style="593"/>
    <col min="3319" max="3319" width="25.42578125" style="593" customWidth="1"/>
    <col min="3320" max="3320" width="17.140625" style="593" customWidth="1"/>
    <col min="3321" max="3323" width="9.140625" style="593" customWidth="1"/>
    <col min="3324" max="3324" width="1.7109375" style="593" customWidth="1"/>
    <col min="3325" max="3326" width="9.140625" style="593" customWidth="1"/>
    <col min="3327" max="3327" width="1.140625" style="593" customWidth="1"/>
    <col min="3328" max="3331" width="9.140625" style="593" customWidth="1"/>
    <col min="3332" max="3332" width="1.140625" style="593" customWidth="1"/>
    <col min="3333" max="3334" width="9.140625" style="593" customWidth="1"/>
    <col min="3335" max="3335" width="2" style="593" customWidth="1"/>
    <col min="3336" max="3336" width="7.5703125" style="593" customWidth="1"/>
    <col min="3337" max="3564" width="11.7109375" style="593" customWidth="1"/>
    <col min="3565" max="3574" width="12.85546875" style="593"/>
    <col min="3575" max="3575" width="25.42578125" style="593" customWidth="1"/>
    <col min="3576" max="3576" width="17.140625" style="593" customWidth="1"/>
    <col min="3577" max="3579" width="9.140625" style="593" customWidth="1"/>
    <col min="3580" max="3580" width="1.7109375" style="593" customWidth="1"/>
    <col min="3581" max="3582" width="9.140625" style="593" customWidth="1"/>
    <col min="3583" max="3583" width="1.140625" style="593" customWidth="1"/>
    <col min="3584" max="3587" width="9.140625" style="593" customWidth="1"/>
    <col min="3588" max="3588" width="1.140625" style="593" customWidth="1"/>
    <col min="3589" max="3590" width="9.140625" style="593" customWidth="1"/>
    <col min="3591" max="3591" width="2" style="593" customWidth="1"/>
    <col min="3592" max="3592" width="7.5703125" style="593" customWidth="1"/>
    <col min="3593" max="3820" width="11.7109375" style="593" customWidth="1"/>
    <col min="3821" max="3830" width="12.85546875" style="593"/>
    <col min="3831" max="3831" width="25.42578125" style="593" customWidth="1"/>
    <col min="3832" max="3832" width="17.140625" style="593" customWidth="1"/>
    <col min="3833" max="3835" width="9.140625" style="593" customWidth="1"/>
    <col min="3836" max="3836" width="1.7109375" style="593" customWidth="1"/>
    <col min="3837" max="3838" width="9.140625" style="593" customWidth="1"/>
    <col min="3839" max="3839" width="1.140625" style="593" customWidth="1"/>
    <col min="3840" max="3843" width="9.140625" style="593" customWidth="1"/>
    <col min="3844" max="3844" width="1.140625" style="593" customWidth="1"/>
    <col min="3845" max="3846" width="9.140625" style="593" customWidth="1"/>
    <col min="3847" max="3847" width="2" style="593" customWidth="1"/>
    <col min="3848" max="3848" width="7.5703125" style="593" customWidth="1"/>
    <col min="3849" max="4076" width="11.7109375" style="593" customWidth="1"/>
    <col min="4077" max="4086" width="12.85546875" style="593"/>
    <col min="4087" max="4087" width="25.42578125" style="593" customWidth="1"/>
    <col min="4088" max="4088" width="17.140625" style="593" customWidth="1"/>
    <col min="4089" max="4091" width="9.140625" style="593" customWidth="1"/>
    <col min="4092" max="4092" width="1.7109375" style="593" customWidth="1"/>
    <col min="4093" max="4094" width="9.140625" style="593" customWidth="1"/>
    <col min="4095" max="4095" width="1.140625" style="593" customWidth="1"/>
    <col min="4096" max="4099" width="9.140625" style="593" customWidth="1"/>
    <col min="4100" max="4100" width="1.140625" style="593" customWidth="1"/>
    <col min="4101" max="4102" width="9.140625" style="593" customWidth="1"/>
    <col min="4103" max="4103" width="2" style="593" customWidth="1"/>
    <col min="4104" max="4104" width="7.5703125" style="593" customWidth="1"/>
    <col min="4105" max="4332" width="11.7109375" style="593" customWidth="1"/>
    <col min="4333" max="4342" width="12.85546875" style="593"/>
    <col min="4343" max="4343" width="25.42578125" style="593" customWidth="1"/>
    <col min="4344" max="4344" width="17.140625" style="593" customWidth="1"/>
    <col min="4345" max="4347" width="9.140625" style="593" customWidth="1"/>
    <col min="4348" max="4348" width="1.7109375" style="593" customWidth="1"/>
    <col min="4349" max="4350" width="9.140625" style="593" customWidth="1"/>
    <col min="4351" max="4351" width="1.140625" style="593" customWidth="1"/>
    <col min="4352" max="4355" width="9.140625" style="593" customWidth="1"/>
    <col min="4356" max="4356" width="1.140625" style="593" customWidth="1"/>
    <col min="4357" max="4358" width="9.140625" style="593" customWidth="1"/>
    <col min="4359" max="4359" width="2" style="593" customWidth="1"/>
    <col min="4360" max="4360" width="7.5703125" style="593" customWidth="1"/>
    <col min="4361" max="4588" width="11.7109375" style="593" customWidth="1"/>
    <col min="4589" max="4598" width="12.85546875" style="593"/>
    <col min="4599" max="4599" width="25.42578125" style="593" customWidth="1"/>
    <col min="4600" max="4600" width="17.140625" style="593" customWidth="1"/>
    <col min="4601" max="4603" width="9.140625" style="593" customWidth="1"/>
    <col min="4604" max="4604" width="1.7109375" style="593" customWidth="1"/>
    <col min="4605" max="4606" width="9.140625" style="593" customWidth="1"/>
    <col min="4607" max="4607" width="1.140625" style="593" customWidth="1"/>
    <col min="4608" max="4611" width="9.140625" style="593" customWidth="1"/>
    <col min="4612" max="4612" width="1.140625" style="593" customWidth="1"/>
    <col min="4613" max="4614" width="9.140625" style="593" customWidth="1"/>
    <col min="4615" max="4615" width="2" style="593" customWidth="1"/>
    <col min="4616" max="4616" width="7.5703125" style="593" customWidth="1"/>
    <col min="4617" max="4844" width="11.7109375" style="593" customWidth="1"/>
    <col min="4845" max="4854" width="12.85546875" style="593"/>
    <col min="4855" max="4855" width="25.42578125" style="593" customWidth="1"/>
    <col min="4856" max="4856" width="17.140625" style="593" customWidth="1"/>
    <col min="4857" max="4859" width="9.140625" style="593" customWidth="1"/>
    <col min="4860" max="4860" width="1.7109375" style="593" customWidth="1"/>
    <col min="4861" max="4862" width="9.140625" style="593" customWidth="1"/>
    <col min="4863" max="4863" width="1.140625" style="593" customWidth="1"/>
    <col min="4864" max="4867" width="9.140625" style="593" customWidth="1"/>
    <col min="4868" max="4868" width="1.140625" style="593" customWidth="1"/>
    <col min="4869" max="4870" width="9.140625" style="593" customWidth="1"/>
    <col min="4871" max="4871" width="2" style="593" customWidth="1"/>
    <col min="4872" max="4872" width="7.5703125" style="593" customWidth="1"/>
    <col min="4873" max="5100" width="11.7109375" style="593" customWidth="1"/>
    <col min="5101" max="5110" width="12.85546875" style="593"/>
    <col min="5111" max="5111" width="25.42578125" style="593" customWidth="1"/>
    <col min="5112" max="5112" width="17.140625" style="593" customWidth="1"/>
    <col min="5113" max="5115" width="9.140625" style="593" customWidth="1"/>
    <col min="5116" max="5116" width="1.7109375" style="593" customWidth="1"/>
    <col min="5117" max="5118" width="9.140625" style="593" customWidth="1"/>
    <col min="5119" max="5119" width="1.140625" style="593" customWidth="1"/>
    <col min="5120" max="5123" width="9.140625" style="593" customWidth="1"/>
    <col min="5124" max="5124" width="1.140625" style="593" customWidth="1"/>
    <col min="5125" max="5126" width="9.140625" style="593" customWidth="1"/>
    <col min="5127" max="5127" width="2" style="593" customWidth="1"/>
    <col min="5128" max="5128" width="7.5703125" style="593" customWidth="1"/>
    <col min="5129" max="5356" width="11.7109375" style="593" customWidth="1"/>
    <col min="5357" max="5366" width="12.85546875" style="593"/>
    <col min="5367" max="5367" width="25.42578125" style="593" customWidth="1"/>
    <col min="5368" max="5368" width="17.140625" style="593" customWidth="1"/>
    <col min="5369" max="5371" width="9.140625" style="593" customWidth="1"/>
    <col min="5372" max="5372" width="1.7109375" style="593" customWidth="1"/>
    <col min="5373" max="5374" width="9.140625" style="593" customWidth="1"/>
    <col min="5375" max="5375" width="1.140625" style="593" customWidth="1"/>
    <col min="5376" max="5379" width="9.140625" style="593" customWidth="1"/>
    <col min="5380" max="5380" width="1.140625" style="593" customWidth="1"/>
    <col min="5381" max="5382" width="9.140625" style="593" customWidth="1"/>
    <col min="5383" max="5383" width="2" style="593" customWidth="1"/>
    <col min="5384" max="5384" width="7.5703125" style="593" customWidth="1"/>
    <col min="5385" max="5612" width="11.7109375" style="593" customWidth="1"/>
    <col min="5613" max="5622" width="12.85546875" style="593"/>
    <col min="5623" max="5623" width="25.42578125" style="593" customWidth="1"/>
    <col min="5624" max="5624" width="17.140625" style="593" customWidth="1"/>
    <col min="5625" max="5627" width="9.140625" style="593" customWidth="1"/>
    <col min="5628" max="5628" width="1.7109375" style="593" customWidth="1"/>
    <col min="5629" max="5630" width="9.140625" style="593" customWidth="1"/>
    <col min="5631" max="5631" width="1.140625" style="593" customWidth="1"/>
    <col min="5632" max="5635" width="9.140625" style="593" customWidth="1"/>
    <col min="5636" max="5636" width="1.140625" style="593" customWidth="1"/>
    <col min="5637" max="5638" width="9.140625" style="593" customWidth="1"/>
    <col min="5639" max="5639" width="2" style="593" customWidth="1"/>
    <col min="5640" max="5640" width="7.5703125" style="593" customWidth="1"/>
    <col min="5641" max="5868" width="11.7109375" style="593" customWidth="1"/>
    <col min="5869" max="5878" width="12.85546875" style="593"/>
    <col min="5879" max="5879" width="25.42578125" style="593" customWidth="1"/>
    <col min="5880" max="5880" width="17.140625" style="593" customWidth="1"/>
    <col min="5881" max="5883" width="9.140625" style="593" customWidth="1"/>
    <col min="5884" max="5884" width="1.7109375" style="593" customWidth="1"/>
    <col min="5885" max="5886" width="9.140625" style="593" customWidth="1"/>
    <col min="5887" max="5887" width="1.140625" style="593" customWidth="1"/>
    <col min="5888" max="5891" width="9.140625" style="593" customWidth="1"/>
    <col min="5892" max="5892" width="1.140625" style="593" customWidth="1"/>
    <col min="5893" max="5894" width="9.140625" style="593" customWidth="1"/>
    <col min="5895" max="5895" width="2" style="593" customWidth="1"/>
    <col min="5896" max="5896" width="7.5703125" style="593" customWidth="1"/>
    <col min="5897" max="6124" width="11.7109375" style="593" customWidth="1"/>
    <col min="6125" max="6134" width="12.85546875" style="593"/>
    <col min="6135" max="6135" width="25.42578125" style="593" customWidth="1"/>
    <col min="6136" max="6136" width="17.140625" style="593" customWidth="1"/>
    <col min="6137" max="6139" width="9.140625" style="593" customWidth="1"/>
    <col min="6140" max="6140" width="1.7109375" style="593" customWidth="1"/>
    <col min="6141" max="6142" width="9.140625" style="593" customWidth="1"/>
    <col min="6143" max="6143" width="1.140625" style="593" customWidth="1"/>
    <col min="6144" max="6147" width="9.140625" style="593" customWidth="1"/>
    <col min="6148" max="6148" width="1.140625" style="593" customWidth="1"/>
    <col min="6149" max="6150" width="9.140625" style="593" customWidth="1"/>
    <col min="6151" max="6151" width="2" style="593" customWidth="1"/>
    <col min="6152" max="6152" width="7.5703125" style="593" customWidth="1"/>
    <col min="6153" max="6380" width="11.7109375" style="593" customWidth="1"/>
    <col min="6381" max="6390" width="12.85546875" style="593"/>
    <col min="6391" max="6391" width="25.42578125" style="593" customWidth="1"/>
    <col min="6392" max="6392" width="17.140625" style="593" customWidth="1"/>
    <col min="6393" max="6395" width="9.140625" style="593" customWidth="1"/>
    <col min="6396" max="6396" width="1.7109375" style="593" customWidth="1"/>
    <col min="6397" max="6398" width="9.140625" style="593" customWidth="1"/>
    <col min="6399" max="6399" width="1.140625" style="593" customWidth="1"/>
    <col min="6400" max="6403" width="9.140625" style="593" customWidth="1"/>
    <col min="6404" max="6404" width="1.140625" style="593" customWidth="1"/>
    <col min="6405" max="6406" width="9.140625" style="593" customWidth="1"/>
    <col min="6407" max="6407" width="2" style="593" customWidth="1"/>
    <col min="6408" max="6408" width="7.5703125" style="593" customWidth="1"/>
    <col min="6409" max="6636" width="11.7109375" style="593" customWidth="1"/>
    <col min="6637" max="6646" width="12.85546875" style="593"/>
    <col min="6647" max="6647" width="25.42578125" style="593" customWidth="1"/>
    <col min="6648" max="6648" width="17.140625" style="593" customWidth="1"/>
    <col min="6649" max="6651" width="9.140625" style="593" customWidth="1"/>
    <col min="6652" max="6652" width="1.7109375" style="593" customWidth="1"/>
    <col min="6653" max="6654" width="9.140625" style="593" customWidth="1"/>
    <col min="6655" max="6655" width="1.140625" style="593" customWidth="1"/>
    <col min="6656" max="6659" width="9.140625" style="593" customWidth="1"/>
    <col min="6660" max="6660" width="1.140625" style="593" customWidth="1"/>
    <col min="6661" max="6662" width="9.140625" style="593" customWidth="1"/>
    <col min="6663" max="6663" width="2" style="593" customWidth="1"/>
    <col min="6664" max="6664" width="7.5703125" style="593" customWidth="1"/>
    <col min="6665" max="6892" width="11.7109375" style="593" customWidth="1"/>
    <col min="6893" max="6902" width="12.85546875" style="593"/>
    <col min="6903" max="6903" width="25.42578125" style="593" customWidth="1"/>
    <col min="6904" max="6904" width="17.140625" style="593" customWidth="1"/>
    <col min="6905" max="6907" width="9.140625" style="593" customWidth="1"/>
    <col min="6908" max="6908" width="1.7109375" style="593" customWidth="1"/>
    <col min="6909" max="6910" width="9.140625" style="593" customWidth="1"/>
    <col min="6911" max="6911" width="1.140625" style="593" customWidth="1"/>
    <col min="6912" max="6915" width="9.140625" style="593" customWidth="1"/>
    <col min="6916" max="6916" width="1.140625" style="593" customWidth="1"/>
    <col min="6917" max="6918" width="9.140625" style="593" customWidth="1"/>
    <col min="6919" max="6919" width="2" style="593" customWidth="1"/>
    <col min="6920" max="6920" width="7.5703125" style="593" customWidth="1"/>
    <col min="6921" max="7148" width="11.7109375" style="593" customWidth="1"/>
    <col min="7149" max="7158" width="12.85546875" style="593"/>
    <col min="7159" max="7159" width="25.42578125" style="593" customWidth="1"/>
    <col min="7160" max="7160" width="17.140625" style="593" customWidth="1"/>
    <col min="7161" max="7163" width="9.140625" style="593" customWidth="1"/>
    <col min="7164" max="7164" width="1.7109375" style="593" customWidth="1"/>
    <col min="7165" max="7166" width="9.140625" style="593" customWidth="1"/>
    <col min="7167" max="7167" width="1.140625" style="593" customWidth="1"/>
    <col min="7168" max="7171" width="9.140625" style="593" customWidth="1"/>
    <col min="7172" max="7172" width="1.140625" style="593" customWidth="1"/>
    <col min="7173" max="7174" width="9.140625" style="593" customWidth="1"/>
    <col min="7175" max="7175" width="2" style="593" customWidth="1"/>
    <col min="7176" max="7176" width="7.5703125" style="593" customWidth="1"/>
    <col min="7177" max="7404" width="11.7109375" style="593" customWidth="1"/>
    <col min="7405" max="7414" width="12.85546875" style="593"/>
    <col min="7415" max="7415" width="25.42578125" style="593" customWidth="1"/>
    <col min="7416" max="7416" width="17.140625" style="593" customWidth="1"/>
    <col min="7417" max="7419" width="9.140625" style="593" customWidth="1"/>
    <col min="7420" max="7420" width="1.7109375" style="593" customWidth="1"/>
    <col min="7421" max="7422" width="9.140625" style="593" customWidth="1"/>
    <col min="7423" max="7423" width="1.140625" style="593" customWidth="1"/>
    <col min="7424" max="7427" width="9.140625" style="593" customWidth="1"/>
    <col min="7428" max="7428" width="1.140625" style="593" customWidth="1"/>
    <col min="7429" max="7430" width="9.140625" style="593" customWidth="1"/>
    <col min="7431" max="7431" width="2" style="593" customWidth="1"/>
    <col min="7432" max="7432" width="7.5703125" style="593" customWidth="1"/>
    <col min="7433" max="7660" width="11.7109375" style="593" customWidth="1"/>
    <col min="7661" max="7670" width="12.85546875" style="593"/>
    <col min="7671" max="7671" width="25.42578125" style="593" customWidth="1"/>
    <col min="7672" max="7672" width="17.140625" style="593" customWidth="1"/>
    <col min="7673" max="7675" width="9.140625" style="593" customWidth="1"/>
    <col min="7676" max="7676" width="1.7109375" style="593" customWidth="1"/>
    <col min="7677" max="7678" width="9.140625" style="593" customWidth="1"/>
    <col min="7679" max="7679" width="1.140625" style="593" customWidth="1"/>
    <col min="7680" max="7683" width="9.140625" style="593" customWidth="1"/>
    <col min="7684" max="7684" width="1.140625" style="593" customWidth="1"/>
    <col min="7685" max="7686" width="9.140625" style="593" customWidth="1"/>
    <col min="7687" max="7687" width="2" style="593" customWidth="1"/>
    <col min="7688" max="7688" width="7.5703125" style="593" customWidth="1"/>
    <col min="7689" max="7916" width="11.7109375" style="593" customWidth="1"/>
    <col min="7917" max="7926" width="12.85546875" style="593"/>
    <col min="7927" max="7927" width="25.42578125" style="593" customWidth="1"/>
    <col min="7928" max="7928" width="17.140625" style="593" customWidth="1"/>
    <col min="7929" max="7931" width="9.140625" style="593" customWidth="1"/>
    <col min="7932" max="7932" width="1.7109375" style="593" customWidth="1"/>
    <col min="7933" max="7934" width="9.140625" style="593" customWidth="1"/>
    <col min="7935" max="7935" width="1.140625" style="593" customWidth="1"/>
    <col min="7936" max="7939" width="9.140625" style="593" customWidth="1"/>
    <col min="7940" max="7940" width="1.140625" style="593" customWidth="1"/>
    <col min="7941" max="7942" width="9.140625" style="593" customWidth="1"/>
    <col min="7943" max="7943" width="2" style="593" customWidth="1"/>
    <col min="7944" max="7944" width="7.5703125" style="593" customWidth="1"/>
    <col min="7945" max="8172" width="11.7109375" style="593" customWidth="1"/>
    <col min="8173" max="8182" width="12.85546875" style="593"/>
    <col min="8183" max="8183" width="25.42578125" style="593" customWidth="1"/>
    <col min="8184" max="8184" width="17.140625" style="593" customWidth="1"/>
    <col min="8185" max="8187" width="9.140625" style="593" customWidth="1"/>
    <col min="8188" max="8188" width="1.7109375" style="593" customWidth="1"/>
    <col min="8189" max="8190" width="9.140625" style="593" customWidth="1"/>
    <col min="8191" max="8191" width="1.140625" style="593" customWidth="1"/>
    <col min="8192" max="8195" width="9.140625" style="593" customWidth="1"/>
    <col min="8196" max="8196" width="1.140625" style="593" customWidth="1"/>
    <col min="8197" max="8198" width="9.140625" style="593" customWidth="1"/>
    <col min="8199" max="8199" width="2" style="593" customWidth="1"/>
    <col min="8200" max="8200" width="7.5703125" style="593" customWidth="1"/>
    <col min="8201" max="8428" width="11.7109375" style="593" customWidth="1"/>
    <col min="8429" max="8438" width="12.85546875" style="593"/>
    <col min="8439" max="8439" width="25.42578125" style="593" customWidth="1"/>
    <col min="8440" max="8440" width="17.140625" style="593" customWidth="1"/>
    <col min="8441" max="8443" width="9.140625" style="593" customWidth="1"/>
    <col min="8444" max="8444" width="1.7109375" style="593" customWidth="1"/>
    <col min="8445" max="8446" width="9.140625" style="593" customWidth="1"/>
    <col min="8447" max="8447" width="1.140625" style="593" customWidth="1"/>
    <col min="8448" max="8451" width="9.140625" style="593" customWidth="1"/>
    <col min="8452" max="8452" width="1.140625" style="593" customWidth="1"/>
    <col min="8453" max="8454" width="9.140625" style="593" customWidth="1"/>
    <col min="8455" max="8455" width="2" style="593" customWidth="1"/>
    <col min="8456" max="8456" width="7.5703125" style="593" customWidth="1"/>
    <col min="8457" max="8684" width="11.7109375" style="593" customWidth="1"/>
    <col min="8685" max="8694" width="12.85546875" style="593"/>
    <col min="8695" max="8695" width="25.42578125" style="593" customWidth="1"/>
    <col min="8696" max="8696" width="17.140625" style="593" customWidth="1"/>
    <col min="8697" max="8699" width="9.140625" style="593" customWidth="1"/>
    <col min="8700" max="8700" width="1.7109375" style="593" customWidth="1"/>
    <col min="8701" max="8702" width="9.140625" style="593" customWidth="1"/>
    <col min="8703" max="8703" width="1.140625" style="593" customWidth="1"/>
    <col min="8704" max="8707" width="9.140625" style="593" customWidth="1"/>
    <col min="8708" max="8708" width="1.140625" style="593" customWidth="1"/>
    <col min="8709" max="8710" width="9.140625" style="593" customWidth="1"/>
    <col min="8711" max="8711" width="2" style="593" customWidth="1"/>
    <col min="8712" max="8712" width="7.5703125" style="593" customWidth="1"/>
    <col min="8713" max="8940" width="11.7109375" style="593" customWidth="1"/>
    <col min="8941" max="8950" width="12.85546875" style="593"/>
    <col min="8951" max="8951" width="25.42578125" style="593" customWidth="1"/>
    <col min="8952" max="8952" width="17.140625" style="593" customWidth="1"/>
    <col min="8953" max="8955" width="9.140625" style="593" customWidth="1"/>
    <col min="8956" max="8956" width="1.7109375" style="593" customWidth="1"/>
    <col min="8957" max="8958" width="9.140625" style="593" customWidth="1"/>
    <col min="8959" max="8959" width="1.140625" style="593" customWidth="1"/>
    <col min="8960" max="8963" width="9.140625" style="593" customWidth="1"/>
    <col min="8964" max="8964" width="1.140625" style="593" customWidth="1"/>
    <col min="8965" max="8966" width="9.140625" style="593" customWidth="1"/>
    <col min="8967" max="8967" width="2" style="593" customWidth="1"/>
    <col min="8968" max="8968" width="7.5703125" style="593" customWidth="1"/>
    <col min="8969" max="9196" width="11.7109375" style="593" customWidth="1"/>
    <col min="9197" max="9206" width="12.85546875" style="593"/>
    <col min="9207" max="9207" width="25.42578125" style="593" customWidth="1"/>
    <col min="9208" max="9208" width="17.140625" style="593" customWidth="1"/>
    <col min="9209" max="9211" width="9.140625" style="593" customWidth="1"/>
    <col min="9212" max="9212" width="1.7109375" style="593" customWidth="1"/>
    <col min="9213" max="9214" width="9.140625" style="593" customWidth="1"/>
    <col min="9215" max="9215" width="1.140625" style="593" customWidth="1"/>
    <col min="9216" max="9219" width="9.140625" style="593" customWidth="1"/>
    <col min="9220" max="9220" width="1.140625" style="593" customWidth="1"/>
    <col min="9221" max="9222" width="9.140625" style="593" customWidth="1"/>
    <col min="9223" max="9223" width="2" style="593" customWidth="1"/>
    <col min="9224" max="9224" width="7.5703125" style="593" customWidth="1"/>
    <col min="9225" max="9452" width="11.7109375" style="593" customWidth="1"/>
    <col min="9453" max="9462" width="12.85546875" style="593"/>
    <col min="9463" max="9463" width="25.42578125" style="593" customWidth="1"/>
    <col min="9464" max="9464" width="17.140625" style="593" customWidth="1"/>
    <col min="9465" max="9467" width="9.140625" style="593" customWidth="1"/>
    <col min="9468" max="9468" width="1.7109375" style="593" customWidth="1"/>
    <col min="9469" max="9470" width="9.140625" style="593" customWidth="1"/>
    <col min="9471" max="9471" width="1.140625" style="593" customWidth="1"/>
    <col min="9472" max="9475" width="9.140625" style="593" customWidth="1"/>
    <col min="9476" max="9476" width="1.140625" style="593" customWidth="1"/>
    <col min="9477" max="9478" width="9.140625" style="593" customWidth="1"/>
    <col min="9479" max="9479" width="2" style="593" customWidth="1"/>
    <col min="9480" max="9480" width="7.5703125" style="593" customWidth="1"/>
    <col min="9481" max="9708" width="11.7109375" style="593" customWidth="1"/>
    <col min="9709" max="9718" width="12.85546875" style="593"/>
    <col min="9719" max="9719" width="25.42578125" style="593" customWidth="1"/>
    <col min="9720" max="9720" width="17.140625" style="593" customWidth="1"/>
    <col min="9721" max="9723" width="9.140625" style="593" customWidth="1"/>
    <col min="9724" max="9724" width="1.7109375" style="593" customWidth="1"/>
    <col min="9725" max="9726" width="9.140625" style="593" customWidth="1"/>
    <col min="9727" max="9727" width="1.140625" style="593" customWidth="1"/>
    <col min="9728" max="9731" width="9.140625" style="593" customWidth="1"/>
    <col min="9732" max="9732" width="1.140625" style="593" customWidth="1"/>
    <col min="9733" max="9734" width="9.140625" style="593" customWidth="1"/>
    <col min="9735" max="9735" width="2" style="593" customWidth="1"/>
    <col min="9736" max="9736" width="7.5703125" style="593" customWidth="1"/>
    <col min="9737" max="9964" width="11.7109375" style="593" customWidth="1"/>
    <col min="9965" max="9974" width="12.85546875" style="593"/>
    <col min="9975" max="9975" width="25.42578125" style="593" customWidth="1"/>
    <col min="9976" max="9976" width="17.140625" style="593" customWidth="1"/>
    <col min="9977" max="9979" width="9.140625" style="593" customWidth="1"/>
    <col min="9980" max="9980" width="1.7109375" style="593" customWidth="1"/>
    <col min="9981" max="9982" width="9.140625" style="593" customWidth="1"/>
    <col min="9983" max="9983" width="1.140625" style="593" customWidth="1"/>
    <col min="9984" max="9987" width="9.140625" style="593" customWidth="1"/>
    <col min="9988" max="9988" width="1.140625" style="593" customWidth="1"/>
    <col min="9989" max="9990" width="9.140625" style="593" customWidth="1"/>
    <col min="9991" max="9991" width="2" style="593" customWidth="1"/>
    <col min="9992" max="9992" width="7.5703125" style="593" customWidth="1"/>
    <col min="9993" max="10220" width="11.7109375" style="593" customWidth="1"/>
    <col min="10221" max="10230" width="12.85546875" style="593"/>
    <col min="10231" max="10231" width="25.42578125" style="593" customWidth="1"/>
    <col min="10232" max="10232" width="17.140625" style="593" customWidth="1"/>
    <col min="10233" max="10235" width="9.140625" style="593" customWidth="1"/>
    <col min="10236" max="10236" width="1.7109375" style="593" customWidth="1"/>
    <col min="10237" max="10238" width="9.140625" style="593" customWidth="1"/>
    <col min="10239" max="10239" width="1.140625" style="593" customWidth="1"/>
    <col min="10240" max="10243" width="9.140625" style="593" customWidth="1"/>
    <col min="10244" max="10244" width="1.140625" style="593" customWidth="1"/>
    <col min="10245" max="10246" width="9.140625" style="593" customWidth="1"/>
    <col min="10247" max="10247" width="2" style="593" customWidth="1"/>
    <col min="10248" max="10248" width="7.5703125" style="593" customWidth="1"/>
    <col min="10249" max="10476" width="11.7109375" style="593" customWidth="1"/>
    <col min="10477" max="10486" width="12.85546875" style="593"/>
    <col min="10487" max="10487" width="25.42578125" style="593" customWidth="1"/>
    <col min="10488" max="10488" width="17.140625" style="593" customWidth="1"/>
    <col min="10489" max="10491" width="9.140625" style="593" customWidth="1"/>
    <col min="10492" max="10492" width="1.7109375" style="593" customWidth="1"/>
    <col min="10493" max="10494" width="9.140625" style="593" customWidth="1"/>
    <col min="10495" max="10495" width="1.140625" style="593" customWidth="1"/>
    <col min="10496" max="10499" width="9.140625" style="593" customWidth="1"/>
    <col min="10500" max="10500" width="1.140625" style="593" customWidth="1"/>
    <col min="10501" max="10502" width="9.140625" style="593" customWidth="1"/>
    <col min="10503" max="10503" width="2" style="593" customWidth="1"/>
    <col min="10504" max="10504" width="7.5703125" style="593" customWidth="1"/>
    <col min="10505" max="10732" width="11.7109375" style="593" customWidth="1"/>
    <col min="10733" max="10742" width="12.85546875" style="593"/>
    <col min="10743" max="10743" width="25.42578125" style="593" customWidth="1"/>
    <col min="10744" max="10744" width="17.140625" style="593" customWidth="1"/>
    <col min="10745" max="10747" width="9.140625" style="593" customWidth="1"/>
    <col min="10748" max="10748" width="1.7109375" style="593" customWidth="1"/>
    <col min="10749" max="10750" width="9.140625" style="593" customWidth="1"/>
    <col min="10751" max="10751" width="1.140625" style="593" customWidth="1"/>
    <col min="10752" max="10755" width="9.140625" style="593" customWidth="1"/>
    <col min="10756" max="10756" width="1.140625" style="593" customWidth="1"/>
    <col min="10757" max="10758" width="9.140625" style="593" customWidth="1"/>
    <col min="10759" max="10759" width="2" style="593" customWidth="1"/>
    <col min="10760" max="10760" width="7.5703125" style="593" customWidth="1"/>
    <col min="10761" max="10988" width="11.7109375" style="593" customWidth="1"/>
    <col min="10989" max="10998" width="12.85546875" style="593"/>
    <col min="10999" max="10999" width="25.42578125" style="593" customWidth="1"/>
    <col min="11000" max="11000" width="17.140625" style="593" customWidth="1"/>
    <col min="11001" max="11003" width="9.140625" style="593" customWidth="1"/>
    <col min="11004" max="11004" width="1.7109375" style="593" customWidth="1"/>
    <col min="11005" max="11006" width="9.140625" style="593" customWidth="1"/>
    <col min="11007" max="11007" width="1.140625" style="593" customWidth="1"/>
    <col min="11008" max="11011" width="9.140625" style="593" customWidth="1"/>
    <col min="11012" max="11012" width="1.140625" style="593" customWidth="1"/>
    <col min="11013" max="11014" width="9.140625" style="593" customWidth="1"/>
    <col min="11015" max="11015" width="2" style="593" customWidth="1"/>
    <col min="11016" max="11016" width="7.5703125" style="593" customWidth="1"/>
    <col min="11017" max="11244" width="11.7109375" style="593" customWidth="1"/>
    <col min="11245" max="11254" width="12.85546875" style="593"/>
    <col min="11255" max="11255" width="25.42578125" style="593" customWidth="1"/>
    <col min="11256" max="11256" width="17.140625" style="593" customWidth="1"/>
    <col min="11257" max="11259" width="9.140625" style="593" customWidth="1"/>
    <col min="11260" max="11260" width="1.7109375" style="593" customWidth="1"/>
    <col min="11261" max="11262" width="9.140625" style="593" customWidth="1"/>
    <col min="11263" max="11263" width="1.140625" style="593" customWidth="1"/>
    <col min="11264" max="11267" width="9.140625" style="593" customWidth="1"/>
    <col min="11268" max="11268" width="1.140625" style="593" customWidth="1"/>
    <col min="11269" max="11270" width="9.140625" style="593" customWidth="1"/>
    <col min="11271" max="11271" width="2" style="593" customWidth="1"/>
    <col min="11272" max="11272" width="7.5703125" style="593" customWidth="1"/>
    <col min="11273" max="11500" width="11.7109375" style="593" customWidth="1"/>
    <col min="11501" max="11510" width="12.85546875" style="593"/>
    <col min="11511" max="11511" width="25.42578125" style="593" customWidth="1"/>
    <col min="11512" max="11512" width="17.140625" style="593" customWidth="1"/>
    <col min="11513" max="11515" width="9.140625" style="593" customWidth="1"/>
    <col min="11516" max="11516" width="1.7109375" style="593" customWidth="1"/>
    <col min="11517" max="11518" width="9.140625" style="593" customWidth="1"/>
    <col min="11519" max="11519" width="1.140625" style="593" customWidth="1"/>
    <col min="11520" max="11523" width="9.140625" style="593" customWidth="1"/>
    <col min="11524" max="11524" width="1.140625" style="593" customWidth="1"/>
    <col min="11525" max="11526" width="9.140625" style="593" customWidth="1"/>
    <col min="11527" max="11527" width="2" style="593" customWidth="1"/>
    <col min="11528" max="11528" width="7.5703125" style="593" customWidth="1"/>
    <col min="11529" max="11756" width="11.7109375" style="593" customWidth="1"/>
    <col min="11757" max="11766" width="12.85546875" style="593"/>
    <col min="11767" max="11767" width="25.42578125" style="593" customWidth="1"/>
    <col min="11768" max="11768" width="17.140625" style="593" customWidth="1"/>
    <col min="11769" max="11771" width="9.140625" style="593" customWidth="1"/>
    <col min="11772" max="11772" width="1.7109375" style="593" customWidth="1"/>
    <col min="11773" max="11774" width="9.140625" style="593" customWidth="1"/>
    <col min="11775" max="11775" width="1.140625" style="593" customWidth="1"/>
    <col min="11776" max="11779" width="9.140625" style="593" customWidth="1"/>
    <col min="11780" max="11780" width="1.140625" style="593" customWidth="1"/>
    <col min="11781" max="11782" width="9.140625" style="593" customWidth="1"/>
    <col min="11783" max="11783" width="2" style="593" customWidth="1"/>
    <col min="11784" max="11784" width="7.5703125" style="593" customWidth="1"/>
    <col min="11785" max="12012" width="11.7109375" style="593" customWidth="1"/>
    <col min="12013" max="12022" width="12.85546875" style="593"/>
    <col min="12023" max="12023" width="25.42578125" style="593" customWidth="1"/>
    <col min="12024" max="12024" width="17.140625" style="593" customWidth="1"/>
    <col min="12025" max="12027" width="9.140625" style="593" customWidth="1"/>
    <col min="12028" max="12028" width="1.7109375" style="593" customWidth="1"/>
    <col min="12029" max="12030" width="9.140625" style="593" customWidth="1"/>
    <col min="12031" max="12031" width="1.140625" style="593" customWidth="1"/>
    <col min="12032" max="12035" width="9.140625" style="593" customWidth="1"/>
    <col min="12036" max="12036" width="1.140625" style="593" customWidth="1"/>
    <col min="12037" max="12038" width="9.140625" style="593" customWidth="1"/>
    <col min="12039" max="12039" width="2" style="593" customWidth="1"/>
    <col min="12040" max="12040" width="7.5703125" style="593" customWidth="1"/>
    <col min="12041" max="12268" width="11.7109375" style="593" customWidth="1"/>
    <col min="12269" max="12278" width="12.85546875" style="593"/>
    <col min="12279" max="12279" width="25.42578125" style="593" customWidth="1"/>
    <col min="12280" max="12280" width="17.140625" style="593" customWidth="1"/>
    <col min="12281" max="12283" width="9.140625" style="593" customWidth="1"/>
    <col min="12284" max="12284" width="1.7109375" style="593" customWidth="1"/>
    <col min="12285" max="12286" width="9.140625" style="593" customWidth="1"/>
    <col min="12287" max="12287" width="1.140625" style="593" customWidth="1"/>
    <col min="12288" max="12291" width="9.140625" style="593" customWidth="1"/>
    <col min="12292" max="12292" width="1.140625" style="593" customWidth="1"/>
    <col min="12293" max="12294" width="9.140625" style="593" customWidth="1"/>
    <col min="12295" max="12295" width="2" style="593" customWidth="1"/>
    <col min="12296" max="12296" width="7.5703125" style="593" customWidth="1"/>
    <col min="12297" max="12524" width="11.7109375" style="593" customWidth="1"/>
    <col min="12525" max="12534" width="12.85546875" style="593"/>
    <col min="12535" max="12535" width="25.42578125" style="593" customWidth="1"/>
    <col min="12536" max="12536" width="17.140625" style="593" customWidth="1"/>
    <col min="12537" max="12539" width="9.140625" style="593" customWidth="1"/>
    <col min="12540" max="12540" width="1.7109375" style="593" customWidth="1"/>
    <col min="12541" max="12542" width="9.140625" style="593" customWidth="1"/>
    <col min="12543" max="12543" width="1.140625" style="593" customWidth="1"/>
    <col min="12544" max="12547" width="9.140625" style="593" customWidth="1"/>
    <col min="12548" max="12548" width="1.140625" style="593" customWidth="1"/>
    <col min="12549" max="12550" width="9.140625" style="593" customWidth="1"/>
    <col min="12551" max="12551" width="2" style="593" customWidth="1"/>
    <col min="12552" max="12552" width="7.5703125" style="593" customWidth="1"/>
    <col min="12553" max="12780" width="11.7109375" style="593" customWidth="1"/>
    <col min="12781" max="12790" width="12.85546875" style="593"/>
    <col min="12791" max="12791" width="25.42578125" style="593" customWidth="1"/>
    <col min="12792" max="12792" width="17.140625" style="593" customWidth="1"/>
    <col min="12793" max="12795" width="9.140625" style="593" customWidth="1"/>
    <col min="12796" max="12796" width="1.7109375" style="593" customWidth="1"/>
    <col min="12797" max="12798" width="9.140625" style="593" customWidth="1"/>
    <col min="12799" max="12799" width="1.140625" style="593" customWidth="1"/>
    <col min="12800" max="12803" width="9.140625" style="593" customWidth="1"/>
    <col min="12804" max="12804" width="1.140625" style="593" customWidth="1"/>
    <col min="12805" max="12806" width="9.140625" style="593" customWidth="1"/>
    <col min="12807" max="12807" width="2" style="593" customWidth="1"/>
    <col min="12808" max="12808" width="7.5703125" style="593" customWidth="1"/>
    <col min="12809" max="13036" width="11.7109375" style="593" customWidth="1"/>
    <col min="13037" max="13046" width="12.85546875" style="593"/>
    <col min="13047" max="13047" width="25.42578125" style="593" customWidth="1"/>
    <col min="13048" max="13048" width="17.140625" style="593" customWidth="1"/>
    <col min="13049" max="13051" width="9.140625" style="593" customWidth="1"/>
    <col min="13052" max="13052" width="1.7109375" style="593" customWidth="1"/>
    <col min="13053" max="13054" width="9.140625" style="593" customWidth="1"/>
    <col min="13055" max="13055" width="1.140625" style="593" customWidth="1"/>
    <col min="13056" max="13059" width="9.140625" style="593" customWidth="1"/>
    <col min="13060" max="13060" width="1.140625" style="593" customWidth="1"/>
    <col min="13061" max="13062" width="9.140625" style="593" customWidth="1"/>
    <col min="13063" max="13063" width="2" style="593" customWidth="1"/>
    <col min="13064" max="13064" width="7.5703125" style="593" customWidth="1"/>
    <col min="13065" max="13292" width="11.7109375" style="593" customWidth="1"/>
    <col min="13293" max="13302" width="12.85546875" style="593"/>
    <col min="13303" max="13303" width="25.42578125" style="593" customWidth="1"/>
    <col min="13304" max="13304" width="17.140625" style="593" customWidth="1"/>
    <col min="13305" max="13307" width="9.140625" style="593" customWidth="1"/>
    <col min="13308" max="13308" width="1.7109375" style="593" customWidth="1"/>
    <col min="13309" max="13310" width="9.140625" style="593" customWidth="1"/>
    <col min="13311" max="13311" width="1.140625" style="593" customWidth="1"/>
    <col min="13312" max="13315" width="9.140625" style="593" customWidth="1"/>
    <col min="13316" max="13316" width="1.140625" style="593" customWidth="1"/>
    <col min="13317" max="13318" width="9.140625" style="593" customWidth="1"/>
    <col min="13319" max="13319" width="2" style="593" customWidth="1"/>
    <col min="13320" max="13320" width="7.5703125" style="593" customWidth="1"/>
    <col min="13321" max="13548" width="11.7109375" style="593" customWidth="1"/>
    <col min="13549" max="13558" width="12.85546875" style="593"/>
    <col min="13559" max="13559" width="25.42578125" style="593" customWidth="1"/>
    <col min="13560" max="13560" width="17.140625" style="593" customWidth="1"/>
    <col min="13561" max="13563" width="9.140625" style="593" customWidth="1"/>
    <col min="13564" max="13564" width="1.7109375" style="593" customWidth="1"/>
    <col min="13565" max="13566" width="9.140625" style="593" customWidth="1"/>
    <col min="13567" max="13567" width="1.140625" style="593" customWidth="1"/>
    <col min="13568" max="13571" width="9.140625" style="593" customWidth="1"/>
    <col min="13572" max="13572" width="1.140625" style="593" customWidth="1"/>
    <col min="13573" max="13574" width="9.140625" style="593" customWidth="1"/>
    <col min="13575" max="13575" width="2" style="593" customWidth="1"/>
    <col min="13576" max="13576" width="7.5703125" style="593" customWidth="1"/>
    <col min="13577" max="13804" width="11.7109375" style="593" customWidth="1"/>
    <col min="13805" max="13814" width="12.85546875" style="593"/>
    <col min="13815" max="13815" width="25.42578125" style="593" customWidth="1"/>
    <col min="13816" max="13816" width="17.140625" style="593" customWidth="1"/>
    <col min="13817" max="13819" width="9.140625" style="593" customWidth="1"/>
    <col min="13820" max="13820" width="1.7109375" style="593" customWidth="1"/>
    <col min="13821" max="13822" width="9.140625" style="593" customWidth="1"/>
    <col min="13823" max="13823" width="1.140625" style="593" customWidth="1"/>
    <col min="13824" max="13827" width="9.140625" style="593" customWidth="1"/>
    <col min="13828" max="13828" width="1.140625" style="593" customWidth="1"/>
    <col min="13829" max="13830" width="9.140625" style="593" customWidth="1"/>
    <col min="13831" max="13831" width="2" style="593" customWidth="1"/>
    <col min="13832" max="13832" width="7.5703125" style="593" customWidth="1"/>
    <col min="13833" max="14060" width="11.7109375" style="593" customWidth="1"/>
    <col min="14061" max="14070" width="12.85546875" style="593"/>
    <col min="14071" max="14071" width="25.42578125" style="593" customWidth="1"/>
    <col min="14072" max="14072" width="17.140625" style="593" customWidth="1"/>
    <col min="14073" max="14075" width="9.140625" style="593" customWidth="1"/>
    <col min="14076" max="14076" width="1.7109375" style="593" customWidth="1"/>
    <col min="14077" max="14078" width="9.140625" style="593" customWidth="1"/>
    <col min="14079" max="14079" width="1.140625" style="593" customWidth="1"/>
    <col min="14080" max="14083" width="9.140625" style="593" customWidth="1"/>
    <col min="14084" max="14084" width="1.140625" style="593" customWidth="1"/>
    <col min="14085" max="14086" width="9.140625" style="593" customWidth="1"/>
    <col min="14087" max="14087" width="2" style="593" customWidth="1"/>
    <col min="14088" max="14088" width="7.5703125" style="593" customWidth="1"/>
    <col min="14089" max="14316" width="11.7109375" style="593" customWidth="1"/>
    <col min="14317" max="14326" width="12.85546875" style="593"/>
    <col min="14327" max="14327" width="25.42578125" style="593" customWidth="1"/>
    <col min="14328" max="14328" width="17.140625" style="593" customWidth="1"/>
    <col min="14329" max="14331" width="9.140625" style="593" customWidth="1"/>
    <col min="14332" max="14332" width="1.7109375" style="593" customWidth="1"/>
    <col min="14333" max="14334" width="9.140625" style="593" customWidth="1"/>
    <col min="14335" max="14335" width="1.140625" style="593" customWidth="1"/>
    <col min="14336" max="14339" width="9.140625" style="593" customWidth="1"/>
    <col min="14340" max="14340" width="1.140625" style="593" customWidth="1"/>
    <col min="14341" max="14342" width="9.140625" style="593" customWidth="1"/>
    <col min="14343" max="14343" width="2" style="593" customWidth="1"/>
    <col min="14344" max="14344" width="7.5703125" style="593" customWidth="1"/>
    <col min="14345" max="14572" width="11.7109375" style="593" customWidth="1"/>
    <col min="14573" max="14582" width="12.85546875" style="593"/>
    <col min="14583" max="14583" width="25.42578125" style="593" customWidth="1"/>
    <col min="14584" max="14584" width="17.140625" style="593" customWidth="1"/>
    <col min="14585" max="14587" width="9.140625" style="593" customWidth="1"/>
    <col min="14588" max="14588" width="1.7109375" style="593" customWidth="1"/>
    <col min="14589" max="14590" width="9.140625" style="593" customWidth="1"/>
    <col min="14591" max="14591" width="1.140625" style="593" customWidth="1"/>
    <col min="14592" max="14595" width="9.140625" style="593" customWidth="1"/>
    <col min="14596" max="14596" width="1.140625" style="593" customWidth="1"/>
    <col min="14597" max="14598" width="9.140625" style="593" customWidth="1"/>
    <col min="14599" max="14599" width="2" style="593" customWidth="1"/>
    <col min="14600" max="14600" width="7.5703125" style="593" customWidth="1"/>
    <col min="14601" max="14828" width="11.7109375" style="593" customWidth="1"/>
    <col min="14829" max="14838" width="12.85546875" style="593"/>
    <col min="14839" max="14839" width="25.42578125" style="593" customWidth="1"/>
    <col min="14840" max="14840" width="17.140625" style="593" customWidth="1"/>
    <col min="14841" max="14843" width="9.140625" style="593" customWidth="1"/>
    <col min="14844" max="14844" width="1.7109375" style="593" customWidth="1"/>
    <col min="14845" max="14846" width="9.140625" style="593" customWidth="1"/>
    <col min="14847" max="14847" width="1.140625" style="593" customWidth="1"/>
    <col min="14848" max="14851" width="9.140625" style="593" customWidth="1"/>
    <col min="14852" max="14852" width="1.140625" style="593" customWidth="1"/>
    <col min="14853" max="14854" width="9.140625" style="593" customWidth="1"/>
    <col min="14855" max="14855" width="2" style="593" customWidth="1"/>
    <col min="14856" max="14856" width="7.5703125" style="593" customWidth="1"/>
    <col min="14857" max="15084" width="11.7109375" style="593" customWidth="1"/>
    <col min="15085" max="15094" width="12.85546875" style="593"/>
    <col min="15095" max="15095" width="25.42578125" style="593" customWidth="1"/>
    <col min="15096" max="15096" width="17.140625" style="593" customWidth="1"/>
    <col min="15097" max="15099" width="9.140625" style="593" customWidth="1"/>
    <col min="15100" max="15100" width="1.7109375" style="593" customWidth="1"/>
    <col min="15101" max="15102" width="9.140625" style="593" customWidth="1"/>
    <col min="15103" max="15103" width="1.140625" style="593" customWidth="1"/>
    <col min="15104" max="15107" width="9.140625" style="593" customWidth="1"/>
    <col min="15108" max="15108" width="1.140625" style="593" customWidth="1"/>
    <col min="15109" max="15110" width="9.140625" style="593" customWidth="1"/>
    <col min="15111" max="15111" width="2" style="593" customWidth="1"/>
    <col min="15112" max="15112" width="7.5703125" style="593" customWidth="1"/>
    <col min="15113" max="15340" width="11.7109375" style="593" customWidth="1"/>
    <col min="15341" max="15350" width="12.85546875" style="593"/>
    <col min="15351" max="15351" width="25.42578125" style="593" customWidth="1"/>
    <col min="15352" max="15352" width="17.140625" style="593" customWidth="1"/>
    <col min="15353" max="15355" width="9.140625" style="593" customWidth="1"/>
    <col min="15356" max="15356" width="1.7109375" style="593" customWidth="1"/>
    <col min="15357" max="15358" width="9.140625" style="593" customWidth="1"/>
    <col min="15359" max="15359" width="1.140625" style="593" customWidth="1"/>
    <col min="15360" max="15363" width="9.140625" style="593" customWidth="1"/>
    <col min="15364" max="15364" width="1.140625" style="593" customWidth="1"/>
    <col min="15365" max="15366" width="9.140625" style="593" customWidth="1"/>
    <col min="15367" max="15367" width="2" style="593" customWidth="1"/>
    <col min="15368" max="15368" width="7.5703125" style="593" customWidth="1"/>
    <col min="15369" max="15596" width="11.7109375" style="593" customWidth="1"/>
    <col min="15597" max="15606" width="12.85546875" style="593"/>
    <col min="15607" max="15607" width="25.42578125" style="593" customWidth="1"/>
    <col min="15608" max="15608" width="17.140625" style="593" customWidth="1"/>
    <col min="15609" max="15611" width="9.140625" style="593" customWidth="1"/>
    <col min="15612" max="15612" width="1.7109375" style="593" customWidth="1"/>
    <col min="15613" max="15614" width="9.140625" style="593" customWidth="1"/>
    <col min="15615" max="15615" width="1.140625" style="593" customWidth="1"/>
    <col min="15616" max="15619" width="9.140625" style="593" customWidth="1"/>
    <col min="15620" max="15620" width="1.140625" style="593" customWidth="1"/>
    <col min="15621" max="15622" width="9.140625" style="593" customWidth="1"/>
    <col min="15623" max="15623" width="2" style="593" customWidth="1"/>
    <col min="15624" max="15624" width="7.5703125" style="593" customWidth="1"/>
    <col min="15625" max="15852" width="11.7109375" style="593" customWidth="1"/>
    <col min="15853" max="15862" width="12.85546875" style="593"/>
    <col min="15863" max="15863" width="25.42578125" style="593" customWidth="1"/>
    <col min="15864" max="15864" width="17.140625" style="593" customWidth="1"/>
    <col min="15865" max="15867" width="9.140625" style="593" customWidth="1"/>
    <col min="15868" max="15868" width="1.7109375" style="593" customWidth="1"/>
    <col min="15869" max="15870" width="9.140625" style="593" customWidth="1"/>
    <col min="15871" max="15871" width="1.140625" style="593" customWidth="1"/>
    <col min="15872" max="15875" width="9.140625" style="593" customWidth="1"/>
    <col min="15876" max="15876" width="1.140625" style="593" customWidth="1"/>
    <col min="15877" max="15878" width="9.140625" style="593" customWidth="1"/>
    <col min="15879" max="15879" width="2" style="593" customWidth="1"/>
    <col min="15880" max="15880" width="7.5703125" style="593" customWidth="1"/>
    <col min="15881" max="16108" width="11.7109375" style="593" customWidth="1"/>
    <col min="16109" max="16118" width="12.85546875" style="593"/>
    <col min="16119" max="16119" width="25.42578125" style="593" customWidth="1"/>
    <col min="16120" max="16120" width="17.140625" style="593" customWidth="1"/>
    <col min="16121" max="16123" width="9.140625" style="593" customWidth="1"/>
    <col min="16124" max="16124" width="1.7109375" style="593" customWidth="1"/>
    <col min="16125" max="16126" width="9.140625" style="593" customWidth="1"/>
    <col min="16127" max="16127" width="1.140625" style="593" customWidth="1"/>
    <col min="16128" max="16131" width="9.140625" style="593" customWidth="1"/>
    <col min="16132" max="16132" width="1.140625" style="593" customWidth="1"/>
    <col min="16133" max="16134" width="9.140625" style="593" customWidth="1"/>
    <col min="16135" max="16135" width="2" style="593" customWidth="1"/>
    <col min="16136" max="16136" width="7.5703125" style="593" customWidth="1"/>
    <col min="16137" max="16364" width="11.7109375" style="593" customWidth="1"/>
    <col min="16365" max="16384" width="12.85546875" style="593"/>
  </cols>
  <sheetData>
    <row r="1" spans="1:30" ht="15" x14ac:dyDescent="0.25">
      <c r="A1" s="743">
        <f>Konti_VS!B7</f>
        <v>0</v>
      </c>
      <c r="R1" s="741" t="str">
        <f>"K:\BH_mit_AbtIIa\_mit_PD\Bedarf 20"&amp;RIGHT(O2,2)-1&amp;"\"&amp;VLOOKUP(A1,CI!C:O,11,FALSE)&amp;"\"</f>
        <v>K:\BH_mit_AbtIIa\_mit_PD\Bedarf 2024\\</v>
      </c>
      <c r="Z1"/>
      <c r="AA1"/>
      <c r="AD1" s="593" t="str">
        <f>RIGHT(O2,2)</f>
        <v>25</v>
      </c>
    </row>
    <row r="2" spans="1:30" s="597" customFormat="1" ht="43.5" customHeight="1" x14ac:dyDescent="0.15">
      <c r="A2" s="740" t="str">
        <f>Lehrpersonen!A2</f>
        <v>VS  . . .</v>
      </c>
      <c r="B2" s="710"/>
      <c r="C2" s="593"/>
      <c r="D2" s="703"/>
      <c r="E2" s="593"/>
      <c r="H2" s="593"/>
      <c r="I2" s="593"/>
      <c r="J2" s="593"/>
      <c r="K2" s="647"/>
      <c r="L2" s="647"/>
      <c r="N2" s="593"/>
      <c r="O2" s="631" t="str">
        <f>"Schuljahr 20"&amp;RIGHT(Konti_VS!H1,5)</f>
        <v>Schuljahr 2024/25</v>
      </c>
      <c r="R2" s="741" t="str">
        <f>"K:\BH_mit_AbtIIa\_mit_PD\Bedarf 20"&amp;RIGHT(O2,2)-1&amp;"\Mutterpsrache\"</f>
        <v>K:\BH_mit_AbtIIa\_mit_PD\Bedarf 2024\Mutterpsrache\</v>
      </c>
      <c r="V2" s="742"/>
    </row>
    <row r="3" spans="1:30" ht="155.25" customHeight="1" x14ac:dyDescent="0.25">
      <c r="A3" s="958" t="s">
        <v>987</v>
      </c>
      <c r="B3" s="959"/>
      <c r="C3" s="719" t="s">
        <v>805</v>
      </c>
      <c r="D3" s="720" t="s">
        <v>806</v>
      </c>
      <c r="E3" s="599"/>
      <c r="F3" s="721" t="s">
        <v>836</v>
      </c>
      <c r="G3" s="725" t="s">
        <v>807</v>
      </c>
      <c r="H3" s="726" t="s">
        <v>809</v>
      </c>
      <c r="I3" s="727" t="s">
        <v>812</v>
      </c>
      <c r="J3" s="728" t="s">
        <v>811</v>
      </c>
      <c r="K3" s="729" t="s">
        <v>808</v>
      </c>
      <c r="L3" s="722" t="s">
        <v>813</v>
      </c>
      <c r="M3" s="722" t="s">
        <v>814</v>
      </c>
      <c r="N3" s="728" t="s">
        <v>810</v>
      </c>
      <c r="O3" s="792" t="s">
        <v>993</v>
      </c>
      <c r="R3" s="741" t="str">
        <f>"K:\BH_mit_AbtIIa\_mit_PD\Bedarf 20"&amp;RIGHT(O2,2)-1&amp;"\Religion\"</f>
        <v>K:\BH_mit_AbtIIa\_mit_PD\Bedarf 2024\Religion\</v>
      </c>
      <c r="V3" s="741"/>
      <c r="X3" s="741"/>
    </row>
    <row r="4" spans="1:30" s="723" customFormat="1" ht="22.5" x14ac:dyDescent="0.2">
      <c r="A4" s="730" t="s">
        <v>837</v>
      </c>
      <c r="B4" s="731" t="s">
        <v>838</v>
      </c>
      <c r="C4" s="733"/>
      <c r="D4" s="734"/>
      <c r="E4" s="732"/>
      <c r="F4" s="735" t="s">
        <v>839</v>
      </c>
      <c r="G4" s="733" t="s">
        <v>840</v>
      </c>
      <c r="H4" s="733" t="s">
        <v>841</v>
      </c>
      <c r="I4" s="736" t="s">
        <v>842</v>
      </c>
      <c r="J4" s="733" t="s">
        <v>843</v>
      </c>
      <c r="K4" s="737" t="s">
        <v>844</v>
      </c>
      <c r="L4" s="738" t="s">
        <v>845</v>
      </c>
      <c r="M4" s="738" t="s">
        <v>846</v>
      </c>
      <c r="N4" s="733"/>
      <c r="O4" s="739" t="s">
        <v>847</v>
      </c>
      <c r="R4" s="742" t="str">
        <f ca="1">VLOOKUP(A1,CI!C:O,8,FALSE)&amp;" "&amp;VLOOKUP(A1,CI!C:O,9,FALSE)&amp;" Bedarf "&amp;YEAR(TODAY())&amp;"_"&amp;TEXT((TODAY()),"MM")&amp;"_"&amp;TEXT(DAY(TODAY()),"TT")&amp;" "&amp;TEXT(NOW(),"HHMM")</f>
        <v xml:space="preserve">  Bedarf 2024_03_13 0926</v>
      </c>
      <c r="V4" s="741"/>
    </row>
    <row r="5" spans="1:30" ht="23.25" customHeight="1" x14ac:dyDescent="0.25">
      <c r="A5" s="852">
        <f>Lehrpersonen!A5</f>
        <v>0</v>
      </c>
      <c r="B5" s="853">
        <f>Lehrpersonen!B5</f>
        <v>0</v>
      </c>
      <c r="C5" s="854">
        <f>Lehrpersonen!C5</f>
        <v>0</v>
      </c>
      <c r="D5" s="855">
        <f>Lehrpersonen!D5</f>
        <v>0</v>
      </c>
      <c r="E5" s="799">
        <f>Lehrpersonen!F5</f>
        <v>0</v>
      </c>
      <c r="F5" s="724">
        <f>Lehrpersonen!Q5</f>
        <v>0</v>
      </c>
      <c r="G5" s="800">
        <f>Lehrpersonen!E5</f>
        <v>0</v>
      </c>
      <c r="H5" s="856">
        <f>Lehrpersonen!H5</f>
        <v>0</v>
      </c>
      <c r="I5" s="856">
        <f>Lehrpersonen!K5</f>
        <v>0</v>
      </c>
      <c r="J5" s="856">
        <f>Lehrpersonen!J5</f>
        <v>0</v>
      </c>
      <c r="K5" s="802">
        <f>Lehrpersonen!L5</f>
        <v>0</v>
      </c>
      <c r="L5" s="856">
        <f>Lehrpersonen!M5</f>
        <v>0</v>
      </c>
      <c r="M5" s="856">
        <f>Lehrpersonen!O5</f>
        <v>0</v>
      </c>
      <c r="N5" s="856">
        <f>Lehrpersonen!I5</f>
        <v>0</v>
      </c>
      <c r="O5" s="856">
        <f>Lehrpersonen!G5</f>
        <v>0</v>
      </c>
      <c r="R5" s="742" t="str">
        <f>VLOOKUP(A1,CI!C:O,8,FALSE)&amp;" "&amp;VLOOKUP(A1,CI!C:O,9,FALSE)&amp;" Erstsprache 20"&amp;RIGHT(O2,2)-1&amp;"'"&amp;RIGHT(O2,2)</f>
        <v xml:space="preserve">  Erstsprache 2024'25</v>
      </c>
      <c r="V5" s="742"/>
    </row>
    <row r="6" spans="1:30" ht="23.25" customHeight="1" x14ac:dyDescent="0.25">
      <c r="A6" s="803">
        <f>Lehrpersonen!A6</f>
        <v>0</v>
      </c>
      <c r="B6" s="804">
        <f>Lehrpersonen!B6</f>
        <v>0</v>
      </c>
      <c r="C6" s="805">
        <f>Lehrpersonen!C6</f>
        <v>0</v>
      </c>
      <c r="D6" s="849">
        <f>Lehrpersonen!D6</f>
        <v>0</v>
      </c>
      <c r="E6" s="806"/>
      <c r="F6" s="862">
        <f>Lehrpersonen!Q6</f>
        <v>0</v>
      </c>
      <c r="G6" s="800">
        <f>Lehrpersonen!E6</f>
        <v>0</v>
      </c>
      <c r="H6" s="801">
        <f>Lehrpersonen!H6</f>
        <v>0</v>
      </c>
      <c r="I6" s="801">
        <f>Lehrpersonen!K6</f>
        <v>0</v>
      </c>
      <c r="J6" s="801">
        <f>Lehrpersonen!J6</f>
        <v>0</v>
      </c>
      <c r="K6" s="802">
        <f>Lehrpersonen!L6</f>
        <v>0</v>
      </c>
      <c r="L6" s="801">
        <f>Lehrpersonen!M6</f>
        <v>0</v>
      </c>
      <c r="M6" s="801">
        <f>Lehrpersonen!O6</f>
        <v>0</v>
      </c>
      <c r="N6" s="801">
        <f>Lehrpersonen!I6</f>
        <v>0</v>
      </c>
      <c r="O6" s="801">
        <f>Lehrpersonen!G6</f>
        <v>0</v>
      </c>
      <c r="R6" s="742" t="str">
        <f>VLOOKUP(A1,CI!C:O,8,FALSE)&amp;" "&amp;VLOOKUP(A1,CI!C:O,9,FALSE)&amp;" Religion 20"&amp;RIGHT(O2,2)-1&amp;"'"&amp;RIGHT(O2,2)</f>
        <v xml:space="preserve">  Religion 2024'25</v>
      </c>
      <c r="V6" s="742"/>
    </row>
    <row r="7" spans="1:30" ht="23.25" customHeight="1" x14ac:dyDescent="0.25">
      <c r="A7" s="803">
        <f>Lehrpersonen!A7</f>
        <v>0</v>
      </c>
      <c r="B7" s="804">
        <f>Lehrpersonen!B7</f>
        <v>0</v>
      </c>
      <c r="C7" s="805">
        <f>Lehrpersonen!C7</f>
        <v>0</v>
      </c>
      <c r="D7" s="849">
        <f>Lehrpersonen!D7</f>
        <v>0</v>
      </c>
      <c r="E7" s="806"/>
      <c r="F7" s="862">
        <f>Lehrpersonen!Q7</f>
        <v>0</v>
      </c>
      <c r="G7" s="800">
        <f>Lehrpersonen!E7</f>
        <v>0</v>
      </c>
      <c r="H7" s="801">
        <f>Lehrpersonen!H7</f>
        <v>0</v>
      </c>
      <c r="I7" s="801">
        <f>Lehrpersonen!K7</f>
        <v>0</v>
      </c>
      <c r="J7" s="801">
        <f>Lehrpersonen!J7</f>
        <v>0</v>
      </c>
      <c r="K7" s="802">
        <f>Lehrpersonen!L7</f>
        <v>0</v>
      </c>
      <c r="L7" s="801">
        <f>Lehrpersonen!M7</f>
        <v>0</v>
      </c>
      <c r="M7" s="801">
        <f>Lehrpersonen!O7</f>
        <v>0</v>
      </c>
      <c r="N7" s="801">
        <f>Lehrpersonen!I7</f>
        <v>0</v>
      </c>
      <c r="O7" s="801">
        <f>Lehrpersonen!G7</f>
        <v>0</v>
      </c>
      <c r="R7"/>
      <c r="V7" s="742"/>
    </row>
    <row r="8" spans="1:30" ht="23.25" customHeight="1" x14ac:dyDescent="0.25">
      <c r="A8" s="803">
        <f>Lehrpersonen!A8</f>
        <v>0</v>
      </c>
      <c r="B8" s="804">
        <f>Lehrpersonen!B8</f>
        <v>0</v>
      </c>
      <c r="C8" s="805">
        <f>Lehrpersonen!C8</f>
        <v>0</v>
      </c>
      <c r="D8" s="849">
        <f>Lehrpersonen!D8</f>
        <v>0</v>
      </c>
      <c r="E8" s="806"/>
      <c r="F8" s="862">
        <f>Lehrpersonen!Q8</f>
        <v>0</v>
      </c>
      <c r="G8" s="800">
        <f>Lehrpersonen!E8</f>
        <v>0</v>
      </c>
      <c r="H8" s="801">
        <f>Lehrpersonen!H8</f>
        <v>0</v>
      </c>
      <c r="I8" s="801">
        <f>Lehrpersonen!K8</f>
        <v>0</v>
      </c>
      <c r="J8" s="801">
        <f>Lehrpersonen!J8</f>
        <v>0</v>
      </c>
      <c r="K8" s="802">
        <f>Lehrpersonen!L8</f>
        <v>0</v>
      </c>
      <c r="L8" s="801">
        <f>Lehrpersonen!M8</f>
        <v>0</v>
      </c>
      <c r="M8" s="801">
        <f>Lehrpersonen!O8</f>
        <v>0</v>
      </c>
      <c r="N8" s="801">
        <f>Lehrpersonen!I8</f>
        <v>0</v>
      </c>
      <c r="O8" s="801">
        <f>Lehrpersonen!G8</f>
        <v>0</v>
      </c>
      <c r="V8" s="742"/>
    </row>
    <row r="9" spans="1:30" ht="23.25" customHeight="1" x14ac:dyDescent="0.25">
      <c r="A9" s="803">
        <f>Lehrpersonen!A9</f>
        <v>0</v>
      </c>
      <c r="B9" s="804">
        <f>Lehrpersonen!B9</f>
        <v>0</v>
      </c>
      <c r="C9" s="805">
        <f>Lehrpersonen!C9</f>
        <v>0</v>
      </c>
      <c r="D9" s="849">
        <f>Lehrpersonen!D9</f>
        <v>0</v>
      </c>
      <c r="E9" s="806"/>
      <c r="F9" s="862">
        <f>Lehrpersonen!Q9</f>
        <v>0</v>
      </c>
      <c r="G9" s="800">
        <f>Lehrpersonen!E9</f>
        <v>0</v>
      </c>
      <c r="H9" s="801">
        <f>Lehrpersonen!H9</f>
        <v>0</v>
      </c>
      <c r="I9" s="801">
        <f>Lehrpersonen!K9</f>
        <v>0</v>
      </c>
      <c r="J9" s="801">
        <f>Lehrpersonen!J9</f>
        <v>0</v>
      </c>
      <c r="K9" s="802">
        <f>Lehrpersonen!L9</f>
        <v>0</v>
      </c>
      <c r="L9" s="801">
        <f>Lehrpersonen!M9</f>
        <v>0</v>
      </c>
      <c r="M9" s="801">
        <f>Lehrpersonen!O9</f>
        <v>0</v>
      </c>
      <c r="N9" s="801">
        <f>Lehrpersonen!I9</f>
        <v>0</v>
      </c>
      <c r="O9" s="801">
        <f>Lehrpersonen!G9</f>
        <v>0</v>
      </c>
      <c r="Q9" s="593"/>
    </row>
    <row r="10" spans="1:30" ht="23.25" customHeight="1" x14ac:dyDescent="0.25">
      <c r="A10" s="803">
        <f>Lehrpersonen!A10</f>
        <v>0</v>
      </c>
      <c r="B10" s="804">
        <f>Lehrpersonen!B10</f>
        <v>0</v>
      </c>
      <c r="C10" s="805">
        <f>Lehrpersonen!C10</f>
        <v>0</v>
      </c>
      <c r="D10" s="849">
        <f>Lehrpersonen!D10</f>
        <v>0</v>
      </c>
      <c r="E10" s="806"/>
      <c r="F10" s="862">
        <f>Lehrpersonen!Q10</f>
        <v>0</v>
      </c>
      <c r="G10" s="800">
        <f>Lehrpersonen!E10</f>
        <v>0</v>
      </c>
      <c r="H10" s="801">
        <f>Lehrpersonen!H10</f>
        <v>0</v>
      </c>
      <c r="I10" s="801">
        <f>Lehrpersonen!K10</f>
        <v>0</v>
      </c>
      <c r="J10" s="801">
        <f>Lehrpersonen!J10</f>
        <v>0</v>
      </c>
      <c r="K10" s="802">
        <f>Lehrpersonen!L10</f>
        <v>0</v>
      </c>
      <c r="L10" s="801">
        <f>Lehrpersonen!M10</f>
        <v>0</v>
      </c>
      <c r="M10" s="801">
        <f>Lehrpersonen!O10</f>
        <v>0</v>
      </c>
      <c r="N10" s="801">
        <f>Lehrpersonen!I10</f>
        <v>0</v>
      </c>
      <c r="O10" s="801">
        <f>Lehrpersonen!G10</f>
        <v>0</v>
      </c>
      <c r="Q10" s="593"/>
    </row>
    <row r="11" spans="1:30" ht="23.25" customHeight="1" x14ac:dyDescent="0.25">
      <c r="A11" s="803">
        <f>Lehrpersonen!A11</f>
        <v>0</v>
      </c>
      <c r="B11" s="804">
        <f>Lehrpersonen!B11</f>
        <v>0</v>
      </c>
      <c r="C11" s="805">
        <f>Lehrpersonen!C11</f>
        <v>0</v>
      </c>
      <c r="D11" s="849">
        <f>Lehrpersonen!D11</f>
        <v>0</v>
      </c>
      <c r="E11" s="806"/>
      <c r="F11" s="862">
        <f>Lehrpersonen!Q11</f>
        <v>0</v>
      </c>
      <c r="G11" s="800">
        <f>Lehrpersonen!E11</f>
        <v>0</v>
      </c>
      <c r="H11" s="801">
        <f>Lehrpersonen!H11</f>
        <v>0</v>
      </c>
      <c r="I11" s="801">
        <f>Lehrpersonen!K11</f>
        <v>0</v>
      </c>
      <c r="J11" s="801">
        <f>Lehrpersonen!J11</f>
        <v>0</v>
      </c>
      <c r="K11" s="802">
        <f>Lehrpersonen!L11</f>
        <v>0</v>
      </c>
      <c r="L11" s="801">
        <f>Lehrpersonen!M11</f>
        <v>0</v>
      </c>
      <c r="M11" s="801">
        <f>Lehrpersonen!O11</f>
        <v>0</v>
      </c>
      <c r="N11" s="801">
        <f>Lehrpersonen!I11</f>
        <v>0</v>
      </c>
      <c r="O11" s="801">
        <f>Lehrpersonen!G11</f>
        <v>0</v>
      </c>
      <c r="Q11" s="593"/>
    </row>
    <row r="12" spans="1:30" ht="23.25" customHeight="1" x14ac:dyDescent="0.25">
      <c r="A12" s="803">
        <f>Lehrpersonen!A12</f>
        <v>0</v>
      </c>
      <c r="B12" s="804">
        <f>Lehrpersonen!B12</f>
        <v>0</v>
      </c>
      <c r="C12" s="805">
        <f>Lehrpersonen!C12</f>
        <v>0</v>
      </c>
      <c r="D12" s="849">
        <f>Lehrpersonen!D12</f>
        <v>0</v>
      </c>
      <c r="E12" s="806"/>
      <c r="F12" s="862">
        <f>Lehrpersonen!Q12</f>
        <v>0</v>
      </c>
      <c r="G12" s="800">
        <f>Lehrpersonen!E12</f>
        <v>0</v>
      </c>
      <c r="H12" s="801">
        <f>Lehrpersonen!H12</f>
        <v>0</v>
      </c>
      <c r="I12" s="801">
        <f>Lehrpersonen!K12</f>
        <v>0</v>
      </c>
      <c r="J12" s="801">
        <f>Lehrpersonen!J12</f>
        <v>0</v>
      </c>
      <c r="K12" s="802">
        <f>Lehrpersonen!L12</f>
        <v>0</v>
      </c>
      <c r="L12" s="801">
        <f>Lehrpersonen!M12</f>
        <v>0</v>
      </c>
      <c r="M12" s="801">
        <f>Lehrpersonen!O12</f>
        <v>0</v>
      </c>
      <c r="N12" s="801">
        <f>Lehrpersonen!I12</f>
        <v>0</v>
      </c>
      <c r="O12" s="801">
        <f>Lehrpersonen!G12</f>
        <v>0</v>
      </c>
      <c r="Q12" s="593"/>
    </row>
    <row r="13" spans="1:30" ht="23.25" customHeight="1" x14ac:dyDescent="0.25">
      <c r="A13" s="803">
        <f>Lehrpersonen!A13</f>
        <v>0</v>
      </c>
      <c r="B13" s="804">
        <f>Lehrpersonen!B13</f>
        <v>0</v>
      </c>
      <c r="C13" s="805">
        <f>Lehrpersonen!C13</f>
        <v>0</v>
      </c>
      <c r="D13" s="849">
        <f>Lehrpersonen!D13</f>
        <v>0</v>
      </c>
      <c r="E13" s="806"/>
      <c r="F13" s="862">
        <f>Lehrpersonen!Q13</f>
        <v>0</v>
      </c>
      <c r="G13" s="800">
        <f>Lehrpersonen!E13</f>
        <v>0</v>
      </c>
      <c r="H13" s="801">
        <f>Lehrpersonen!H13</f>
        <v>0</v>
      </c>
      <c r="I13" s="801">
        <f>Lehrpersonen!K13</f>
        <v>0</v>
      </c>
      <c r="J13" s="801">
        <f>Lehrpersonen!J13</f>
        <v>0</v>
      </c>
      <c r="K13" s="802">
        <f>Lehrpersonen!L13</f>
        <v>0</v>
      </c>
      <c r="L13" s="801">
        <f>Lehrpersonen!M13</f>
        <v>0</v>
      </c>
      <c r="M13" s="801">
        <f>Lehrpersonen!O13</f>
        <v>0</v>
      </c>
      <c r="N13" s="801">
        <f>Lehrpersonen!I13</f>
        <v>0</v>
      </c>
      <c r="O13" s="801">
        <f>Lehrpersonen!G13</f>
        <v>0</v>
      </c>
      <c r="Q13" s="593"/>
    </row>
    <row r="14" spans="1:30" ht="23.25" customHeight="1" x14ac:dyDescent="0.25">
      <c r="A14" s="803">
        <f>Lehrpersonen!A14</f>
        <v>0</v>
      </c>
      <c r="B14" s="804">
        <f>Lehrpersonen!B14</f>
        <v>0</v>
      </c>
      <c r="C14" s="805">
        <f>Lehrpersonen!C14</f>
        <v>0</v>
      </c>
      <c r="D14" s="849">
        <f>Lehrpersonen!D14</f>
        <v>0</v>
      </c>
      <c r="E14" s="806"/>
      <c r="F14" s="862">
        <f>Lehrpersonen!Q14</f>
        <v>0</v>
      </c>
      <c r="G14" s="800">
        <f>Lehrpersonen!E14</f>
        <v>0</v>
      </c>
      <c r="H14" s="801">
        <f>Lehrpersonen!H14</f>
        <v>0</v>
      </c>
      <c r="I14" s="801">
        <f>Lehrpersonen!K14</f>
        <v>0</v>
      </c>
      <c r="J14" s="801">
        <f>Lehrpersonen!J14</f>
        <v>0</v>
      </c>
      <c r="K14" s="802">
        <f>Lehrpersonen!L14</f>
        <v>0</v>
      </c>
      <c r="L14" s="801">
        <f>Lehrpersonen!M14</f>
        <v>0</v>
      </c>
      <c r="M14" s="801">
        <f>Lehrpersonen!O14</f>
        <v>0</v>
      </c>
      <c r="N14" s="801">
        <f>Lehrpersonen!I14</f>
        <v>0</v>
      </c>
      <c r="O14" s="801">
        <f>Lehrpersonen!G14</f>
        <v>0</v>
      </c>
      <c r="Q14" s="593"/>
    </row>
    <row r="15" spans="1:30" ht="23.25" customHeight="1" x14ac:dyDescent="0.25">
      <c r="A15" s="803">
        <f>Lehrpersonen!A15</f>
        <v>0</v>
      </c>
      <c r="B15" s="804">
        <f>Lehrpersonen!B15</f>
        <v>0</v>
      </c>
      <c r="C15" s="805">
        <f>Lehrpersonen!C15</f>
        <v>0</v>
      </c>
      <c r="D15" s="849">
        <f>Lehrpersonen!D15</f>
        <v>0</v>
      </c>
      <c r="E15" s="806"/>
      <c r="F15" s="862">
        <f>Lehrpersonen!Q15</f>
        <v>0</v>
      </c>
      <c r="G15" s="800">
        <f>Lehrpersonen!E15</f>
        <v>0</v>
      </c>
      <c r="H15" s="801">
        <f>Lehrpersonen!H15</f>
        <v>0</v>
      </c>
      <c r="I15" s="801">
        <f>Lehrpersonen!K15</f>
        <v>0</v>
      </c>
      <c r="J15" s="801">
        <f>Lehrpersonen!J15</f>
        <v>0</v>
      </c>
      <c r="K15" s="802">
        <f>Lehrpersonen!L15</f>
        <v>0</v>
      </c>
      <c r="L15" s="801">
        <f>Lehrpersonen!M15</f>
        <v>0</v>
      </c>
      <c r="M15" s="801">
        <f>Lehrpersonen!O15</f>
        <v>0</v>
      </c>
      <c r="N15" s="801">
        <f>Lehrpersonen!I15</f>
        <v>0</v>
      </c>
      <c r="O15" s="801">
        <f>Lehrpersonen!G15</f>
        <v>0</v>
      </c>
      <c r="Q15" s="593"/>
    </row>
    <row r="16" spans="1:30" ht="23.25" customHeight="1" x14ac:dyDescent="0.25">
      <c r="A16" s="803">
        <f>Lehrpersonen!A16</f>
        <v>0</v>
      </c>
      <c r="B16" s="804">
        <f>Lehrpersonen!B16</f>
        <v>0</v>
      </c>
      <c r="C16" s="805">
        <f>Lehrpersonen!C16</f>
        <v>0</v>
      </c>
      <c r="D16" s="849">
        <f>Lehrpersonen!D16</f>
        <v>0</v>
      </c>
      <c r="E16" s="806"/>
      <c r="F16" s="862">
        <f>Lehrpersonen!Q16</f>
        <v>0</v>
      </c>
      <c r="G16" s="800">
        <f>Lehrpersonen!E16</f>
        <v>0</v>
      </c>
      <c r="H16" s="801">
        <f>Lehrpersonen!H16</f>
        <v>0</v>
      </c>
      <c r="I16" s="801">
        <f>Lehrpersonen!K16</f>
        <v>0</v>
      </c>
      <c r="J16" s="801">
        <f>Lehrpersonen!J16</f>
        <v>0</v>
      </c>
      <c r="K16" s="802">
        <f>Lehrpersonen!L16</f>
        <v>0</v>
      </c>
      <c r="L16" s="801">
        <f>Lehrpersonen!M16</f>
        <v>0</v>
      </c>
      <c r="M16" s="801">
        <f>Lehrpersonen!O16</f>
        <v>0</v>
      </c>
      <c r="N16" s="801">
        <f>Lehrpersonen!I16</f>
        <v>0</v>
      </c>
      <c r="O16" s="801">
        <f>Lehrpersonen!G16</f>
        <v>0</v>
      </c>
      <c r="Q16" s="593"/>
    </row>
    <row r="17" spans="1:17" ht="23.25" customHeight="1" x14ac:dyDescent="0.25">
      <c r="A17" s="803">
        <f>Lehrpersonen!A17</f>
        <v>0</v>
      </c>
      <c r="B17" s="804">
        <f>Lehrpersonen!B17</f>
        <v>0</v>
      </c>
      <c r="C17" s="805">
        <f>Lehrpersonen!C17</f>
        <v>0</v>
      </c>
      <c r="D17" s="849">
        <f>Lehrpersonen!D17</f>
        <v>0</v>
      </c>
      <c r="E17" s="806"/>
      <c r="F17" s="862">
        <f>Lehrpersonen!Q17</f>
        <v>0</v>
      </c>
      <c r="G17" s="800">
        <f>Lehrpersonen!E17</f>
        <v>0</v>
      </c>
      <c r="H17" s="801">
        <f>Lehrpersonen!H17</f>
        <v>0</v>
      </c>
      <c r="I17" s="801">
        <f>Lehrpersonen!K17</f>
        <v>0</v>
      </c>
      <c r="J17" s="801">
        <f>Lehrpersonen!J17</f>
        <v>0</v>
      </c>
      <c r="K17" s="802">
        <f>Lehrpersonen!L17</f>
        <v>0</v>
      </c>
      <c r="L17" s="801">
        <f>Lehrpersonen!M17</f>
        <v>0</v>
      </c>
      <c r="M17" s="801">
        <f>Lehrpersonen!O17</f>
        <v>0</v>
      </c>
      <c r="N17" s="801">
        <f>Lehrpersonen!I17</f>
        <v>0</v>
      </c>
      <c r="O17" s="801">
        <f>Lehrpersonen!G17</f>
        <v>0</v>
      </c>
      <c r="Q17" s="593"/>
    </row>
    <row r="18" spans="1:17" ht="23.25" customHeight="1" x14ac:dyDescent="0.25">
      <c r="A18" s="803">
        <f>Lehrpersonen!A18</f>
        <v>0</v>
      </c>
      <c r="B18" s="804">
        <f>Lehrpersonen!B18</f>
        <v>0</v>
      </c>
      <c r="C18" s="805">
        <f>Lehrpersonen!C18</f>
        <v>0</v>
      </c>
      <c r="D18" s="849">
        <f>Lehrpersonen!D18</f>
        <v>0</v>
      </c>
      <c r="E18" s="806"/>
      <c r="F18" s="862">
        <f>Lehrpersonen!Q18</f>
        <v>0</v>
      </c>
      <c r="G18" s="800">
        <f>Lehrpersonen!E18</f>
        <v>0</v>
      </c>
      <c r="H18" s="801">
        <f>Lehrpersonen!H18</f>
        <v>0</v>
      </c>
      <c r="I18" s="801">
        <f>Lehrpersonen!K18</f>
        <v>0</v>
      </c>
      <c r="J18" s="801">
        <f>Lehrpersonen!J18</f>
        <v>0</v>
      </c>
      <c r="K18" s="802">
        <f>Lehrpersonen!L18</f>
        <v>0</v>
      </c>
      <c r="L18" s="801">
        <f>Lehrpersonen!M18</f>
        <v>0</v>
      </c>
      <c r="M18" s="801">
        <f>Lehrpersonen!O18</f>
        <v>0</v>
      </c>
      <c r="N18" s="801">
        <f>Lehrpersonen!I18</f>
        <v>0</v>
      </c>
      <c r="O18" s="801">
        <f>Lehrpersonen!G18</f>
        <v>0</v>
      </c>
      <c r="Q18" s="593"/>
    </row>
    <row r="19" spans="1:17" ht="23.25" customHeight="1" x14ac:dyDescent="0.25">
      <c r="A19" s="803">
        <f>Lehrpersonen!A19</f>
        <v>0</v>
      </c>
      <c r="B19" s="804">
        <f>Lehrpersonen!B19</f>
        <v>0</v>
      </c>
      <c r="C19" s="805">
        <f>Lehrpersonen!C19</f>
        <v>0</v>
      </c>
      <c r="D19" s="849">
        <f>Lehrpersonen!D19</f>
        <v>0</v>
      </c>
      <c r="E19" s="806"/>
      <c r="F19" s="862">
        <f>Lehrpersonen!Q19</f>
        <v>0</v>
      </c>
      <c r="G19" s="800">
        <f>Lehrpersonen!E19</f>
        <v>0</v>
      </c>
      <c r="H19" s="801">
        <f>Lehrpersonen!H19</f>
        <v>0</v>
      </c>
      <c r="I19" s="801">
        <f>Lehrpersonen!K19</f>
        <v>0</v>
      </c>
      <c r="J19" s="801">
        <f>Lehrpersonen!J19</f>
        <v>0</v>
      </c>
      <c r="K19" s="802">
        <f>Lehrpersonen!L19</f>
        <v>0</v>
      </c>
      <c r="L19" s="801">
        <f>Lehrpersonen!M19</f>
        <v>0</v>
      </c>
      <c r="M19" s="801">
        <f>Lehrpersonen!O19</f>
        <v>0</v>
      </c>
      <c r="N19" s="801">
        <f>Lehrpersonen!I19</f>
        <v>0</v>
      </c>
      <c r="O19" s="801">
        <f>Lehrpersonen!G19</f>
        <v>0</v>
      </c>
      <c r="Q19" s="593"/>
    </row>
    <row r="20" spans="1:17" ht="23.25" customHeight="1" x14ac:dyDescent="0.25">
      <c r="A20" s="803">
        <f>Lehrpersonen!A20</f>
        <v>0</v>
      </c>
      <c r="B20" s="804">
        <f>Lehrpersonen!B20</f>
        <v>0</v>
      </c>
      <c r="C20" s="805">
        <f>Lehrpersonen!C20</f>
        <v>0</v>
      </c>
      <c r="D20" s="849">
        <f>Lehrpersonen!D20</f>
        <v>0</v>
      </c>
      <c r="E20" s="806"/>
      <c r="F20" s="862">
        <f>Lehrpersonen!Q20</f>
        <v>0</v>
      </c>
      <c r="G20" s="800">
        <f>Lehrpersonen!E20</f>
        <v>0</v>
      </c>
      <c r="H20" s="801">
        <f>Lehrpersonen!H20</f>
        <v>0</v>
      </c>
      <c r="I20" s="801">
        <f>Lehrpersonen!K20</f>
        <v>0</v>
      </c>
      <c r="J20" s="801">
        <f>Lehrpersonen!J20</f>
        <v>0</v>
      </c>
      <c r="K20" s="802">
        <f>Lehrpersonen!L20</f>
        <v>0</v>
      </c>
      <c r="L20" s="801">
        <f>Lehrpersonen!M20</f>
        <v>0</v>
      </c>
      <c r="M20" s="801">
        <f>Lehrpersonen!O20</f>
        <v>0</v>
      </c>
      <c r="N20" s="801">
        <f>Lehrpersonen!I20</f>
        <v>0</v>
      </c>
      <c r="O20" s="801">
        <f>Lehrpersonen!G20</f>
        <v>0</v>
      </c>
      <c r="Q20" s="593"/>
    </row>
    <row r="21" spans="1:17" ht="23.25" customHeight="1" x14ac:dyDescent="0.25">
      <c r="A21" s="803">
        <f>Lehrpersonen!A21</f>
        <v>0</v>
      </c>
      <c r="B21" s="804">
        <f>Lehrpersonen!B21</f>
        <v>0</v>
      </c>
      <c r="C21" s="805">
        <f>Lehrpersonen!C21</f>
        <v>0</v>
      </c>
      <c r="D21" s="849">
        <f>Lehrpersonen!D21</f>
        <v>0</v>
      </c>
      <c r="E21" s="806"/>
      <c r="F21" s="862">
        <f>Lehrpersonen!Q21</f>
        <v>0</v>
      </c>
      <c r="G21" s="800">
        <f>Lehrpersonen!E21</f>
        <v>0</v>
      </c>
      <c r="H21" s="801">
        <f>Lehrpersonen!H21</f>
        <v>0</v>
      </c>
      <c r="I21" s="801">
        <f>Lehrpersonen!K21</f>
        <v>0</v>
      </c>
      <c r="J21" s="801">
        <f>Lehrpersonen!J21</f>
        <v>0</v>
      </c>
      <c r="K21" s="802">
        <f>Lehrpersonen!L21</f>
        <v>0</v>
      </c>
      <c r="L21" s="801">
        <f>Lehrpersonen!M21</f>
        <v>0</v>
      </c>
      <c r="M21" s="801">
        <f>Lehrpersonen!O21</f>
        <v>0</v>
      </c>
      <c r="N21" s="801">
        <f>Lehrpersonen!I21</f>
        <v>0</v>
      </c>
      <c r="O21" s="801">
        <f>Lehrpersonen!G21</f>
        <v>0</v>
      </c>
      <c r="Q21" s="593"/>
    </row>
    <row r="22" spans="1:17" ht="23.25" customHeight="1" x14ac:dyDescent="0.25">
      <c r="A22" s="803">
        <f>Lehrpersonen!A22</f>
        <v>0</v>
      </c>
      <c r="B22" s="804">
        <f>Lehrpersonen!B22</f>
        <v>0</v>
      </c>
      <c r="C22" s="805">
        <f>Lehrpersonen!C22</f>
        <v>0</v>
      </c>
      <c r="D22" s="849">
        <f>Lehrpersonen!D22</f>
        <v>0</v>
      </c>
      <c r="E22" s="806"/>
      <c r="F22" s="862">
        <f>Lehrpersonen!Q22</f>
        <v>0</v>
      </c>
      <c r="G22" s="800">
        <f>Lehrpersonen!E22</f>
        <v>0</v>
      </c>
      <c r="H22" s="801">
        <f>Lehrpersonen!H22</f>
        <v>0</v>
      </c>
      <c r="I22" s="801">
        <f>Lehrpersonen!K22</f>
        <v>0</v>
      </c>
      <c r="J22" s="801">
        <f>Lehrpersonen!J22</f>
        <v>0</v>
      </c>
      <c r="K22" s="802">
        <f>Lehrpersonen!L22</f>
        <v>0</v>
      </c>
      <c r="L22" s="801">
        <f>Lehrpersonen!M22</f>
        <v>0</v>
      </c>
      <c r="M22" s="801">
        <f>Lehrpersonen!O22</f>
        <v>0</v>
      </c>
      <c r="N22" s="801">
        <f>Lehrpersonen!I22</f>
        <v>0</v>
      </c>
      <c r="O22" s="801">
        <f>Lehrpersonen!G22</f>
        <v>0</v>
      </c>
      <c r="Q22" s="593"/>
    </row>
    <row r="23" spans="1:17" ht="23.25" customHeight="1" x14ac:dyDescent="0.25">
      <c r="A23" s="803">
        <f>Lehrpersonen!A23</f>
        <v>0</v>
      </c>
      <c r="B23" s="804">
        <f>Lehrpersonen!B23</f>
        <v>0</v>
      </c>
      <c r="C23" s="805">
        <f>Lehrpersonen!C23</f>
        <v>0</v>
      </c>
      <c r="D23" s="849">
        <f>Lehrpersonen!D23</f>
        <v>0</v>
      </c>
      <c r="E23" s="806"/>
      <c r="F23" s="862">
        <f>Lehrpersonen!Q23</f>
        <v>0</v>
      </c>
      <c r="G23" s="800">
        <f>Lehrpersonen!E23</f>
        <v>0</v>
      </c>
      <c r="H23" s="801">
        <f>Lehrpersonen!H23</f>
        <v>0</v>
      </c>
      <c r="I23" s="801">
        <f>Lehrpersonen!K23</f>
        <v>0</v>
      </c>
      <c r="J23" s="801">
        <f>Lehrpersonen!J23</f>
        <v>0</v>
      </c>
      <c r="K23" s="802">
        <f>Lehrpersonen!L23</f>
        <v>0</v>
      </c>
      <c r="L23" s="801">
        <f>Lehrpersonen!M23</f>
        <v>0</v>
      </c>
      <c r="M23" s="801">
        <f>Lehrpersonen!O23</f>
        <v>0</v>
      </c>
      <c r="N23" s="801">
        <f>Lehrpersonen!I23</f>
        <v>0</v>
      </c>
      <c r="O23" s="801">
        <f>Lehrpersonen!G23</f>
        <v>0</v>
      </c>
      <c r="Q23" s="593"/>
    </row>
    <row r="24" spans="1:17" ht="23.25" customHeight="1" x14ac:dyDescent="0.25">
      <c r="A24" s="803">
        <f>Lehrpersonen!A24</f>
        <v>0</v>
      </c>
      <c r="B24" s="804">
        <f>Lehrpersonen!B24</f>
        <v>0</v>
      </c>
      <c r="C24" s="805">
        <f>Lehrpersonen!C24</f>
        <v>0</v>
      </c>
      <c r="D24" s="849">
        <f>Lehrpersonen!D24</f>
        <v>0</v>
      </c>
      <c r="E24" s="806"/>
      <c r="F24" s="862">
        <f>Lehrpersonen!Q24</f>
        <v>0</v>
      </c>
      <c r="G24" s="800">
        <f>Lehrpersonen!E24</f>
        <v>0</v>
      </c>
      <c r="H24" s="801">
        <f>Lehrpersonen!H24</f>
        <v>0</v>
      </c>
      <c r="I24" s="801">
        <f>Lehrpersonen!K24</f>
        <v>0</v>
      </c>
      <c r="J24" s="801">
        <f>Lehrpersonen!J24</f>
        <v>0</v>
      </c>
      <c r="K24" s="802">
        <f>Lehrpersonen!L24</f>
        <v>0</v>
      </c>
      <c r="L24" s="801">
        <f>Lehrpersonen!M24</f>
        <v>0</v>
      </c>
      <c r="M24" s="801">
        <f>Lehrpersonen!O24</f>
        <v>0</v>
      </c>
      <c r="N24" s="801">
        <f>Lehrpersonen!I24</f>
        <v>0</v>
      </c>
      <c r="O24" s="801">
        <f>Lehrpersonen!G24</f>
        <v>0</v>
      </c>
      <c r="Q24" s="593"/>
    </row>
    <row r="25" spans="1:17" ht="23.25" customHeight="1" x14ac:dyDescent="0.25">
      <c r="A25" s="803">
        <f>Lehrpersonen!A25</f>
        <v>0</v>
      </c>
      <c r="B25" s="804">
        <f>Lehrpersonen!B25</f>
        <v>0</v>
      </c>
      <c r="C25" s="805">
        <f>Lehrpersonen!C25</f>
        <v>0</v>
      </c>
      <c r="D25" s="849">
        <f>Lehrpersonen!D25</f>
        <v>0</v>
      </c>
      <c r="E25" s="806"/>
      <c r="F25" s="862">
        <f>Lehrpersonen!Q25</f>
        <v>0</v>
      </c>
      <c r="G25" s="800">
        <f>Lehrpersonen!E25</f>
        <v>0</v>
      </c>
      <c r="H25" s="801">
        <f>Lehrpersonen!H25</f>
        <v>0</v>
      </c>
      <c r="I25" s="801">
        <f>Lehrpersonen!K25</f>
        <v>0</v>
      </c>
      <c r="J25" s="801">
        <f>Lehrpersonen!J25</f>
        <v>0</v>
      </c>
      <c r="K25" s="802">
        <f>Lehrpersonen!L25</f>
        <v>0</v>
      </c>
      <c r="L25" s="801">
        <f>Lehrpersonen!M25</f>
        <v>0</v>
      </c>
      <c r="M25" s="801">
        <f>Lehrpersonen!O25</f>
        <v>0</v>
      </c>
      <c r="N25" s="801">
        <f>Lehrpersonen!I25</f>
        <v>0</v>
      </c>
      <c r="O25" s="801">
        <f>Lehrpersonen!G25</f>
        <v>0</v>
      </c>
      <c r="Q25" s="593"/>
    </row>
    <row r="26" spans="1:17" ht="23.25" customHeight="1" x14ac:dyDescent="0.25">
      <c r="A26" s="803">
        <f>Lehrpersonen!A26</f>
        <v>0</v>
      </c>
      <c r="B26" s="804">
        <f>Lehrpersonen!B26</f>
        <v>0</v>
      </c>
      <c r="C26" s="805">
        <f>Lehrpersonen!C26</f>
        <v>0</v>
      </c>
      <c r="D26" s="849">
        <f>Lehrpersonen!D26</f>
        <v>0</v>
      </c>
      <c r="E26" s="806"/>
      <c r="F26" s="862">
        <f>Lehrpersonen!Q26</f>
        <v>0</v>
      </c>
      <c r="G26" s="800">
        <f>Lehrpersonen!E26</f>
        <v>0</v>
      </c>
      <c r="H26" s="801">
        <f>Lehrpersonen!H26</f>
        <v>0</v>
      </c>
      <c r="I26" s="801">
        <f>Lehrpersonen!K26</f>
        <v>0</v>
      </c>
      <c r="J26" s="801">
        <f>Lehrpersonen!J26</f>
        <v>0</v>
      </c>
      <c r="K26" s="802">
        <f>Lehrpersonen!L26</f>
        <v>0</v>
      </c>
      <c r="L26" s="801">
        <f>Lehrpersonen!M26</f>
        <v>0</v>
      </c>
      <c r="M26" s="801">
        <f>Lehrpersonen!O26</f>
        <v>0</v>
      </c>
      <c r="N26" s="801">
        <f>Lehrpersonen!I26</f>
        <v>0</v>
      </c>
      <c r="O26" s="801">
        <f>Lehrpersonen!G26</f>
        <v>0</v>
      </c>
      <c r="Q26" s="593"/>
    </row>
    <row r="27" spans="1:17" ht="23.25" customHeight="1" x14ac:dyDescent="0.25">
      <c r="A27" s="803">
        <f>Lehrpersonen!A27</f>
        <v>0</v>
      </c>
      <c r="B27" s="804">
        <f>Lehrpersonen!B27</f>
        <v>0</v>
      </c>
      <c r="C27" s="805">
        <f>Lehrpersonen!C27</f>
        <v>0</v>
      </c>
      <c r="D27" s="849">
        <f>Lehrpersonen!D27</f>
        <v>0</v>
      </c>
      <c r="E27" s="806"/>
      <c r="F27" s="862">
        <f>Lehrpersonen!Q27</f>
        <v>0</v>
      </c>
      <c r="G27" s="800">
        <f>Lehrpersonen!E27</f>
        <v>0</v>
      </c>
      <c r="H27" s="801">
        <f>Lehrpersonen!H27</f>
        <v>0</v>
      </c>
      <c r="I27" s="801">
        <f>Lehrpersonen!K27</f>
        <v>0</v>
      </c>
      <c r="J27" s="801">
        <f>Lehrpersonen!J27</f>
        <v>0</v>
      </c>
      <c r="K27" s="802">
        <f>Lehrpersonen!L27</f>
        <v>0</v>
      </c>
      <c r="L27" s="801">
        <f>Lehrpersonen!M27</f>
        <v>0</v>
      </c>
      <c r="M27" s="801">
        <f>Lehrpersonen!O27</f>
        <v>0</v>
      </c>
      <c r="N27" s="801">
        <f>Lehrpersonen!I27</f>
        <v>0</v>
      </c>
      <c r="O27" s="801">
        <f>Lehrpersonen!G27</f>
        <v>0</v>
      </c>
      <c r="Q27" s="593"/>
    </row>
    <row r="28" spans="1:17" ht="23.25" customHeight="1" x14ac:dyDescent="0.25">
      <c r="A28" s="803">
        <f>Lehrpersonen!A28</f>
        <v>0</v>
      </c>
      <c r="B28" s="804">
        <f>Lehrpersonen!B28</f>
        <v>0</v>
      </c>
      <c r="C28" s="805">
        <f>Lehrpersonen!C28</f>
        <v>0</v>
      </c>
      <c r="D28" s="849">
        <f>Lehrpersonen!D28</f>
        <v>0</v>
      </c>
      <c r="E28" s="806"/>
      <c r="F28" s="862">
        <f>Lehrpersonen!Q28</f>
        <v>0</v>
      </c>
      <c r="G28" s="800">
        <f>Lehrpersonen!E28</f>
        <v>0</v>
      </c>
      <c r="H28" s="801">
        <f>Lehrpersonen!H28</f>
        <v>0</v>
      </c>
      <c r="I28" s="801">
        <f>Lehrpersonen!K28</f>
        <v>0</v>
      </c>
      <c r="J28" s="801">
        <f>Lehrpersonen!J28</f>
        <v>0</v>
      </c>
      <c r="K28" s="802">
        <f>Lehrpersonen!L28</f>
        <v>0</v>
      </c>
      <c r="L28" s="801">
        <f>Lehrpersonen!M28</f>
        <v>0</v>
      </c>
      <c r="M28" s="801">
        <f>Lehrpersonen!O28</f>
        <v>0</v>
      </c>
      <c r="N28" s="801">
        <f>Lehrpersonen!I28</f>
        <v>0</v>
      </c>
      <c r="O28" s="801">
        <f>Lehrpersonen!G28</f>
        <v>0</v>
      </c>
      <c r="Q28" s="593"/>
    </row>
    <row r="29" spans="1:17" ht="23.25" customHeight="1" x14ac:dyDescent="0.25">
      <c r="A29" s="803">
        <f>Lehrpersonen!A29</f>
        <v>0</v>
      </c>
      <c r="B29" s="804">
        <f>Lehrpersonen!B29</f>
        <v>0</v>
      </c>
      <c r="C29" s="805">
        <f>Lehrpersonen!C29</f>
        <v>0</v>
      </c>
      <c r="D29" s="849">
        <f>Lehrpersonen!D29</f>
        <v>0</v>
      </c>
      <c r="E29" s="806"/>
      <c r="F29" s="862">
        <f>Lehrpersonen!Q29</f>
        <v>0</v>
      </c>
      <c r="G29" s="800">
        <f>Lehrpersonen!E29</f>
        <v>0</v>
      </c>
      <c r="H29" s="801">
        <f>Lehrpersonen!H29</f>
        <v>0</v>
      </c>
      <c r="I29" s="801">
        <f>Lehrpersonen!K29</f>
        <v>0</v>
      </c>
      <c r="J29" s="801">
        <f>Lehrpersonen!J29</f>
        <v>0</v>
      </c>
      <c r="K29" s="802">
        <f>Lehrpersonen!L29</f>
        <v>0</v>
      </c>
      <c r="L29" s="801">
        <f>Lehrpersonen!M29</f>
        <v>0</v>
      </c>
      <c r="M29" s="801">
        <f>Lehrpersonen!O29</f>
        <v>0</v>
      </c>
      <c r="N29" s="801">
        <f>Lehrpersonen!I29</f>
        <v>0</v>
      </c>
      <c r="O29" s="801">
        <f>Lehrpersonen!G29</f>
        <v>0</v>
      </c>
      <c r="Q29" s="593"/>
    </row>
    <row r="30" spans="1:17" ht="23.25" customHeight="1" x14ac:dyDescent="0.25">
      <c r="A30" s="803">
        <f>Lehrpersonen!A30</f>
        <v>0</v>
      </c>
      <c r="B30" s="804">
        <f>Lehrpersonen!B30</f>
        <v>0</v>
      </c>
      <c r="C30" s="805">
        <f>Lehrpersonen!C30</f>
        <v>0</v>
      </c>
      <c r="D30" s="849">
        <f>Lehrpersonen!D30</f>
        <v>0</v>
      </c>
      <c r="E30" s="806"/>
      <c r="F30" s="862">
        <f>Lehrpersonen!Q30</f>
        <v>0</v>
      </c>
      <c r="G30" s="800">
        <f>Lehrpersonen!E30</f>
        <v>0</v>
      </c>
      <c r="H30" s="801">
        <f>Lehrpersonen!H30</f>
        <v>0</v>
      </c>
      <c r="I30" s="801">
        <f>Lehrpersonen!K30</f>
        <v>0</v>
      </c>
      <c r="J30" s="801">
        <f>Lehrpersonen!J30</f>
        <v>0</v>
      </c>
      <c r="K30" s="802">
        <f>Lehrpersonen!L30</f>
        <v>0</v>
      </c>
      <c r="L30" s="801">
        <f>Lehrpersonen!M30</f>
        <v>0</v>
      </c>
      <c r="M30" s="801">
        <f>Lehrpersonen!O30</f>
        <v>0</v>
      </c>
      <c r="N30" s="801">
        <f>Lehrpersonen!I30</f>
        <v>0</v>
      </c>
      <c r="O30" s="801">
        <f>Lehrpersonen!G30</f>
        <v>0</v>
      </c>
      <c r="Q30" s="593"/>
    </row>
    <row r="31" spans="1:17" ht="23.25" customHeight="1" x14ac:dyDescent="0.25">
      <c r="A31" s="803">
        <f>Lehrpersonen!A31</f>
        <v>0</v>
      </c>
      <c r="B31" s="804">
        <f>Lehrpersonen!B31</f>
        <v>0</v>
      </c>
      <c r="C31" s="805">
        <f>Lehrpersonen!C31</f>
        <v>0</v>
      </c>
      <c r="D31" s="849">
        <f>Lehrpersonen!D31</f>
        <v>0</v>
      </c>
      <c r="E31" s="806"/>
      <c r="F31" s="862">
        <f>Lehrpersonen!Q31</f>
        <v>0</v>
      </c>
      <c r="G31" s="800">
        <f>Lehrpersonen!E31</f>
        <v>0</v>
      </c>
      <c r="H31" s="801">
        <f>Lehrpersonen!H31</f>
        <v>0</v>
      </c>
      <c r="I31" s="801">
        <f>Lehrpersonen!K31</f>
        <v>0</v>
      </c>
      <c r="J31" s="801">
        <f>Lehrpersonen!J31</f>
        <v>0</v>
      </c>
      <c r="K31" s="802">
        <f>Lehrpersonen!L31</f>
        <v>0</v>
      </c>
      <c r="L31" s="801">
        <f>Lehrpersonen!M31</f>
        <v>0</v>
      </c>
      <c r="M31" s="801">
        <f>Lehrpersonen!O31</f>
        <v>0</v>
      </c>
      <c r="N31" s="801">
        <f>Lehrpersonen!I31</f>
        <v>0</v>
      </c>
      <c r="O31" s="801">
        <f>Lehrpersonen!G31</f>
        <v>0</v>
      </c>
      <c r="Q31" s="593"/>
    </row>
    <row r="32" spans="1:17" ht="23.25" customHeight="1" x14ac:dyDescent="0.25">
      <c r="A32" s="803">
        <f>Lehrpersonen!A32</f>
        <v>0</v>
      </c>
      <c r="B32" s="804">
        <f>Lehrpersonen!B32</f>
        <v>0</v>
      </c>
      <c r="C32" s="805">
        <f>Lehrpersonen!C32</f>
        <v>0</v>
      </c>
      <c r="D32" s="849">
        <f>Lehrpersonen!D32</f>
        <v>0</v>
      </c>
      <c r="E32" s="806"/>
      <c r="F32" s="862">
        <f>Lehrpersonen!Q32</f>
        <v>0</v>
      </c>
      <c r="G32" s="800">
        <f>Lehrpersonen!E32</f>
        <v>0</v>
      </c>
      <c r="H32" s="801">
        <f>Lehrpersonen!H32</f>
        <v>0</v>
      </c>
      <c r="I32" s="801">
        <f>Lehrpersonen!K32</f>
        <v>0</v>
      </c>
      <c r="J32" s="801">
        <f>Lehrpersonen!J32</f>
        <v>0</v>
      </c>
      <c r="K32" s="802">
        <f>Lehrpersonen!L32</f>
        <v>0</v>
      </c>
      <c r="L32" s="801">
        <f>Lehrpersonen!M32</f>
        <v>0</v>
      </c>
      <c r="M32" s="801">
        <f>Lehrpersonen!O32</f>
        <v>0</v>
      </c>
      <c r="N32" s="801">
        <f>Lehrpersonen!I32</f>
        <v>0</v>
      </c>
      <c r="O32" s="801">
        <f>Lehrpersonen!G32</f>
        <v>0</v>
      </c>
      <c r="Q32" s="593"/>
    </row>
    <row r="33" spans="1:17" ht="23.25" customHeight="1" x14ac:dyDescent="0.25">
      <c r="A33" s="803">
        <f>Lehrpersonen!A33</f>
        <v>0</v>
      </c>
      <c r="B33" s="804">
        <f>Lehrpersonen!B33</f>
        <v>0</v>
      </c>
      <c r="C33" s="805">
        <f>Lehrpersonen!C33</f>
        <v>0</v>
      </c>
      <c r="D33" s="849">
        <f>Lehrpersonen!D33</f>
        <v>0</v>
      </c>
      <c r="E33" s="806"/>
      <c r="F33" s="862">
        <f>Lehrpersonen!Q33</f>
        <v>0</v>
      </c>
      <c r="G33" s="800">
        <f>Lehrpersonen!E33</f>
        <v>0</v>
      </c>
      <c r="H33" s="801">
        <f>Lehrpersonen!H33</f>
        <v>0</v>
      </c>
      <c r="I33" s="801">
        <f>Lehrpersonen!K33</f>
        <v>0</v>
      </c>
      <c r="J33" s="801">
        <f>Lehrpersonen!J33</f>
        <v>0</v>
      </c>
      <c r="K33" s="802">
        <f>Lehrpersonen!L33</f>
        <v>0</v>
      </c>
      <c r="L33" s="801">
        <f>Lehrpersonen!M33</f>
        <v>0</v>
      </c>
      <c r="M33" s="801">
        <f>Lehrpersonen!O33</f>
        <v>0</v>
      </c>
      <c r="N33" s="801">
        <f>Lehrpersonen!I33</f>
        <v>0</v>
      </c>
      <c r="O33" s="801">
        <f>Lehrpersonen!G33</f>
        <v>0</v>
      </c>
      <c r="Q33" s="593"/>
    </row>
    <row r="34" spans="1:17" ht="23.25" customHeight="1" x14ac:dyDescent="0.25">
      <c r="A34" s="803">
        <f>Lehrpersonen!A34</f>
        <v>0</v>
      </c>
      <c r="B34" s="804">
        <f>Lehrpersonen!B34</f>
        <v>0</v>
      </c>
      <c r="C34" s="805">
        <f>Lehrpersonen!C34</f>
        <v>0</v>
      </c>
      <c r="D34" s="849">
        <f>Lehrpersonen!D34</f>
        <v>0</v>
      </c>
      <c r="E34" s="806"/>
      <c r="F34" s="862">
        <f>Lehrpersonen!Q34</f>
        <v>0</v>
      </c>
      <c r="G34" s="800">
        <f>Lehrpersonen!E34</f>
        <v>0</v>
      </c>
      <c r="H34" s="801">
        <f>Lehrpersonen!H34</f>
        <v>0</v>
      </c>
      <c r="I34" s="801">
        <f>Lehrpersonen!K34</f>
        <v>0</v>
      </c>
      <c r="J34" s="801">
        <f>Lehrpersonen!J34</f>
        <v>0</v>
      </c>
      <c r="K34" s="802">
        <f>Lehrpersonen!L34</f>
        <v>0</v>
      </c>
      <c r="L34" s="801">
        <f>Lehrpersonen!M34</f>
        <v>0</v>
      </c>
      <c r="M34" s="801">
        <f>Lehrpersonen!O34</f>
        <v>0</v>
      </c>
      <c r="N34" s="801">
        <f>Lehrpersonen!I34</f>
        <v>0</v>
      </c>
      <c r="O34" s="801">
        <f>Lehrpersonen!G34</f>
        <v>0</v>
      </c>
      <c r="Q34" s="593"/>
    </row>
    <row r="35" spans="1:17" ht="23.25" customHeight="1" x14ac:dyDescent="0.25">
      <c r="A35" s="803">
        <f>Lehrpersonen!A35</f>
        <v>0</v>
      </c>
      <c r="B35" s="804">
        <f>Lehrpersonen!B35</f>
        <v>0</v>
      </c>
      <c r="C35" s="805">
        <f>Lehrpersonen!C35</f>
        <v>0</v>
      </c>
      <c r="D35" s="849">
        <f>Lehrpersonen!D35</f>
        <v>0</v>
      </c>
      <c r="E35" s="806"/>
      <c r="F35" s="862">
        <f>Lehrpersonen!Q35</f>
        <v>0</v>
      </c>
      <c r="G35" s="800">
        <f>Lehrpersonen!E35</f>
        <v>0</v>
      </c>
      <c r="H35" s="801">
        <f>Lehrpersonen!H35</f>
        <v>0</v>
      </c>
      <c r="I35" s="801">
        <f>Lehrpersonen!K35</f>
        <v>0</v>
      </c>
      <c r="J35" s="801">
        <f>Lehrpersonen!J35</f>
        <v>0</v>
      </c>
      <c r="K35" s="802">
        <f>Lehrpersonen!L35</f>
        <v>0</v>
      </c>
      <c r="L35" s="801">
        <f>Lehrpersonen!M35</f>
        <v>0</v>
      </c>
      <c r="M35" s="801">
        <f>Lehrpersonen!O35</f>
        <v>0</v>
      </c>
      <c r="N35" s="801">
        <f>Lehrpersonen!I35</f>
        <v>0</v>
      </c>
      <c r="O35" s="801">
        <f>Lehrpersonen!G35</f>
        <v>0</v>
      </c>
      <c r="Q35" s="593"/>
    </row>
    <row r="36" spans="1:17" ht="23.25" customHeight="1" x14ac:dyDescent="0.25">
      <c r="A36" s="803">
        <f>Lehrpersonen!A36</f>
        <v>0</v>
      </c>
      <c r="B36" s="804">
        <f>Lehrpersonen!B36</f>
        <v>0</v>
      </c>
      <c r="C36" s="805">
        <f>Lehrpersonen!C36</f>
        <v>0</v>
      </c>
      <c r="D36" s="849">
        <f>Lehrpersonen!D36</f>
        <v>0</v>
      </c>
      <c r="E36" s="806"/>
      <c r="F36" s="862">
        <f>Lehrpersonen!Q36</f>
        <v>0</v>
      </c>
      <c r="G36" s="800">
        <f>Lehrpersonen!E36</f>
        <v>0</v>
      </c>
      <c r="H36" s="801">
        <f>Lehrpersonen!H36</f>
        <v>0</v>
      </c>
      <c r="I36" s="801">
        <f>Lehrpersonen!K36</f>
        <v>0</v>
      </c>
      <c r="J36" s="801">
        <f>Lehrpersonen!J36</f>
        <v>0</v>
      </c>
      <c r="K36" s="802">
        <f>Lehrpersonen!L36</f>
        <v>0</v>
      </c>
      <c r="L36" s="801">
        <f>Lehrpersonen!M36</f>
        <v>0</v>
      </c>
      <c r="M36" s="801">
        <f>Lehrpersonen!O36</f>
        <v>0</v>
      </c>
      <c r="N36" s="801">
        <f>Lehrpersonen!I36</f>
        <v>0</v>
      </c>
      <c r="O36" s="801">
        <f>Lehrpersonen!G36</f>
        <v>0</v>
      </c>
      <c r="Q36" s="593"/>
    </row>
    <row r="37" spans="1:17" ht="23.25" customHeight="1" x14ac:dyDescent="0.25">
      <c r="A37" s="803">
        <f>Lehrpersonen!A37</f>
        <v>0</v>
      </c>
      <c r="B37" s="804">
        <f>Lehrpersonen!B37</f>
        <v>0</v>
      </c>
      <c r="C37" s="805">
        <f>Lehrpersonen!C37</f>
        <v>0</v>
      </c>
      <c r="D37" s="849">
        <f>Lehrpersonen!D37</f>
        <v>0</v>
      </c>
      <c r="E37" s="806"/>
      <c r="F37" s="862">
        <f>Lehrpersonen!Q37</f>
        <v>0</v>
      </c>
      <c r="G37" s="800">
        <f>Lehrpersonen!E37</f>
        <v>0</v>
      </c>
      <c r="H37" s="801">
        <f>Lehrpersonen!H37</f>
        <v>0</v>
      </c>
      <c r="I37" s="801">
        <f>Lehrpersonen!K37</f>
        <v>0</v>
      </c>
      <c r="J37" s="801">
        <f>Lehrpersonen!J37</f>
        <v>0</v>
      </c>
      <c r="K37" s="802">
        <f>Lehrpersonen!L37</f>
        <v>0</v>
      </c>
      <c r="L37" s="801">
        <f>Lehrpersonen!M37</f>
        <v>0</v>
      </c>
      <c r="M37" s="801">
        <f>Lehrpersonen!O37</f>
        <v>0</v>
      </c>
      <c r="N37" s="801">
        <f>Lehrpersonen!I37</f>
        <v>0</v>
      </c>
      <c r="O37" s="801">
        <f>Lehrpersonen!G37</f>
        <v>0</v>
      </c>
      <c r="Q37" s="593"/>
    </row>
    <row r="38" spans="1:17" ht="23.25" customHeight="1" x14ac:dyDescent="0.25">
      <c r="A38" s="803">
        <f>Lehrpersonen!A38</f>
        <v>0</v>
      </c>
      <c r="B38" s="804">
        <f>Lehrpersonen!B38</f>
        <v>0</v>
      </c>
      <c r="C38" s="805">
        <f>Lehrpersonen!C38</f>
        <v>0</v>
      </c>
      <c r="D38" s="849">
        <f>Lehrpersonen!D38</f>
        <v>0</v>
      </c>
      <c r="E38" s="806"/>
      <c r="F38" s="862">
        <f>Lehrpersonen!Q38</f>
        <v>0</v>
      </c>
      <c r="G38" s="800">
        <f>Lehrpersonen!E38</f>
        <v>0</v>
      </c>
      <c r="H38" s="801">
        <f>Lehrpersonen!H38</f>
        <v>0</v>
      </c>
      <c r="I38" s="801">
        <f>Lehrpersonen!K38</f>
        <v>0</v>
      </c>
      <c r="J38" s="801">
        <f>Lehrpersonen!J38</f>
        <v>0</v>
      </c>
      <c r="K38" s="802">
        <f>Lehrpersonen!L38</f>
        <v>0</v>
      </c>
      <c r="L38" s="801">
        <f>Lehrpersonen!M38</f>
        <v>0</v>
      </c>
      <c r="M38" s="801">
        <f>Lehrpersonen!O38</f>
        <v>0</v>
      </c>
      <c r="N38" s="801">
        <f>Lehrpersonen!I38</f>
        <v>0</v>
      </c>
      <c r="O38" s="801">
        <f>Lehrpersonen!G38</f>
        <v>0</v>
      </c>
      <c r="Q38" s="593"/>
    </row>
    <row r="39" spans="1:17" ht="23.25" customHeight="1" x14ac:dyDescent="0.25">
      <c r="A39" s="803">
        <f>Lehrpersonen!A39</f>
        <v>0</v>
      </c>
      <c r="B39" s="804">
        <f>Lehrpersonen!B39</f>
        <v>0</v>
      </c>
      <c r="C39" s="805">
        <f>Lehrpersonen!C39</f>
        <v>0</v>
      </c>
      <c r="D39" s="849">
        <f>Lehrpersonen!D39</f>
        <v>0</v>
      </c>
      <c r="E39" s="806"/>
      <c r="F39" s="862">
        <f>Lehrpersonen!Q39</f>
        <v>0</v>
      </c>
      <c r="G39" s="800">
        <f>Lehrpersonen!E39</f>
        <v>0</v>
      </c>
      <c r="H39" s="801">
        <f>Lehrpersonen!H39</f>
        <v>0</v>
      </c>
      <c r="I39" s="801">
        <f>Lehrpersonen!K39</f>
        <v>0</v>
      </c>
      <c r="J39" s="801">
        <f>Lehrpersonen!J39</f>
        <v>0</v>
      </c>
      <c r="K39" s="802">
        <f>Lehrpersonen!L39</f>
        <v>0</v>
      </c>
      <c r="L39" s="801">
        <f>Lehrpersonen!M39</f>
        <v>0</v>
      </c>
      <c r="M39" s="801">
        <f>Lehrpersonen!O39</f>
        <v>0</v>
      </c>
      <c r="N39" s="801">
        <f>Lehrpersonen!I39</f>
        <v>0</v>
      </c>
      <c r="O39" s="801">
        <f>Lehrpersonen!G39</f>
        <v>0</v>
      </c>
      <c r="Q39" s="593"/>
    </row>
    <row r="40" spans="1:17" ht="23.25" customHeight="1" x14ac:dyDescent="0.25">
      <c r="A40" s="803">
        <f>Lehrpersonen!A40</f>
        <v>0</v>
      </c>
      <c r="B40" s="804">
        <f>Lehrpersonen!B40</f>
        <v>0</v>
      </c>
      <c r="C40" s="805">
        <f>Lehrpersonen!C40</f>
        <v>0</v>
      </c>
      <c r="D40" s="849">
        <f>Lehrpersonen!D40</f>
        <v>0</v>
      </c>
      <c r="E40" s="806"/>
      <c r="F40" s="862">
        <f>Lehrpersonen!Q40</f>
        <v>0</v>
      </c>
      <c r="G40" s="800">
        <f>Lehrpersonen!E40</f>
        <v>0</v>
      </c>
      <c r="H40" s="801">
        <f>Lehrpersonen!H40</f>
        <v>0</v>
      </c>
      <c r="I40" s="801">
        <f>Lehrpersonen!K40</f>
        <v>0</v>
      </c>
      <c r="J40" s="801">
        <f>Lehrpersonen!J40</f>
        <v>0</v>
      </c>
      <c r="K40" s="802">
        <f>Lehrpersonen!L40</f>
        <v>0</v>
      </c>
      <c r="L40" s="801">
        <f>Lehrpersonen!M40</f>
        <v>0</v>
      </c>
      <c r="M40" s="801">
        <f>Lehrpersonen!O40</f>
        <v>0</v>
      </c>
      <c r="N40" s="801">
        <f>Lehrpersonen!I40</f>
        <v>0</v>
      </c>
      <c r="O40" s="801">
        <f>Lehrpersonen!G40</f>
        <v>0</v>
      </c>
      <c r="Q40" s="593"/>
    </row>
    <row r="41" spans="1:17" ht="23.25" customHeight="1" x14ac:dyDescent="0.25">
      <c r="A41" s="803">
        <f>Lehrpersonen!A41</f>
        <v>0</v>
      </c>
      <c r="B41" s="804">
        <f>Lehrpersonen!B41</f>
        <v>0</v>
      </c>
      <c r="C41" s="805">
        <f>Lehrpersonen!C41</f>
        <v>0</v>
      </c>
      <c r="D41" s="849">
        <f>Lehrpersonen!D41</f>
        <v>0</v>
      </c>
      <c r="E41" s="806"/>
      <c r="F41" s="862">
        <f>Lehrpersonen!Q41</f>
        <v>0</v>
      </c>
      <c r="G41" s="800">
        <f>Lehrpersonen!E41</f>
        <v>0</v>
      </c>
      <c r="H41" s="801">
        <f>Lehrpersonen!H41</f>
        <v>0</v>
      </c>
      <c r="I41" s="801">
        <f>Lehrpersonen!K41</f>
        <v>0</v>
      </c>
      <c r="J41" s="801">
        <f>Lehrpersonen!J41</f>
        <v>0</v>
      </c>
      <c r="K41" s="802">
        <f>Lehrpersonen!L41</f>
        <v>0</v>
      </c>
      <c r="L41" s="801">
        <f>Lehrpersonen!M41</f>
        <v>0</v>
      </c>
      <c r="M41" s="801">
        <f>Lehrpersonen!O41</f>
        <v>0</v>
      </c>
      <c r="N41" s="801">
        <f>Lehrpersonen!I41</f>
        <v>0</v>
      </c>
      <c r="O41" s="801">
        <f>Lehrpersonen!G41</f>
        <v>0</v>
      </c>
      <c r="Q41" s="593"/>
    </row>
    <row r="42" spans="1:17" ht="23.25" customHeight="1" x14ac:dyDescent="0.25">
      <c r="A42" s="803">
        <f>Lehrpersonen!A42</f>
        <v>0</v>
      </c>
      <c r="B42" s="804">
        <f>Lehrpersonen!B42</f>
        <v>0</v>
      </c>
      <c r="C42" s="805">
        <f>Lehrpersonen!C42</f>
        <v>0</v>
      </c>
      <c r="D42" s="849">
        <f>Lehrpersonen!D42</f>
        <v>0</v>
      </c>
      <c r="E42" s="806"/>
      <c r="F42" s="862">
        <f>Lehrpersonen!Q42</f>
        <v>0</v>
      </c>
      <c r="G42" s="800">
        <f>Lehrpersonen!E42</f>
        <v>0</v>
      </c>
      <c r="H42" s="801">
        <f>Lehrpersonen!H42</f>
        <v>0</v>
      </c>
      <c r="I42" s="801">
        <f>Lehrpersonen!K42</f>
        <v>0</v>
      </c>
      <c r="J42" s="801">
        <f>Lehrpersonen!J42</f>
        <v>0</v>
      </c>
      <c r="K42" s="802">
        <f>Lehrpersonen!L42</f>
        <v>0</v>
      </c>
      <c r="L42" s="801">
        <f>Lehrpersonen!M42</f>
        <v>0</v>
      </c>
      <c r="M42" s="801">
        <f>Lehrpersonen!O42</f>
        <v>0</v>
      </c>
      <c r="N42" s="801">
        <f>Lehrpersonen!I42</f>
        <v>0</v>
      </c>
      <c r="O42" s="801">
        <f>Lehrpersonen!G42</f>
        <v>0</v>
      </c>
      <c r="Q42" s="593"/>
    </row>
    <row r="43" spans="1:17" ht="23.25" customHeight="1" x14ac:dyDescent="0.25">
      <c r="A43" s="803">
        <f>Lehrpersonen!A43</f>
        <v>0</v>
      </c>
      <c r="B43" s="804">
        <f>Lehrpersonen!B43</f>
        <v>0</v>
      </c>
      <c r="C43" s="805">
        <f>Lehrpersonen!C43</f>
        <v>0</v>
      </c>
      <c r="D43" s="849">
        <f>Lehrpersonen!D43</f>
        <v>0</v>
      </c>
      <c r="E43" s="806"/>
      <c r="F43" s="862">
        <f>Lehrpersonen!Q43</f>
        <v>0</v>
      </c>
      <c r="G43" s="800">
        <f>Lehrpersonen!E43</f>
        <v>0</v>
      </c>
      <c r="H43" s="801">
        <f>Lehrpersonen!H43</f>
        <v>0</v>
      </c>
      <c r="I43" s="801">
        <f>Lehrpersonen!K43</f>
        <v>0</v>
      </c>
      <c r="J43" s="801">
        <f>Lehrpersonen!J43</f>
        <v>0</v>
      </c>
      <c r="K43" s="802">
        <f>Lehrpersonen!L43</f>
        <v>0</v>
      </c>
      <c r="L43" s="801">
        <f>Lehrpersonen!M43</f>
        <v>0</v>
      </c>
      <c r="M43" s="801">
        <f>Lehrpersonen!O43</f>
        <v>0</v>
      </c>
      <c r="N43" s="801">
        <f>Lehrpersonen!I43</f>
        <v>0</v>
      </c>
      <c r="O43" s="801">
        <f>Lehrpersonen!G43</f>
        <v>0</v>
      </c>
      <c r="Q43" s="593"/>
    </row>
    <row r="44" spans="1:17" ht="23.25" customHeight="1" x14ac:dyDescent="0.25">
      <c r="A44" s="803">
        <f>Lehrpersonen!A44</f>
        <v>0</v>
      </c>
      <c r="B44" s="804">
        <f>Lehrpersonen!B44</f>
        <v>0</v>
      </c>
      <c r="C44" s="805">
        <f>Lehrpersonen!C44</f>
        <v>0</v>
      </c>
      <c r="D44" s="849">
        <f>Lehrpersonen!D44</f>
        <v>0</v>
      </c>
      <c r="E44" s="806"/>
      <c r="F44" s="862">
        <f>Lehrpersonen!Q44</f>
        <v>0</v>
      </c>
      <c r="G44" s="800">
        <f>Lehrpersonen!E44</f>
        <v>0</v>
      </c>
      <c r="H44" s="801">
        <f>Lehrpersonen!H44</f>
        <v>0</v>
      </c>
      <c r="I44" s="801">
        <f>Lehrpersonen!K44</f>
        <v>0</v>
      </c>
      <c r="J44" s="801">
        <f>Lehrpersonen!J44</f>
        <v>0</v>
      </c>
      <c r="K44" s="802">
        <f>Lehrpersonen!L44</f>
        <v>0</v>
      </c>
      <c r="L44" s="801">
        <f>Lehrpersonen!M44</f>
        <v>0</v>
      </c>
      <c r="M44" s="801">
        <f>Lehrpersonen!O44</f>
        <v>0</v>
      </c>
      <c r="N44" s="801">
        <f>Lehrpersonen!I44</f>
        <v>0</v>
      </c>
      <c r="O44" s="801">
        <f>Lehrpersonen!G44</f>
        <v>0</v>
      </c>
      <c r="Q44" s="593"/>
    </row>
    <row r="45" spans="1:17" ht="23.25" customHeight="1" x14ac:dyDescent="0.25">
      <c r="A45" s="803">
        <f>Lehrpersonen!A45</f>
        <v>0</v>
      </c>
      <c r="B45" s="804">
        <f>Lehrpersonen!B45</f>
        <v>0</v>
      </c>
      <c r="C45" s="805">
        <f>Lehrpersonen!C45</f>
        <v>0</v>
      </c>
      <c r="D45" s="849">
        <f>Lehrpersonen!D45</f>
        <v>0</v>
      </c>
      <c r="E45" s="806"/>
      <c r="F45" s="862">
        <f>Lehrpersonen!Q45</f>
        <v>0</v>
      </c>
      <c r="G45" s="800">
        <f>Lehrpersonen!E45</f>
        <v>0</v>
      </c>
      <c r="H45" s="801">
        <f>Lehrpersonen!H45</f>
        <v>0</v>
      </c>
      <c r="I45" s="801">
        <f>Lehrpersonen!K45</f>
        <v>0</v>
      </c>
      <c r="J45" s="801">
        <f>Lehrpersonen!J45</f>
        <v>0</v>
      </c>
      <c r="K45" s="802">
        <f>Lehrpersonen!L45</f>
        <v>0</v>
      </c>
      <c r="L45" s="801">
        <f>Lehrpersonen!M45</f>
        <v>0</v>
      </c>
      <c r="M45" s="801">
        <f>Lehrpersonen!O45</f>
        <v>0</v>
      </c>
      <c r="N45" s="801">
        <f>Lehrpersonen!I45</f>
        <v>0</v>
      </c>
      <c r="O45" s="801">
        <f>Lehrpersonen!G45</f>
        <v>0</v>
      </c>
      <c r="Q45" s="593"/>
    </row>
    <row r="46" spans="1:17" ht="23.25" customHeight="1" x14ac:dyDescent="0.25">
      <c r="A46" s="803">
        <f>Lehrpersonen!A46</f>
        <v>0</v>
      </c>
      <c r="B46" s="804">
        <f>Lehrpersonen!B46</f>
        <v>0</v>
      </c>
      <c r="C46" s="805">
        <f>Lehrpersonen!C46</f>
        <v>0</v>
      </c>
      <c r="D46" s="849">
        <f>Lehrpersonen!D46</f>
        <v>0</v>
      </c>
      <c r="E46" s="806"/>
      <c r="F46" s="862">
        <f>Lehrpersonen!Q46</f>
        <v>0</v>
      </c>
      <c r="G46" s="800">
        <f>Lehrpersonen!E46</f>
        <v>0</v>
      </c>
      <c r="H46" s="801">
        <f>Lehrpersonen!H46</f>
        <v>0</v>
      </c>
      <c r="I46" s="801">
        <f>Lehrpersonen!K46</f>
        <v>0</v>
      </c>
      <c r="J46" s="801">
        <f>Lehrpersonen!J46</f>
        <v>0</v>
      </c>
      <c r="K46" s="802">
        <f>Lehrpersonen!L46</f>
        <v>0</v>
      </c>
      <c r="L46" s="801">
        <f>Lehrpersonen!M46</f>
        <v>0</v>
      </c>
      <c r="M46" s="801">
        <f>Lehrpersonen!O46</f>
        <v>0</v>
      </c>
      <c r="N46" s="801">
        <f>Lehrpersonen!I46</f>
        <v>0</v>
      </c>
      <c r="O46" s="801">
        <f>Lehrpersonen!G46</f>
        <v>0</v>
      </c>
      <c r="Q46" s="593"/>
    </row>
    <row r="47" spans="1:17" ht="23.25" customHeight="1" x14ac:dyDescent="0.25">
      <c r="A47" s="803">
        <f>Lehrpersonen!A47</f>
        <v>0</v>
      </c>
      <c r="B47" s="804">
        <f>Lehrpersonen!B47</f>
        <v>0</v>
      </c>
      <c r="C47" s="805">
        <f>Lehrpersonen!C47</f>
        <v>0</v>
      </c>
      <c r="D47" s="849">
        <f>Lehrpersonen!D47</f>
        <v>0</v>
      </c>
      <c r="E47" s="806"/>
      <c r="F47" s="862">
        <f>Lehrpersonen!Q47</f>
        <v>0</v>
      </c>
      <c r="G47" s="800">
        <f>Lehrpersonen!E47</f>
        <v>0</v>
      </c>
      <c r="H47" s="801">
        <f>Lehrpersonen!H47</f>
        <v>0</v>
      </c>
      <c r="I47" s="801">
        <f>Lehrpersonen!K47</f>
        <v>0</v>
      </c>
      <c r="J47" s="801">
        <f>Lehrpersonen!J47</f>
        <v>0</v>
      </c>
      <c r="K47" s="802">
        <f>Lehrpersonen!L47</f>
        <v>0</v>
      </c>
      <c r="L47" s="801">
        <f>Lehrpersonen!M47</f>
        <v>0</v>
      </c>
      <c r="M47" s="801">
        <f>Lehrpersonen!O47</f>
        <v>0</v>
      </c>
      <c r="N47" s="801">
        <f>Lehrpersonen!I47</f>
        <v>0</v>
      </c>
      <c r="O47" s="801">
        <f>Lehrpersonen!G47</f>
        <v>0</v>
      </c>
      <c r="Q47" s="593"/>
    </row>
    <row r="48" spans="1:17" ht="23.25" customHeight="1" x14ac:dyDescent="0.25">
      <c r="A48" s="803">
        <f>Lehrpersonen!A48</f>
        <v>0</v>
      </c>
      <c r="B48" s="804">
        <f>Lehrpersonen!B48</f>
        <v>0</v>
      </c>
      <c r="C48" s="805">
        <f>Lehrpersonen!C48</f>
        <v>0</v>
      </c>
      <c r="D48" s="849">
        <f>Lehrpersonen!D48</f>
        <v>0</v>
      </c>
      <c r="E48" s="806"/>
      <c r="F48" s="862">
        <f>Lehrpersonen!Q48</f>
        <v>0</v>
      </c>
      <c r="G48" s="800">
        <f>Lehrpersonen!E48</f>
        <v>0</v>
      </c>
      <c r="H48" s="801">
        <f>Lehrpersonen!H48</f>
        <v>0</v>
      </c>
      <c r="I48" s="801">
        <f>Lehrpersonen!K48</f>
        <v>0</v>
      </c>
      <c r="J48" s="801">
        <f>Lehrpersonen!J48</f>
        <v>0</v>
      </c>
      <c r="K48" s="802">
        <f>Lehrpersonen!L48</f>
        <v>0</v>
      </c>
      <c r="L48" s="801">
        <f>Lehrpersonen!M48</f>
        <v>0</v>
      </c>
      <c r="M48" s="801">
        <f>Lehrpersonen!O48</f>
        <v>0</v>
      </c>
      <c r="N48" s="801">
        <f>Lehrpersonen!I48</f>
        <v>0</v>
      </c>
      <c r="O48" s="801">
        <f>Lehrpersonen!G48</f>
        <v>0</v>
      </c>
      <c r="Q48" s="593"/>
    </row>
    <row r="49" spans="1:17" ht="23.25" customHeight="1" x14ac:dyDescent="0.25">
      <c r="A49" s="803">
        <f>Lehrpersonen!A49</f>
        <v>0</v>
      </c>
      <c r="B49" s="804">
        <f>Lehrpersonen!B49</f>
        <v>0</v>
      </c>
      <c r="C49" s="805">
        <f>Lehrpersonen!C49</f>
        <v>0</v>
      </c>
      <c r="D49" s="849">
        <f>Lehrpersonen!D49</f>
        <v>0</v>
      </c>
      <c r="E49" s="806"/>
      <c r="F49" s="862">
        <f>Lehrpersonen!Q49</f>
        <v>0</v>
      </c>
      <c r="G49" s="800">
        <f>Lehrpersonen!E49</f>
        <v>0</v>
      </c>
      <c r="H49" s="801">
        <f>Lehrpersonen!H49</f>
        <v>0</v>
      </c>
      <c r="I49" s="801">
        <f>Lehrpersonen!K49</f>
        <v>0</v>
      </c>
      <c r="J49" s="801">
        <f>Lehrpersonen!J49</f>
        <v>0</v>
      </c>
      <c r="K49" s="802">
        <f>Lehrpersonen!L49</f>
        <v>0</v>
      </c>
      <c r="L49" s="801">
        <f>Lehrpersonen!M49</f>
        <v>0</v>
      </c>
      <c r="M49" s="801">
        <f>Lehrpersonen!O49</f>
        <v>0</v>
      </c>
      <c r="N49" s="801">
        <f>Lehrpersonen!I49</f>
        <v>0</v>
      </c>
      <c r="O49" s="801">
        <f>Lehrpersonen!G49</f>
        <v>0</v>
      </c>
      <c r="Q49" s="593"/>
    </row>
    <row r="50" spans="1:17" ht="23.25" customHeight="1" x14ac:dyDescent="0.25">
      <c r="A50" s="803">
        <f>Lehrpersonen!A50</f>
        <v>0</v>
      </c>
      <c r="B50" s="804">
        <f>Lehrpersonen!B50</f>
        <v>0</v>
      </c>
      <c r="C50" s="805">
        <f>Lehrpersonen!C50</f>
        <v>0</v>
      </c>
      <c r="D50" s="849">
        <f>Lehrpersonen!D50</f>
        <v>0</v>
      </c>
      <c r="E50" s="806"/>
      <c r="F50" s="862">
        <f>Lehrpersonen!Q50</f>
        <v>0</v>
      </c>
      <c r="G50" s="800">
        <f>Lehrpersonen!E50</f>
        <v>0</v>
      </c>
      <c r="H50" s="801">
        <f>Lehrpersonen!H50</f>
        <v>0</v>
      </c>
      <c r="I50" s="801">
        <f>Lehrpersonen!K50</f>
        <v>0</v>
      </c>
      <c r="J50" s="801">
        <f>Lehrpersonen!J50</f>
        <v>0</v>
      </c>
      <c r="K50" s="802">
        <f>Lehrpersonen!L50</f>
        <v>0</v>
      </c>
      <c r="L50" s="801">
        <f>Lehrpersonen!M50</f>
        <v>0</v>
      </c>
      <c r="M50" s="801">
        <f>Lehrpersonen!O50</f>
        <v>0</v>
      </c>
      <c r="N50" s="801">
        <f>Lehrpersonen!I50</f>
        <v>0</v>
      </c>
      <c r="O50" s="801">
        <f>Lehrpersonen!G50</f>
        <v>0</v>
      </c>
      <c r="Q50" s="593"/>
    </row>
    <row r="51" spans="1:17" ht="23.25" customHeight="1" x14ac:dyDescent="0.25">
      <c r="A51" s="803">
        <f>Lehrpersonen!A51</f>
        <v>0</v>
      </c>
      <c r="B51" s="804">
        <f>Lehrpersonen!B51</f>
        <v>0</v>
      </c>
      <c r="C51" s="805">
        <f>Lehrpersonen!C51</f>
        <v>0</v>
      </c>
      <c r="D51" s="849">
        <f>Lehrpersonen!D51</f>
        <v>0</v>
      </c>
      <c r="E51" s="806"/>
      <c r="F51" s="862">
        <f>Lehrpersonen!Q51</f>
        <v>0</v>
      </c>
      <c r="G51" s="800">
        <f>Lehrpersonen!E51</f>
        <v>0</v>
      </c>
      <c r="H51" s="801">
        <f>Lehrpersonen!H51</f>
        <v>0</v>
      </c>
      <c r="I51" s="801">
        <f>Lehrpersonen!K51</f>
        <v>0</v>
      </c>
      <c r="J51" s="801">
        <f>Lehrpersonen!J51</f>
        <v>0</v>
      </c>
      <c r="K51" s="802">
        <f>Lehrpersonen!L51</f>
        <v>0</v>
      </c>
      <c r="L51" s="801">
        <f>Lehrpersonen!M51</f>
        <v>0</v>
      </c>
      <c r="M51" s="801">
        <f>Lehrpersonen!O51</f>
        <v>0</v>
      </c>
      <c r="N51" s="801">
        <f>Lehrpersonen!I51</f>
        <v>0</v>
      </c>
      <c r="O51" s="801">
        <f>Lehrpersonen!G51</f>
        <v>0</v>
      </c>
      <c r="Q51" s="593"/>
    </row>
    <row r="52" spans="1:17" ht="23.25" customHeight="1" x14ac:dyDescent="0.25">
      <c r="A52" s="803">
        <f>Lehrpersonen!A52</f>
        <v>0</v>
      </c>
      <c r="B52" s="804">
        <f>Lehrpersonen!B52</f>
        <v>0</v>
      </c>
      <c r="C52" s="805">
        <f>Lehrpersonen!C52</f>
        <v>0</v>
      </c>
      <c r="D52" s="849">
        <f>Lehrpersonen!D52</f>
        <v>0</v>
      </c>
      <c r="E52" s="806"/>
      <c r="F52" s="862">
        <f>Lehrpersonen!Q52</f>
        <v>0</v>
      </c>
      <c r="G52" s="800">
        <f>Lehrpersonen!E52</f>
        <v>0</v>
      </c>
      <c r="H52" s="801">
        <f>Lehrpersonen!H52</f>
        <v>0</v>
      </c>
      <c r="I52" s="801">
        <f>Lehrpersonen!K52</f>
        <v>0</v>
      </c>
      <c r="J52" s="801">
        <f>Lehrpersonen!J52</f>
        <v>0</v>
      </c>
      <c r="K52" s="802">
        <f>Lehrpersonen!L52</f>
        <v>0</v>
      </c>
      <c r="L52" s="801">
        <f>Lehrpersonen!M52</f>
        <v>0</v>
      </c>
      <c r="M52" s="801">
        <f>Lehrpersonen!O52</f>
        <v>0</v>
      </c>
      <c r="N52" s="801">
        <f>Lehrpersonen!I52</f>
        <v>0</v>
      </c>
      <c r="O52" s="801">
        <f>Lehrpersonen!G52</f>
        <v>0</v>
      </c>
      <c r="Q52" s="593"/>
    </row>
    <row r="53" spans="1:17" ht="23.25" customHeight="1" x14ac:dyDescent="0.25">
      <c r="A53" s="803">
        <f>Lehrpersonen!A53</f>
        <v>0</v>
      </c>
      <c r="B53" s="804">
        <f>Lehrpersonen!B53</f>
        <v>0</v>
      </c>
      <c r="C53" s="805">
        <f>Lehrpersonen!C53</f>
        <v>0</v>
      </c>
      <c r="D53" s="849">
        <f>Lehrpersonen!D53</f>
        <v>0</v>
      </c>
      <c r="E53" s="806"/>
      <c r="F53" s="862">
        <f>Lehrpersonen!Q53</f>
        <v>0</v>
      </c>
      <c r="G53" s="800">
        <f>Lehrpersonen!E53</f>
        <v>0</v>
      </c>
      <c r="H53" s="801">
        <f>Lehrpersonen!H53</f>
        <v>0</v>
      </c>
      <c r="I53" s="801">
        <f>Lehrpersonen!K53</f>
        <v>0</v>
      </c>
      <c r="J53" s="801">
        <f>Lehrpersonen!J53</f>
        <v>0</v>
      </c>
      <c r="K53" s="802">
        <f>Lehrpersonen!L53</f>
        <v>0</v>
      </c>
      <c r="L53" s="801">
        <f>Lehrpersonen!M53</f>
        <v>0</v>
      </c>
      <c r="M53" s="801">
        <f>Lehrpersonen!O53</f>
        <v>0</v>
      </c>
      <c r="N53" s="801">
        <f>Lehrpersonen!I53</f>
        <v>0</v>
      </c>
      <c r="O53" s="801">
        <f>Lehrpersonen!G53</f>
        <v>0</v>
      </c>
      <c r="Q53" s="593"/>
    </row>
    <row r="54" spans="1:17" ht="23.25" customHeight="1" x14ac:dyDescent="0.25">
      <c r="A54" s="803">
        <f>Lehrpersonen!A54</f>
        <v>0</v>
      </c>
      <c r="B54" s="804">
        <f>Lehrpersonen!B54</f>
        <v>0</v>
      </c>
      <c r="C54" s="805">
        <f>Lehrpersonen!C54</f>
        <v>0</v>
      </c>
      <c r="D54" s="849">
        <f>Lehrpersonen!D54</f>
        <v>0</v>
      </c>
      <c r="E54" s="806"/>
      <c r="F54" s="862">
        <f>Lehrpersonen!Q54</f>
        <v>0</v>
      </c>
      <c r="G54" s="800">
        <f>Lehrpersonen!E54</f>
        <v>0</v>
      </c>
      <c r="H54" s="801">
        <f>Lehrpersonen!H54</f>
        <v>0</v>
      </c>
      <c r="I54" s="801">
        <f>Lehrpersonen!K54</f>
        <v>0</v>
      </c>
      <c r="J54" s="801">
        <f>Lehrpersonen!J54</f>
        <v>0</v>
      </c>
      <c r="K54" s="802">
        <f>Lehrpersonen!L54</f>
        <v>0</v>
      </c>
      <c r="L54" s="801">
        <f>Lehrpersonen!M54</f>
        <v>0</v>
      </c>
      <c r="M54" s="801">
        <f>Lehrpersonen!O54</f>
        <v>0</v>
      </c>
      <c r="N54" s="801">
        <f>Lehrpersonen!I54</f>
        <v>0</v>
      </c>
      <c r="O54" s="801">
        <f>Lehrpersonen!G54</f>
        <v>0</v>
      </c>
      <c r="Q54" s="593"/>
    </row>
    <row r="55" spans="1:17" ht="23.25" customHeight="1" x14ac:dyDescent="0.25">
      <c r="A55" s="803">
        <f>Lehrpersonen!A55</f>
        <v>0</v>
      </c>
      <c r="B55" s="804">
        <f>Lehrpersonen!B55</f>
        <v>0</v>
      </c>
      <c r="C55" s="805">
        <f>Lehrpersonen!C55</f>
        <v>0</v>
      </c>
      <c r="D55" s="849">
        <f>Lehrpersonen!D55</f>
        <v>0</v>
      </c>
      <c r="E55" s="806"/>
      <c r="F55" s="862">
        <f>Lehrpersonen!Q55</f>
        <v>0</v>
      </c>
      <c r="G55" s="800">
        <f>Lehrpersonen!E55</f>
        <v>0</v>
      </c>
      <c r="H55" s="801">
        <f>Lehrpersonen!H55</f>
        <v>0</v>
      </c>
      <c r="I55" s="801">
        <f>Lehrpersonen!K55</f>
        <v>0</v>
      </c>
      <c r="J55" s="801">
        <f>Lehrpersonen!J55</f>
        <v>0</v>
      </c>
      <c r="K55" s="802">
        <f>Lehrpersonen!L55</f>
        <v>0</v>
      </c>
      <c r="L55" s="801">
        <f>Lehrpersonen!M55</f>
        <v>0</v>
      </c>
      <c r="M55" s="801">
        <f>Lehrpersonen!O55</f>
        <v>0</v>
      </c>
      <c r="N55" s="801">
        <f>Lehrpersonen!I55</f>
        <v>0</v>
      </c>
      <c r="O55" s="801">
        <f>Lehrpersonen!G55</f>
        <v>0</v>
      </c>
      <c r="Q55" s="593"/>
    </row>
    <row r="56" spans="1:17" ht="23.25" customHeight="1" x14ac:dyDescent="0.25">
      <c r="A56" s="803">
        <f>Lehrpersonen!A56</f>
        <v>0</v>
      </c>
      <c r="B56" s="804">
        <f>Lehrpersonen!B56</f>
        <v>0</v>
      </c>
      <c r="C56" s="805">
        <f>Lehrpersonen!C56</f>
        <v>0</v>
      </c>
      <c r="D56" s="849">
        <f>Lehrpersonen!D56</f>
        <v>0</v>
      </c>
      <c r="E56" s="806"/>
      <c r="F56" s="862">
        <f>Lehrpersonen!Q56</f>
        <v>0</v>
      </c>
      <c r="G56" s="800">
        <f>Lehrpersonen!E56</f>
        <v>0</v>
      </c>
      <c r="H56" s="801">
        <f>Lehrpersonen!H56</f>
        <v>0</v>
      </c>
      <c r="I56" s="801">
        <f>Lehrpersonen!K56</f>
        <v>0</v>
      </c>
      <c r="J56" s="801">
        <f>Lehrpersonen!J56</f>
        <v>0</v>
      </c>
      <c r="K56" s="802">
        <f>Lehrpersonen!L56</f>
        <v>0</v>
      </c>
      <c r="L56" s="801">
        <f>Lehrpersonen!M56</f>
        <v>0</v>
      </c>
      <c r="M56" s="801">
        <f>Lehrpersonen!O56</f>
        <v>0</v>
      </c>
      <c r="N56" s="801">
        <f>Lehrpersonen!I56</f>
        <v>0</v>
      </c>
      <c r="O56" s="801">
        <f>Lehrpersonen!G56</f>
        <v>0</v>
      </c>
      <c r="Q56" s="593"/>
    </row>
    <row r="57" spans="1:17" ht="23.25" customHeight="1" x14ac:dyDescent="0.25">
      <c r="A57" s="803">
        <f>Lehrpersonen!A57</f>
        <v>0</v>
      </c>
      <c r="B57" s="804">
        <f>Lehrpersonen!B57</f>
        <v>0</v>
      </c>
      <c r="C57" s="805">
        <f>Lehrpersonen!C57</f>
        <v>0</v>
      </c>
      <c r="D57" s="849">
        <f>Lehrpersonen!D57</f>
        <v>0</v>
      </c>
      <c r="E57" s="806"/>
      <c r="F57" s="862">
        <f>Lehrpersonen!Q57</f>
        <v>0</v>
      </c>
      <c r="G57" s="800">
        <f>Lehrpersonen!E57</f>
        <v>0</v>
      </c>
      <c r="H57" s="801">
        <f>Lehrpersonen!H57</f>
        <v>0</v>
      </c>
      <c r="I57" s="801">
        <f>Lehrpersonen!K57</f>
        <v>0</v>
      </c>
      <c r="J57" s="801">
        <f>Lehrpersonen!J57</f>
        <v>0</v>
      </c>
      <c r="K57" s="802">
        <f>Lehrpersonen!L57</f>
        <v>0</v>
      </c>
      <c r="L57" s="801">
        <f>Lehrpersonen!M57</f>
        <v>0</v>
      </c>
      <c r="M57" s="801">
        <f>Lehrpersonen!O57</f>
        <v>0</v>
      </c>
      <c r="N57" s="801">
        <f>Lehrpersonen!I57</f>
        <v>0</v>
      </c>
      <c r="O57" s="801">
        <f>Lehrpersonen!G57</f>
        <v>0</v>
      </c>
      <c r="Q57" s="593"/>
    </row>
    <row r="58" spans="1:17" ht="23.25" customHeight="1" x14ac:dyDescent="0.25">
      <c r="A58" s="803">
        <f>Lehrpersonen!A58</f>
        <v>0</v>
      </c>
      <c r="B58" s="804">
        <f>Lehrpersonen!B58</f>
        <v>0</v>
      </c>
      <c r="C58" s="805">
        <f>Lehrpersonen!C58</f>
        <v>0</v>
      </c>
      <c r="D58" s="849">
        <f>Lehrpersonen!D58</f>
        <v>0</v>
      </c>
      <c r="E58" s="806"/>
      <c r="F58" s="862">
        <f>Lehrpersonen!Q58</f>
        <v>0</v>
      </c>
      <c r="G58" s="800">
        <f>Lehrpersonen!E58</f>
        <v>0</v>
      </c>
      <c r="H58" s="801">
        <f>Lehrpersonen!H58</f>
        <v>0</v>
      </c>
      <c r="I58" s="801">
        <f>Lehrpersonen!K58</f>
        <v>0</v>
      </c>
      <c r="J58" s="801">
        <f>Lehrpersonen!J58</f>
        <v>0</v>
      </c>
      <c r="K58" s="802">
        <f>Lehrpersonen!L58</f>
        <v>0</v>
      </c>
      <c r="L58" s="801">
        <f>Lehrpersonen!M58</f>
        <v>0</v>
      </c>
      <c r="M58" s="801">
        <f>Lehrpersonen!O58</f>
        <v>0</v>
      </c>
      <c r="N58" s="801">
        <f>Lehrpersonen!I58</f>
        <v>0</v>
      </c>
      <c r="O58" s="801">
        <f>Lehrpersonen!G58</f>
        <v>0</v>
      </c>
      <c r="Q58" s="593"/>
    </row>
    <row r="59" spans="1:17" ht="23.25" customHeight="1" x14ac:dyDescent="0.25">
      <c r="A59" s="803">
        <f>Lehrpersonen!A59</f>
        <v>0</v>
      </c>
      <c r="B59" s="804">
        <f>Lehrpersonen!B59</f>
        <v>0</v>
      </c>
      <c r="C59" s="805">
        <f>Lehrpersonen!C59</f>
        <v>0</v>
      </c>
      <c r="D59" s="849">
        <f>Lehrpersonen!D59</f>
        <v>0</v>
      </c>
      <c r="E59" s="806"/>
      <c r="F59" s="862">
        <f>Lehrpersonen!Q59</f>
        <v>0</v>
      </c>
      <c r="G59" s="800">
        <f>Lehrpersonen!E59</f>
        <v>0</v>
      </c>
      <c r="H59" s="801">
        <f>Lehrpersonen!H59</f>
        <v>0</v>
      </c>
      <c r="I59" s="801">
        <f>Lehrpersonen!K59</f>
        <v>0</v>
      </c>
      <c r="J59" s="801">
        <f>Lehrpersonen!J59</f>
        <v>0</v>
      </c>
      <c r="K59" s="802">
        <f>Lehrpersonen!L59</f>
        <v>0</v>
      </c>
      <c r="L59" s="801">
        <f>Lehrpersonen!M59</f>
        <v>0</v>
      </c>
      <c r="M59" s="801">
        <f>Lehrpersonen!O59</f>
        <v>0</v>
      </c>
      <c r="N59" s="801">
        <f>Lehrpersonen!I59</f>
        <v>0</v>
      </c>
      <c r="O59" s="801">
        <f>Lehrpersonen!G59</f>
        <v>0</v>
      </c>
      <c r="Q59" s="593"/>
    </row>
    <row r="60" spans="1:17" ht="23.25" customHeight="1" x14ac:dyDescent="0.25">
      <c r="A60" s="803">
        <f>Lehrpersonen!A60</f>
        <v>0</v>
      </c>
      <c r="B60" s="804">
        <f>Lehrpersonen!B60</f>
        <v>0</v>
      </c>
      <c r="C60" s="805">
        <f>Lehrpersonen!C60</f>
        <v>0</v>
      </c>
      <c r="D60" s="849">
        <f>Lehrpersonen!D60</f>
        <v>0</v>
      </c>
      <c r="E60" s="806"/>
      <c r="F60" s="862">
        <f>Lehrpersonen!Q60</f>
        <v>0</v>
      </c>
      <c r="G60" s="800">
        <f>Lehrpersonen!E60</f>
        <v>0</v>
      </c>
      <c r="H60" s="801">
        <f>Lehrpersonen!H60</f>
        <v>0</v>
      </c>
      <c r="I60" s="801">
        <f>Lehrpersonen!K60</f>
        <v>0</v>
      </c>
      <c r="J60" s="801">
        <f>Lehrpersonen!J60</f>
        <v>0</v>
      </c>
      <c r="K60" s="802">
        <f>Lehrpersonen!L60</f>
        <v>0</v>
      </c>
      <c r="L60" s="801">
        <f>Lehrpersonen!M60</f>
        <v>0</v>
      </c>
      <c r="M60" s="801">
        <f>Lehrpersonen!O60</f>
        <v>0</v>
      </c>
      <c r="N60" s="801">
        <f>Lehrpersonen!I60</f>
        <v>0</v>
      </c>
      <c r="O60" s="801">
        <f>Lehrpersonen!G60</f>
        <v>0</v>
      </c>
      <c r="Q60" s="593"/>
    </row>
    <row r="61" spans="1:17" ht="23.25" customHeight="1" x14ac:dyDescent="0.25">
      <c r="A61" s="803">
        <f>Lehrpersonen!A61</f>
        <v>0</v>
      </c>
      <c r="B61" s="804">
        <f>Lehrpersonen!B61</f>
        <v>0</v>
      </c>
      <c r="C61" s="805">
        <f>Lehrpersonen!C61</f>
        <v>0</v>
      </c>
      <c r="D61" s="849">
        <f>Lehrpersonen!D61</f>
        <v>0</v>
      </c>
      <c r="E61" s="806"/>
      <c r="F61" s="862">
        <f>Lehrpersonen!Q61</f>
        <v>0</v>
      </c>
      <c r="G61" s="800">
        <f>Lehrpersonen!E61</f>
        <v>0</v>
      </c>
      <c r="H61" s="801">
        <f>Lehrpersonen!H61</f>
        <v>0</v>
      </c>
      <c r="I61" s="801">
        <f>Lehrpersonen!K61</f>
        <v>0</v>
      </c>
      <c r="J61" s="801">
        <f>Lehrpersonen!J61</f>
        <v>0</v>
      </c>
      <c r="K61" s="802">
        <f>Lehrpersonen!L61</f>
        <v>0</v>
      </c>
      <c r="L61" s="801">
        <f>Lehrpersonen!M61</f>
        <v>0</v>
      </c>
      <c r="M61" s="801">
        <f>Lehrpersonen!O61</f>
        <v>0</v>
      </c>
      <c r="N61" s="801">
        <f>Lehrpersonen!I61</f>
        <v>0</v>
      </c>
      <c r="O61" s="801">
        <f>Lehrpersonen!G61</f>
        <v>0</v>
      </c>
      <c r="Q61" s="593"/>
    </row>
    <row r="62" spans="1:17" ht="23.25" customHeight="1" x14ac:dyDescent="0.25">
      <c r="A62" s="803">
        <f>Lehrpersonen!A62</f>
        <v>0</v>
      </c>
      <c r="B62" s="804">
        <f>Lehrpersonen!B62</f>
        <v>0</v>
      </c>
      <c r="C62" s="805">
        <f>Lehrpersonen!C62</f>
        <v>0</v>
      </c>
      <c r="D62" s="849">
        <f>Lehrpersonen!D62</f>
        <v>0</v>
      </c>
      <c r="E62" s="806"/>
      <c r="F62" s="862">
        <f>Lehrpersonen!Q62</f>
        <v>0</v>
      </c>
      <c r="G62" s="800">
        <f>Lehrpersonen!E62</f>
        <v>0</v>
      </c>
      <c r="H62" s="801">
        <f>Lehrpersonen!H62</f>
        <v>0</v>
      </c>
      <c r="I62" s="801">
        <f>Lehrpersonen!K62</f>
        <v>0</v>
      </c>
      <c r="J62" s="801">
        <f>Lehrpersonen!J62</f>
        <v>0</v>
      </c>
      <c r="K62" s="802">
        <f>Lehrpersonen!L62</f>
        <v>0</v>
      </c>
      <c r="L62" s="801">
        <f>Lehrpersonen!M62</f>
        <v>0</v>
      </c>
      <c r="M62" s="801">
        <f>Lehrpersonen!O62</f>
        <v>0</v>
      </c>
      <c r="N62" s="801">
        <f>Lehrpersonen!I62</f>
        <v>0</v>
      </c>
      <c r="O62" s="801">
        <f>Lehrpersonen!G62</f>
        <v>0</v>
      </c>
      <c r="Q62" s="593"/>
    </row>
    <row r="63" spans="1:17" ht="23.25" customHeight="1" x14ac:dyDescent="0.25">
      <c r="A63" s="803">
        <f>Lehrpersonen!A63</f>
        <v>0</v>
      </c>
      <c r="B63" s="804">
        <f>Lehrpersonen!B63</f>
        <v>0</v>
      </c>
      <c r="C63" s="805">
        <f>Lehrpersonen!C63</f>
        <v>0</v>
      </c>
      <c r="D63" s="849">
        <f>Lehrpersonen!D63</f>
        <v>0</v>
      </c>
      <c r="E63" s="806"/>
      <c r="F63" s="862">
        <f>Lehrpersonen!Q63</f>
        <v>0</v>
      </c>
      <c r="G63" s="800">
        <f>Lehrpersonen!E63</f>
        <v>0</v>
      </c>
      <c r="H63" s="801">
        <f>Lehrpersonen!H63</f>
        <v>0</v>
      </c>
      <c r="I63" s="801">
        <f>Lehrpersonen!K63</f>
        <v>0</v>
      </c>
      <c r="J63" s="801">
        <f>Lehrpersonen!J63</f>
        <v>0</v>
      </c>
      <c r="K63" s="802">
        <f>Lehrpersonen!L63</f>
        <v>0</v>
      </c>
      <c r="L63" s="801">
        <f>Lehrpersonen!M63</f>
        <v>0</v>
      </c>
      <c r="M63" s="801">
        <f>Lehrpersonen!O63</f>
        <v>0</v>
      </c>
      <c r="N63" s="801">
        <f>Lehrpersonen!I63</f>
        <v>0</v>
      </c>
      <c r="O63" s="801">
        <f>Lehrpersonen!G63</f>
        <v>0</v>
      </c>
      <c r="Q63" s="593"/>
    </row>
    <row r="64" spans="1:17" ht="23.25" customHeight="1" x14ac:dyDescent="0.25">
      <c r="A64" s="803">
        <f>Lehrpersonen!A64</f>
        <v>0</v>
      </c>
      <c r="B64" s="804">
        <f>Lehrpersonen!B64</f>
        <v>0</v>
      </c>
      <c r="C64" s="805">
        <f>Lehrpersonen!C64</f>
        <v>0</v>
      </c>
      <c r="D64" s="849">
        <f>Lehrpersonen!D64</f>
        <v>0</v>
      </c>
      <c r="E64" s="806"/>
      <c r="F64" s="862">
        <f>Lehrpersonen!Q64</f>
        <v>0</v>
      </c>
      <c r="G64" s="800">
        <f>Lehrpersonen!E64</f>
        <v>0</v>
      </c>
      <c r="H64" s="801">
        <f>Lehrpersonen!H64</f>
        <v>0</v>
      </c>
      <c r="I64" s="801">
        <f>Lehrpersonen!K64</f>
        <v>0</v>
      </c>
      <c r="J64" s="801">
        <f>Lehrpersonen!J64</f>
        <v>0</v>
      </c>
      <c r="K64" s="802">
        <f>Lehrpersonen!L64</f>
        <v>0</v>
      </c>
      <c r="L64" s="801">
        <f>Lehrpersonen!M64</f>
        <v>0</v>
      </c>
      <c r="M64" s="801">
        <f>Lehrpersonen!O64</f>
        <v>0</v>
      </c>
      <c r="N64" s="801">
        <f>Lehrpersonen!I64</f>
        <v>0</v>
      </c>
      <c r="O64" s="801">
        <f>Lehrpersonen!G64</f>
        <v>0</v>
      </c>
      <c r="Q64" s="593"/>
    </row>
    <row r="65" spans="1:17" ht="23.25" customHeight="1" x14ac:dyDescent="0.25">
      <c r="A65" s="803">
        <f>Lehrpersonen!A65</f>
        <v>0</v>
      </c>
      <c r="B65" s="804">
        <f>Lehrpersonen!B65</f>
        <v>0</v>
      </c>
      <c r="C65" s="805">
        <f>Lehrpersonen!C65</f>
        <v>0</v>
      </c>
      <c r="D65" s="849">
        <f>Lehrpersonen!D65</f>
        <v>0</v>
      </c>
      <c r="E65" s="806"/>
      <c r="F65" s="862">
        <f>Lehrpersonen!Q65</f>
        <v>0</v>
      </c>
      <c r="G65" s="800">
        <f>Lehrpersonen!E65</f>
        <v>0</v>
      </c>
      <c r="H65" s="801">
        <f>Lehrpersonen!H65</f>
        <v>0</v>
      </c>
      <c r="I65" s="801">
        <f>Lehrpersonen!K65</f>
        <v>0</v>
      </c>
      <c r="J65" s="801">
        <f>Lehrpersonen!J65</f>
        <v>0</v>
      </c>
      <c r="K65" s="802">
        <f>Lehrpersonen!L65</f>
        <v>0</v>
      </c>
      <c r="L65" s="801">
        <f>Lehrpersonen!M65</f>
        <v>0</v>
      </c>
      <c r="M65" s="801">
        <f>Lehrpersonen!O65</f>
        <v>0</v>
      </c>
      <c r="N65" s="801">
        <f>Lehrpersonen!I65</f>
        <v>0</v>
      </c>
      <c r="O65" s="801">
        <f>Lehrpersonen!G65</f>
        <v>0</v>
      </c>
      <c r="Q65" s="593"/>
    </row>
    <row r="66" spans="1:17" ht="23.25" customHeight="1" x14ac:dyDescent="0.25">
      <c r="A66" s="803">
        <f>Lehrpersonen!A66</f>
        <v>0</v>
      </c>
      <c r="B66" s="804">
        <f>Lehrpersonen!B66</f>
        <v>0</v>
      </c>
      <c r="C66" s="805">
        <f>Lehrpersonen!C66</f>
        <v>0</v>
      </c>
      <c r="D66" s="849">
        <f>Lehrpersonen!D66</f>
        <v>0</v>
      </c>
      <c r="E66" s="806"/>
      <c r="F66" s="862">
        <f>Lehrpersonen!Q66</f>
        <v>0</v>
      </c>
      <c r="G66" s="800">
        <f>Lehrpersonen!E66</f>
        <v>0</v>
      </c>
      <c r="H66" s="801">
        <f>Lehrpersonen!H66</f>
        <v>0</v>
      </c>
      <c r="I66" s="801">
        <f>Lehrpersonen!K66</f>
        <v>0</v>
      </c>
      <c r="J66" s="801">
        <f>Lehrpersonen!J66</f>
        <v>0</v>
      </c>
      <c r="K66" s="802">
        <f>Lehrpersonen!L66</f>
        <v>0</v>
      </c>
      <c r="L66" s="801">
        <f>Lehrpersonen!M66</f>
        <v>0</v>
      </c>
      <c r="M66" s="801">
        <f>Lehrpersonen!O66</f>
        <v>0</v>
      </c>
      <c r="N66" s="801">
        <f>Lehrpersonen!I66</f>
        <v>0</v>
      </c>
      <c r="O66" s="801">
        <f>Lehrpersonen!G66</f>
        <v>0</v>
      </c>
      <c r="Q66" s="593"/>
    </row>
    <row r="67" spans="1:17" ht="23.25" customHeight="1" x14ac:dyDescent="0.25">
      <c r="A67" s="803">
        <f>Lehrpersonen!A67</f>
        <v>0</v>
      </c>
      <c r="B67" s="804">
        <f>Lehrpersonen!B67</f>
        <v>0</v>
      </c>
      <c r="C67" s="805">
        <f>Lehrpersonen!C67</f>
        <v>0</v>
      </c>
      <c r="D67" s="849">
        <f>Lehrpersonen!D67</f>
        <v>0</v>
      </c>
      <c r="E67" s="806"/>
      <c r="F67" s="862">
        <f>Lehrpersonen!Q67</f>
        <v>0</v>
      </c>
      <c r="G67" s="800">
        <f>Lehrpersonen!E67</f>
        <v>0</v>
      </c>
      <c r="H67" s="801">
        <f>Lehrpersonen!H67</f>
        <v>0</v>
      </c>
      <c r="I67" s="801">
        <f>Lehrpersonen!K67</f>
        <v>0</v>
      </c>
      <c r="J67" s="801">
        <f>Lehrpersonen!J67</f>
        <v>0</v>
      </c>
      <c r="K67" s="802">
        <f>Lehrpersonen!L67</f>
        <v>0</v>
      </c>
      <c r="L67" s="801">
        <f>Lehrpersonen!M67</f>
        <v>0</v>
      </c>
      <c r="M67" s="801">
        <f>Lehrpersonen!O67</f>
        <v>0</v>
      </c>
      <c r="N67" s="801">
        <f>Lehrpersonen!I67</f>
        <v>0</v>
      </c>
      <c r="O67" s="801">
        <f>Lehrpersonen!G67</f>
        <v>0</v>
      </c>
      <c r="Q67" s="593"/>
    </row>
    <row r="68" spans="1:17" ht="23.25" customHeight="1" x14ac:dyDescent="0.25">
      <c r="A68" s="803">
        <f>Lehrpersonen!A68</f>
        <v>0</v>
      </c>
      <c r="B68" s="804">
        <f>Lehrpersonen!B68</f>
        <v>0</v>
      </c>
      <c r="C68" s="805">
        <f>Lehrpersonen!C68</f>
        <v>0</v>
      </c>
      <c r="D68" s="849">
        <f>Lehrpersonen!D68</f>
        <v>0</v>
      </c>
      <c r="E68" s="806"/>
      <c r="F68" s="862">
        <f>Lehrpersonen!Q68</f>
        <v>0</v>
      </c>
      <c r="G68" s="800">
        <f>Lehrpersonen!E68</f>
        <v>0</v>
      </c>
      <c r="H68" s="801">
        <f>Lehrpersonen!H68</f>
        <v>0</v>
      </c>
      <c r="I68" s="801">
        <f>Lehrpersonen!K68</f>
        <v>0</v>
      </c>
      <c r="J68" s="801">
        <f>Lehrpersonen!J68</f>
        <v>0</v>
      </c>
      <c r="K68" s="802">
        <f>Lehrpersonen!L68</f>
        <v>0</v>
      </c>
      <c r="L68" s="801">
        <f>Lehrpersonen!M68</f>
        <v>0</v>
      </c>
      <c r="M68" s="801">
        <f>Lehrpersonen!O68</f>
        <v>0</v>
      </c>
      <c r="N68" s="801">
        <f>Lehrpersonen!I68</f>
        <v>0</v>
      </c>
      <c r="O68" s="801">
        <f>Lehrpersonen!G68</f>
        <v>0</v>
      </c>
      <c r="Q68" s="593"/>
    </row>
    <row r="69" spans="1:17" ht="23.25" customHeight="1" x14ac:dyDescent="0.25">
      <c r="A69" s="803">
        <f>Lehrpersonen!A69</f>
        <v>0</v>
      </c>
      <c r="B69" s="804">
        <f>Lehrpersonen!B69</f>
        <v>0</v>
      </c>
      <c r="C69" s="805">
        <f>Lehrpersonen!C69</f>
        <v>0</v>
      </c>
      <c r="D69" s="849">
        <f>Lehrpersonen!D69</f>
        <v>0</v>
      </c>
      <c r="E69" s="806"/>
      <c r="F69" s="862">
        <f>Lehrpersonen!Q69</f>
        <v>0</v>
      </c>
      <c r="G69" s="800">
        <f>Lehrpersonen!E69</f>
        <v>0</v>
      </c>
      <c r="H69" s="801">
        <f>Lehrpersonen!H69</f>
        <v>0</v>
      </c>
      <c r="I69" s="801">
        <f>Lehrpersonen!K69</f>
        <v>0</v>
      </c>
      <c r="J69" s="801">
        <f>Lehrpersonen!J69</f>
        <v>0</v>
      </c>
      <c r="K69" s="802">
        <f>Lehrpersonen!L69</f>
        <v>0</v>
      </c>
      <c r="L69" s="801">
        <f>Lehrpersonen!M69</f>
        <v>0</v>
      </c>
      <c r="M69" s="801">
        <f>Lehrpersonen!O69</f>
        <v>0</v>
      </c>
      <c r="N69" s="801">
        <f>Lehrpersonen!I69</f>
        <v>0</v>
      </c>
      <c r="O69" s="801">
        <f>Lehrpersonen!G69</f>
        <v>0</v>
      </c>
      <c r="Q69" s="593"/>
    </row>
    <row r="70" spans="1:17" ht="23.25" customHeight="1" x14ac:dyDescent="0.25">
      <c r="A70" s="803">
        <f>Lehrpersonen!A70</f>
        <v>0</v>
      </c>
      <c r="B70" s="804">
        <f>Lehrpersonen!B70</f>
        <v>0</v>
      </c>
      <c r="C70" s="805">
        <f>Lehrpersonen!C70</f>
        <v>0</v>
      </c>
      <c r="D70" s="849">
        <f>Lehrpersonen!D70</f>
        <v>0</v>
      </c>
      <c r="E70" s="806"/>
      <c r="F70" s="862">
        <f>Lehrpersonen!Q70</f>
        <v>0</v>
      </c>
      <c r="G70" s="800">
        <f>Lehrpersonen!E70</f>
        <v>0</v>
      </c>
      <c r="H70" s="801">
        <f>Lehrpersonen!H70</f>
        <v>0</v>
      </c>
      <c r="I70" s="801">
        <f>Lehrpersonen!K70</f>
        <v>0</v>
      </c>
      <c r="J70" s="801">
        <f>Lehrpersonen!J70</f>
        <v>0</v>
      </c>
      <c r="K70" s="802">
        <f>Lehrpersonen!L70</f>
        <v>0</v>
      </c>
      <c r="L70" s="801">
        <f>Lehrpersonen!M70</f>
        <v>0</v>
      </c>
      <c r="M70" s="801">
        <f>Lehrpersonen!O70</f>
        <v>0</v>
      </c>
      <c r="N70" s="801">
        <f>Lehrpersonen!I70</f>
        <v>0</v>
      </c>
      <c r="O70" s="801">
        <f>Lehrpersonen!G70</f>
        <v>0</v>
      </c>
      <c r="Q70" s="593"/>
    </row>
    <row r="71" spans="1:17" ht="23.25" customHeight="1" x14ac:dyDescent="0.25">
      <c r="A71" s="803">
        <f>Lehrpersonen!A71</f>
        <v>0</v>
      </c>
      <c r="B71" s="804">
        <f>Lehrpersonen!B71</f>
        <v>0</v>
      </c>
      <c r="C71" s="805">
        <f>Lehrpersonen!C71</f>
        <v>0</v>
      </c>
      <c r="D71" s="849">
        <f>Lehrpersonen!D71</f>
        <v>0</v>
      </c>
      <c r="E71" s="806"/>
      <c r="F71" s="862">
        <f>Lehrpersonen!Q71</f>
        <v>0</v>
      </c>
      <c r="G71" s="800">
        <f>Lehrpersonen!E71</f>
        <v>0</v>
      </c>
      <c r="H71" s="801">
        <f>Lehrpersonen!H71</f>
        <v>0</v>
      </c>
      <c r="I71" s="801">
        <f>Lehrpersonen!K71</f>
        <v>0</v>
      </c>
      <c r="J71" s="801">
        <f>Lehrpersonen!J71</f>
        <v>0</v>
      </c>
      <c r="K71" s="802">
        <f>Lehrpersonen!L71</f>
        <v>0</v>
      </c>
      <c r="L71" s="801">
        <f>Lehrpersonen!M71</f>
        <v>0</v>
      </c>
      <c r="M71" s="801">
        <f>Lehrpersonen!O71</f>
        <v>0</v>
      </c>
      <c r="N71" s="801">
        <f>Lehrpersonen!I71</f>
        <v>0</v>
      </c>
      <c r="O71" s="801">
        <f>Lehrpersonen!G71</f>
        <v>0</v>
      </c>
      <c r="Q71" s="593"/>
    </row>
    <row r="72" spans="1:17" ht="23.25" customHeight="1" x14ac:dyDescent="0.25">
      <c r="A72" s="803">
        <f>Lehrpersonen!A72</f>
        <v>0</v>
      </c>
      <c r="B72" s="804">
        <f>Lehrpersonen!B72</f>
        <v>0</v>
      </c>
      <c r="C72" s="805">
        <f>Lehrpersonen!C72</f>
        <v>0</v>
      </c>
      <c r="D72" s="849">
        <f>Lehrpersonen!D72</f>
        <v>0</v>
      </c>
      <c r="E72" s="806"/>
      <c r="F72" s="862">
        <f>Lehrpersonen!Q72</f>
        <v>0</v>
      </c>
      <c r="G72" s="800">
        <f>Lehrpersonen!E72</f>
        <v>0</v>
      </c>
      <c r="H72" s="801">
        <f>Lehrpersonen!H72</f>
        <v>0</v>
      </c>
      <c r="I72" s="801">
        <f>Lehrpersonen!K72</f>
        <v>0</v>
      </c>
      <c r="J72" s="801">
        <f>Lehrpersonen!J72</f>
        <v>0</v>
      </c>
      <c r="K72" s="802">
        <f>Lehrpersonen!L72</f>
        <v>0</v>
      </c>
      <c r="L72" s="801">
        <f>Lehrpersonen!M72</f>
        <v>0</v>
      </c>
      <c r="M72" s="801">
        <f>Lehrpersonen!O72</f>
        <v>0</v>
      </c>
      <c r="N72" s="801">
        <f>Lehrpersonen!I72</f>
        <v>0</v>
      </c>
      <c r="O72" s="801">
        <f>Lehrpersonen!G72</f>
        <v>0</v>
      </c>
      <c r="Q72" s="593"/>
    </row>
    <row r="73" spans="1:17" ht="23.25" customHeight="1" x14ac:dyDescent="0.25">
      <c r="A73" s="803">
        <f>Lehrpersonen!A73</f>
        <v>0</v>
      </c>
      <c r="B73" s="804">
        <f>Lehrpersonen!B73</f>
        <v>0</v>
      </c>
      <c r="C73" s="805">
        <f>Lehrpersonen!C73</f>
        <v>0</v>
      </c>
      <c r="D73" s="849">
        <f>Lehrpersonen!D73</f>
        <v>0</v>
      </c>
      <c r="E73" s="806"/>
      <c r="F73" s="862">
        <f>Lehrpersonen!Q73</f>
        <v>0</v>
      </c>
      <c r="G73" s="800">
        <f>Lehrpersonen!E73</f>
        <v>0</v>
      </c>
      <c r="H73" s="801">
        <f>Lehrpersonen!H73</f>
        <v>0</v>
      </c>
      <c r="I73" s="801">
        <f>Lehrpersonen!K73</f>
        <v>0</v>
      </c>
      <c r="J73" s="801">
        <f>Lehrpersonen!J73</f>
        <v>0</v>
      </c>
      <c r="K73" s="802">
        <f>Lehrpersonen!L73</f>
        <v>0</v>
      </c>
      <c r="L73" s="801">
        <f>Lehrpersonen!M73</f>
        <v>0</v>
      </c>
      <c r="M73" s="801">
        <f>Lehrpersonen!O73</f>
        <v>0</v>
      </c>
      <c r="N73" s="801">
        <f>Lehrpersonen!I73</f>
        <v>0</v>
      </c>
      <c r="O73" s="801">
        <f>Lehrpersonen!G73</f>
        <v>0</v>
      </c>
      <c r="Q73" s="593"/>
    </row>
    <row r="74" spans="1:17" ht="23.25" customHeight="1" x14ac:dyDescent="0.25">
      <c r="A74" s="803">
        <f>Lehrpersonen!A74</f>
        <v>0</v>
      </c>
      <c r="B74" s="804">
        <f>Lehrpersonen!B74</f>
        <v>0</v>
      </c>
      <c r="C74" s="805">
        <f>Lehrpersonen!C74</f>
        <v>0</v>
      </c>
      <c r="D74" s="849">
        <f>Lehrpersonen!D74</f>
        <v>0</v>
      </c>
      <c r="E74" s="806"/>
      <c r="F74" s="862">
        <f>Lehrpersonen!Q74</f>
        <v>0</v>
      </c>
      <c r="G74" s="800">
        <f>Lehrpersonen!E74</f>
        <v>0</v>
      </c>
      <c r="H74" s="801">
        <f>Lehrpersonen!H74</f>
        <v>0</v>
      </c>
      <c r="I74" s="801">
        <f>Lehrpersonen!K74</f>
        <v>0</v>
      </c>
      <c r="J74" s="801">
        <f>Lehrpersonen!J74</f>
        <v>0</v>
      </c>
      <c r="K74" s="802">
        <f>Lehrpersonen!L74</f>
        <v>0</v>
      </c>
      <c r="L74" s="801">
        <f>Lehrpersonen!M74</f>
        <v>0</v>
      </c>
      <c r="M74" s="801">
        <f>Lehrpersonen!O74</f>
        <v>0</v>
      </c>
      <c r="N74" s="801">
        <f>Lehrpersonen!I74</f>
        <v>0</v>
      </c>
      <c r="O74" s="801">
        <f>Lehrpersonen!G74</f>
        <v>0</v>
      </c>
      <c r="Q74" s="593"/>
    </row>
    <row r="75" spans="1:17" ht="23.25" customHeight="1" x14ac:dyDescent="0.25">
      <c r="A75" s="803">
        <f>Lehrpersonen!A75</f>
        <v>0</v>
      </c>
      <c r="B75" s="804">
        <f>Lehrpersonen!B75</f>
        <v>0</v>
      </c>
      <c r="C75" s="805">
        <f>Lehrpersonen!C75</f>
        <v>0</v>
      </c>
      <c r="D75" s="849">
        <f>Lehrpersonen!D75</f>
        <v>0</v>
      </c>
      <c r="E75" s="806"/>
      <c r="F75" s="862">
        <f>Lehrpersonen!Q75</f>
        <v>0</v>
      </c>
      <c r="G75" s="800">
        <f>Lehrpersonen!E75</f>
        <v>0</v>
      </c>
      <c r="H75" s="801">
        <f>Lehrpersonen!H75</f>
        <v>0</v>
      </c>
      <c r="I75" s="801">
        <f>Lehrpersonen!K75</f>
        <v>0</v>
      </c>
      <c r="J75" s="801">
        <f>Lehrpersonen!J75</f>
        <v>0</v>
      </c>
      <c r="K75" s="802">
        <f>Lehrpersonen!L75</f>
        <v>0</v>
      </c>
      <c r="L75" s="801">
        <f>Lehrpersonen!M75</f>
        <v>0</v>
      </c>
      <c r="M75" s="801">
        <f>Lehrpersonen!O75</f>
        <v>0</v>
      </c>
      <c r="N75" s="801">
        <f>Lehrpersonen!I75</f>
        <v>0</v>
      </c>
      <c r="O75" s="801">
        <f>Lehrpersonen!G75</f>
        <v>0</v>
      </c>
      <c r="Q75" s="593"/>
    </row>
    <row r="76" spans="1:17" ht="23.25" customHeight="1" x14ac:dyDescent="0.25">
      <c r="A76" s="803">
        <f>Lehrpersonen!A76</f>
        <v>0</v>
      </c>
      <c r="B76" s="804">
        <f>Lehrpersonen!B76</f>
        <v>0</v>
      </c>
      <c r="C76" s="805">
        <f>Lehrpersonen!C76</f>
        <v>0</v>
      </c>
      <c r="D76" s="849">
        <f>Lehrpersonen!D76</f>
        <v>0</v>
      </c>
      <c r="E76" s="806"/>
      <c r="F76" s="862">
        <f>Lehrpersonen!Q76</f>
        <v>0</v>
      </c>
      <c r="G76" s="800">
        <f>Lehrpersonen!E76</f>
        <v>0</v>
      </c>
      <c r="H76" s="801">
        <f>Lehrpersonen!H76</f>
        <v>0</v>
      </c>
      <c r="I76" s="801">
        <f>Lehrpersonen!K76</f>
        <v>0</v>
      </c>
      <c r="J76" s="801">
        <f>Lehrpersonen!J76</f>
        <v>0</v>
      </c>
      <c r="K76" s="802">
        <f>Lehrpersonen!L76</f>
        <v>0</v>
      </c>
      <c r="L76" s="801">
        <f>Lehrpersonen!M76</f>
        <v>0</v>
      </c>
      <c r="M76" s="801">
        <f>Lehrpersonen!O76</f>
        <v>0</v>
      </c>
      <c r="N76" s="801">
        <f>Lehrpersonen!I76</f>
        <v>0</v>
      </c>
      <c r="O76" s="801">
        <f>Lehrpersonen!G76</f>
        <v>0</v>
      </c>
      <c r="Q76" s="593"/>
    </row>
    <row r="77" spans="1:17" ht="23.25" customHeight="1" x14ac:dyDescent="0.25">
      <c r="A77" s="803">
        <f>Lehrpersonen!A77</f>
        <v>0</v>
      </c>
      <c r="B77" s="804">
        <f>Lehrpersonen!B77</f>
        <v>0</v>
      </c>
      <c r="C77" s="805">
        <f>Lehrpersonen!C77</f>
        <v>0</v>
      </c>
      <c r="D77" s="849">
        <f>Lehrpersonen!D77</f>
        <v>0</v>
      </c>
      <c r="E77" s="806"/>
      <c r="F77" s="862">
        <f>Lehrpersonen!Q77</f>
        <v>0</v>
      </c>
      <c r="G77" s="800">
        <f>Lehrpersonen!E77</f>
        <v>0</v>
      </c>
      <c r="H77" s="801">
        <f>Lehrpersonen!H77</f>
        <v>0</v>
      </c>
      <c r="I77" s="801">
        <f>Lehrpersonen!K77</f>
        <v>0</v>
      </c>
      <c r="J77" s="801">
        <f>Lehrpersonen!J77</f>
        <v>0</v>
      </c>
      <c r="K77" s="802">
        <f>Lehrpersonen!L77</f>
        <v>0</v>
      </c>
      <c r="L77" s="801">
        <f>Lehrpersonen!M77</f>
        <v>0</v>
      </c>
      <c r="M77" s="801">
        <f>Lehrpersonen!O77</f>
        <v>0</v>
      </c>
      <c r="N77" s="801">
        <f>Lehrpersonen!I77</f>
        <v>0</v>
      </c>
      <c r="O77" s="801">
        <f>Lehrpersonen!G77</f>
        <v>0</v>
      </c>
      <c r="Q77" s="593"/>
    </row>
    <row r="78" spans="1:17" ht="23.25" customHeight="1" x14ac:dyDescent="0.25">
      <c r="A78" s="803">
        <f>Lehrpersonen!A78</f>
        <v>0</v>
      </c>
      <c r="B78" s="804">
        <f>Lehrpersonen!B78</f>
        <v>0</v>
      </c>
      <c r="C78" s="805">
        <f>Lehrpersonen!C78</f>
        <v>0</v>
      </c>
      <c r="D78" s="849">
        <f>Lehrpersonen!D78</f>
        <v>0</v>
      </c>
      <c r="E78" s="806"/>
      <c r="F78" s="862">
        <f>Lehrpersonen!Q78</f>
        <v>0</v>
      </c>
      <c r="G78" s="800">
        <f>Lehrpersonen!E78</f>
        <v>0</v>
      </c>
      <c r="H78" s="801">
        <f>Lehrpersonen!H78</f>
        <v>0</v>
      </c>
      <c r="I78" s="801">
        <f>Lehrpersonen!K78</f>
        <v>0</v>
      </c>
      <c r="J78" s="801">
        <f>Lehrpersonen!J78</f>
        <v>0</v>
      </c>
      <c r="K78" s="802">
        <f>Lehrpersonen!L78</f>
        <v>0</v>
      </c>
      <c r="L78" s="801">
        <f>Lehrpersonen!M78</f>
        <v>0</v>
      </c>
      <c r="M78" s="801">
        <f>Lehrpersonen!O78</f>
        <v>0</v>
      </c>
      <c r="N78" s="801">
        <f>Lehrpersonen!I78</f>
        <v>0</v>
      </c>
      <c r="O78" s="801">
        <f>Lehrpersonen!G78</f>
        <v>0</v>
      </c>
      <c r="Q78" s="593"/>
    </row>
    <row r="79" spans="1:17" ht="23.25" customHeight="1" x14ac:dyDescent="0.25">
      <c r="A79" s="803">
        <f>Lehrpersonen!A79</f>
        <v>0</v>
      </c>
      <c r="B79" s="804">
        <f>Lehrpersonen!B79</f>
        <v>0</v>
      </c>
      <c r="C79" s="805">
        <f>Lehrpersonen!C79</f>
        <v>0</v>
      </c>
      <c r="D79" s="849">
        <f>Lehrpersonen!D79</f>
        <v>0</v>
      </c>
      <c r="E79" s="806"/>
      <c r="F79" s="862">
        <f>Lehrpersonen!Q79</f>
        <v>0</v>
      </c>
      <c r="G79" s="800">
        <f>Lehrpersonen!E79</f>
        <v>0</v>
      </c>
      <c r="H79" s="801">
        <f>Lehrpersonen!H79</f>
        <v>0</v>
      </c>
      <c r="I79" s="801">
        <f>Lehrpersonen!K79</f>
        <v>0</v>
      </c>
      <c r="J79" s="801">
        <f>Lehrpersonen!J79</f>
        <v>0</v>
      </c>
      <c r="K79" s="802">
        <f>Lehrpersonen!L79</f>
        <v>0</v>
      </c>
      <c r="L79" s="801">
        <f>Lehrpersonen!M79</f>
        <v>0</v>
      </c>
      <c r="M79" s="801">
        <f>Lehrpersonen!O79</f>
        <v>0</v>
      </c>
      <c r="N79" s="801">
        <f>Lehrpersonen!I79</f>
        <v>0</v>
      </c>
      <c r="O79" s="801">
        <f>Lehrpersonen!G79</f>
        <v>0</v>
      </c>
      <c r="Q79" s="593"/>
    </row>
    <row r="80" spans="1:17" ht="23.25" customHeight="1" x14ac:dyDescent="0.25">
      <c r="A80" s="803">
        <f>Lehrpersonen!A80</f>
        <v>0</v>
      </c>
      <c r="B80" s="804">
        <f>Lehrpersonen!B80</f>
        <v>0</v>
      </c>
      <c r="C80" s="805">
        <f>Lehrpersonen!C80</f>
        <v>0</v>
      </c>
      <c r="D80" s="849">
        <f>Lehrpersonen!D80</f>
        <v>0</v>
      </c>
      <c r="E80" s="806"/>
      <c r="F80" s="862">
        <f>Lehrpersonen!Q80</f>
        <v>0</v>
      </c>
      <c r="G80" s="800">
        <f>Lehrpersonen!E80</f>
        <v>0</v>
      </c>
      <c r="H80" s="801">
        <f>Lehrpersonen!H80</f>
        <v>0</v>
      </c>
      <c r="I80" s="801">
        <f>Lehrpersonen!K80</f>
        <v>0</v>
      </c>
      <c r="J80" s="801">
        <f>Lehrpersonen!J80</f>
        <v>0</v>
      </c>
      <c r="K80" s="802">
        <f>Lehrpersonen!L80</f>
        <v>0</v>
      </c>
      <c r="L80" s="801">
        <f>Lehrpersonen!M80</f>
        <v>0</v>
      </c>
      <c r="M80" s="801">
        <f>Lehrpersonen!O80</f>
        <v>0</v>
      </c>
      <c r="N80" s="801">
        <f>Lehrpersonen!I80</f>
        <v>0</v>
      </c>
      <c r="O80" s="801">
        <f>Lehrpersonen!G80</f>
        <v>0</v>
      </c>
      <c r="Q80" s="593"/>
    </row>
    <row r="81" spans="1:21" ht="23.25" customHeight="1" x14ac:dyDescent="0.25">
      <c r="A81" s="803">
        <f>Lehrpersonen!A81</f>
        <v>0</v>
      </c>
      <c r="B81" s="804">
        <f>Lehrpersonen!B81</f>
        <v>0</v>
      </c>
      <c r="C81" s="805">
        <f>Lehrpersonen!C81</f>
        <v>0</v>
      </c>
      <c r="D81" s="849">
        <f>Lehrpersonen!D81</f>
        <v>0</v>
      </c>
      <c r="E81" s="806"/>
      <c r="F81" s="862">
        <f>Lehrpersonen!Q81</f>
        <v>0</v>
      </c>
      <c r="G81" s="800">
        <f>Lehrpersonen!E81</f>
        <v>0</v>
      </c>
      <c r="H81" s="801">
        <f>Lehrpersonen!H81</f>
        <v>0</v>
      </c>
      <c r="I81" s="801">
        <f>Lehrpersonen!K81</f>
        <v>0</v>
      </c>
      <c r="J81" s="801">
        <f>Lehrpersonen!J81</f>
        <v>0</v>
      </c>
      <c r="K81" s="802">
        <f>Lehrpersonen!L81</f>
        <v>0</v>
      </c>
      <c r="L81" s="801">
        <f>Lehrpersonen!M81</f>
        <v>0</v>
      </c>
      <c r="M81" s="801">
        <f>Lehrpersonen!O81</f>
        <v>0</v>
      </c>
      <c r="N81" s="801">
        <f>Lehrpersonen!I81</f>
        <v>0</v>
      </c>
      <c r="O81" s="801">
        <f>Lehrpersonen!G81</f>
        <v>0</v>
      </c>
      <c r="Q81" s="593"/>
    </row>
    <row r="82" spans="1:21" ht="23.25" customHeight="1" x14ac:dyDescent="0.25">
      <c r="A82" s="803">
        <f>Lehrpersonen!A82</f>
        <v>0</v>
      </c>
      <c r="B82" s="804">
        <f>Lehrpersonen!B82</f>
        <v>0</v>
      </c>
      <c r="C82" s="805">
        <f>Lehrpersonen!C82</f>
        <v>0</v>
      </c>
      <c r="D82" s="849">
        <f>Lehrpersonen!D82</f>
        <v>0</v>
      </c>
      <c r="E82" s="806"/>
      <c r="F82" s="862">
        <f>Lehrpersonen!Q82</f>
        <v>0</v>
      </c>
      <c r="G82" s="800">
        <f>Lehrpersonen!E82</f>
        <v>0</v>
      </c>
      <c r="H82" s="801">
        <f>Lehrpersonen!H82</f>
        <v>0</v>
      </c>
      <c r="I82" s="801">
        <f>Lehrpersonen!K82</f>
        <v>0</v>
      </c>
      <c r="J82" s="801">
        <f>Lehrpersonen!J82</f>
        <v>0</v>
      </c>
      <c r="K82" s="802">
        <f>Lehrpersonen!L82</f>
        <v>0</v>
      </c>
      <c r="L82" s="801">
        <f>Lehrpersonen!M82</f>
        <v>0</v>
      </c>
      <c r="M82" s="801">
        <f>Lehrpersonen!O82</f>
        <v>0</v>
      </c>
      <c r="N82" s="801">
        <f>Lehrpersonen!I82</f>
        <v>0</v>
      </c>
      <c r="O82" s="801">
        <f>Lehrpersonen!G82</f>
        <v>0</v>
      </c>
      <c r="Q82" s="593"/>
    </row>
    <row r="83" spans="1:21" ht="23.25" customHeight="1" x14ac:dyDescent="0.25">
      <c r="A83" s="803">
        <f>Lehrpersonen!A83</f>
        <v>0</v>
      </c>
      <c r="B83" s="804">
        <f>Lehrpersonen!B83</f>
        <v>0</v>
      </c>
      <c r="C83" s="805">
        <f>Lehrpersonen!C83</f>
        <v>0</v>
      </c>
      <c r="D83" s="849">
        <f>Lehrpersonen!D83</f>
        <v>0</v>
      </c>
      <c r="E83" s="806"/>
      <c r="F83" s="862">
        <f>Lehrpersonen!Q83</f>
        <v>0</v>
      </c>
      <c r="G83" s="800">
        <f>Lehrpersonen!E83</f>
        <v>0</v>
      </c>
      <c r="H83" s="801">
        <f>Lehrpersonen!H83</f>
        <v>0</v>
      </c>
      <c r="I83" s="801">
        <f>Lehrpersonen!K83</f>
        <v>0</v>
      </c>
      <c r="J83" s="801">
        <f>Lehrpersonen!J83</f>
        <v>0</v>
      </c>
      <c r="K83" s="802">
        <f>Lehrpersonen!L83</f>
        <v>0</v>
      </c>
      <c r="L83" s="801">
        <f>Lehrpersonen!M83</f>
        <v>0</v>
      </c>
      <c r="M83" s="801">
        <f>Lehrpersonen!O83</f>
        <v>0</v>
      </c>
      <c r="N83" s="801">
        <f>Lehrpersonen!I83</f>
        <v>0</v>
      </c>
      <c r="O83" s="801">
        <f>Lehrpersonen!G83</f>
        <v>0</v>
      </c>
      <c r="Q83" s="593"/>
    </row>
    <row r="84" spans="1:21" ht="23.25" customHeight="1" thickBot="1" x14ac:dyDescent="0.3">
      <c r="A84" s="807">
        <f>Lehrpersonen!A84</f>
        <v>0</v>
      </c>
      <c r="B84" s="808">
        <f>Lehrpersonen!B84</f>
        <v>0</v>
      </c>
      <c r="C84" s="809">
        <f>Lehrpersonen!C84</f>
        <v>0</v>
      </c>
      <c r="D84" s="850">
        <f>Lehrpersonen!D84</f>
        <v>0</v>
      </c>
      <c r="E84" s="806"/>
      <c r="F84" s="863">
        <f>Lehrpersonen!Q84</f>
        <v>0</v>
      </c>
      <c r="G84" s="810">
        <f>Lehrpersonen!E84</f>
        <v>0</v>
      </c>
      <c r="H84" s="811">
        <f>Lehrpersonen!H84</f>
        <v>0</v>
      </c>
      <c r="I84" s="811">
        <f>Lehrpersonen!K84</f>
        <v>0</v>
      </c>
      <c r="J84" s="811">
        <f>Lehrpersonen!J84</f>
        <v>0</v>
      </c>
      <c r="K84" s="812">
        <f>Lehrpersonen!L84</f>
        <v>0</v>
      </c>
      <c r="L84" s="811">
        <f>Lehrpersonen!M84</f>
        <v>0</v>
      </c>
      <c r="M84" s="811">
        <f>Lehrpersonen!O84</f>
        <v>0</v>
      </c>
      <c r="N84" s="811">
        <f>Lehrpersonen!I84</f>
        <v>0</v>
      </c>
      <c r="O84" s="811">
        <f>Lehrpersonen!G84</f>
        <v>0</v>
      </c>
      <c r="Q84" s="593"/>
    </row>
    <row r="85" spans="1:21" s="712" customFormat="1" ht="23.25" customHeight="1" thickTop="1" thickBot="1" x14ac:dyDescent="0.3">
      <c r="A85" s="869" t="s">
        <v>988</v>
      </c>
      <c r="B85" s="870" t="s">
        <v>988</v>
      </c>
      <c r="C85" s="798"/>
      <c r="D85" s="848" t="s">
        <v>974</v>
      </c>
      <c r="E85" s="715"/>
      <c r="F85" s="813">
        <f>Lehrpersonen!Q85</f>
        <v>0</v>
      </c>
      <c r="G85" s="864">
        <f>Lehrpersonen!E85</f>
        <v>0</v>
      </c>
      <c r="H85" s="865">
        <f>Lehrpersonen!H85</f>
        <v>0</v>
      </c>
      <c r="I85" s="866">
        <f>Lehrpersonen!K85</f>
        <v>0</v>
      </c>
      <c r="J85" s="865">
        <f>Lehrpersonen!J85</f>
        <v>0</v>
      </c>
      <c r="K85" s="867">
        <f>Lehrpersonen!L85</f>
        <v>0</v>
      </c>
      <c r="L85" s="865">
        <f>Lehrpersonen!M85</f>
        <v>0</v>
      </c>
      <c r="M85" s="865">
        <f>Lehrpersonen!O85</f>
        <v>0</v>
      </c>
      <c r="N85" s="865">
        <f>Lehrpersonen!I85</f>
        <v>0</v>
      </c>
      <c r="O85" s="814">
        <f>Lehrpersonen!G85</f>
        <v>0</v>
      </c>
    </row>
    <row r="86" spans="1:21" ht="3.75" customHeight="1" thickTop="1" x14ac:dyDescent="0.25">
      <c r="E86" s="703"/>
      <c r="F86" s="594"/>
      <c r="G86" s="593"/>
      <c r="K86" s="593"/>
      <c r="M86" s="647"/>
      <c r="O86" s="647"/>
      <c r="P86" s="647"/>
      <c r="Q86" s="593"/>
      <c r="U86" s="593"/>
    </row>
    <row r="87" spans="1:21" ht="15" x14ac:dyDescent="0.25">
      <c r="B87" s="751"/>
      <c r="C87" s="752"/>
      <c r="D87" s="751" t="s">
        <v>975</v>
      </c>
      <c r="E87" s="593"/>
      <c r="F87" s="594"/>
      <c r="G87" s="868">
        <f>Lehrpersonen!E87</f>
        <v>0</v>
      </c>
      <c r="H87" s="816">
        <f>Lehrpersonen!H87</f>
        <v>0</v>
      </c>
      <c r="I87" s="752">
        <f>Konti_VS!G53+Konti_VS!D82</f>
        <v>0</v>
      </c>
      <c r="J87" s="752">
        <f>Konti_VS!F97</f>
        <v>0</v>
      </c>
      <c r="K87" s="815">
        <f>Lehrpersonen!L87</f>
        <v>0</v>
      </c>
      <c r="L87" s="816">
        <f>Lehrpersonen!M87</f>
        <v>0</v>
      </c>
      <c r="N87" s="703">
        <f>Konti_VS!F92</f>
        <v>0</v>
      </c>
      <c r="O87" s="817">
        <f>Lehrpersonen!G87</f>
        <v>0</v>
      </c>
      <c r="P87" s="648"/>
      <c r="Q87" s="593"/>
      <c r="S87" s="648"/>
      <c r="U87" s="593"/>
    </row>
    <row r="88" spans="1:21" ht="3.75" customHeight="1" x14ac:dyDescent="0.25">
      <c r="E88" s="593"/>
      <c r="F88" s="594"/>
      <c r="G88" s="647"/>
      <c r="H88" s="647"/>
      <c r="P88" s="647"/>
      <c r="Q88" s="593"/>
      <c r="S88" s="647"/>
      <c r="U88" s="593"/>
    </row>
    <row r="89" spans="1:21" ht="15" x14ac:dyDescent="0.25">
      <c r="B89" s="751"/>
      <c r="C89" s="752"/>
      <c r="D89" s="751" t="s">
        <v>976</v>
      </c>
      <c r="E89" s="593"/>
      <c r="F89" s="594"/>
      <c r="G89" s="868">
        <f>Lehrpersonen!E89</f>
        <v>0</v>
      </c>
      <c r="H89" s="816">
        <f>Lehrpersonen!H89</f>
        <v>0</v>
      </c>
      <c r="I89" s="752"/>
      <c r="J89" s="752"/>
      <c r="K89" s="815">
        <f>Lehrpersonen!L89</f>
        <v>0</v>
      </c>
      <c r="L89" s="816">
        <f>Lehrpersonen!M89</f>
        <v>0</v>
      </c>
      <c r="N89" s="703"/>
      <c r="O89" s="817">
        <f>Lehrpersonen!G89</f>
        <v>0</v>
      </c>
      <c r="P89" s="648"/>
      <c r="Q89" s="593"/>
      <c r="S89" s="648"/>
      <c r="U89" s="593"/>
    </row>
    <row r="90" spans="1:21" ht="15" x14ac:dyDescent="0.25">
      <c r="M90" s="708"/>
      <c r="Q90" s="593"/>
    </row>
    <row r="91" spans="1:21" ht="3.75" customHeight="1" x14ac:dyDescent="0.25">
      <c r="A91" s="872"/>
      <c r="B91" s="872"/>
      <c r="C91" s="873"/>
      <c r="D91" s="872"/>
      <c r="E91" s="872"/>
      <c r="F91" s="874"/>
      <c r="G91" s="873"/>
      <c r="H91" s="872"/>
      <c r="I91" s="872"/>
      <c r="J91" s="872"/>
      <c r="K91" s="875"/>
      <c r="L91" s="875"/>
      <c r="M91" s="876"/>
      <c r="N91" s="872"/>
      <c r="O91" s="872"/>
      <c r="P91" s="647"/>
      <c r="Q91" s="593"/>
      <c r="S91" s="647"/>
      <c r="U91" s="593"/>
    </row>
    <row r="92" spans="1:21" ht="15" x14ac:dyDescent="0.25">
      <c r="B92" s="751" t="str">
        <f>Konti_VS!C74</f>
        <v>Schulleit. mit Unterr.Verpflichtung</v>
      </c>
      <c r="C92" s="594">
        <f>IF(OR(Konti_VS!L69="b",Konti_VS!C74="SchulleiterIn ist freigestellt!"),"",20+Konti_VS!J74)</f>
        <v>20</v>
      </c>
      <c r="D92" s="877"/>
      <c r="J92" s="878" t="str">
        <f>"Anzahl berechneter Klassen: "&amp;Konti_VS!C28</f>
        <v>Anzahl berechneter Klassen: 0</v>
      </c>
      <c r="M92" s="708"/>
      <c r="N92" s="751" t="s">
        <v>995</v>
      </c>
      <c r="O92" s="879">
        <f>SUM(Konti_VS!E44,Konti_VS!F46:F47,Konti_VS!E51:E52)</f>
        <v>0</v>
      </c>
      <c r="Q92" s="593"/>
    </row>
    <row r="93" spans="1:21" ht="15" x14ac:dyDescent="0.25">
      <c r="B93" s="878" t="str">
        <f>LOOKUP(Konti_VS!L69,Konti_VS!N69:N71,Konti_VS!M69:M71)</f>
        <v xml:space="preserve"> ist im Altrecht angestellt (meist L2a2)</v>
      </c>
      <c r="C93" s="703"/>
      <c r="D93" s="593"/>
      <c r="J93" s="878" t="str">
        <f>IF(Konti_VS!D29-Konti_VS!C28&lt;&gt;0,"Anzahl eingerichteter Klassen: "&amp;Konti_VS!D29,"")</f>
        <v/>
      </c>
      <c r="M93" s="708"/>
      <c r="N93" s="751" t="s">
        <v>996</v>
      </c>
      <c r="O93" s="879">
        <f>Konti_VS!B82</f>
        <v>0</v>
      </c>
      <c r="Q93" s="593"/>
    </row>
    <row r="94" spans="1:21" ht="15" x14ac:dyDescent="0.25">
      <c r="B94" s="593">
        <f>IF(OR(Konti_VS!L69="b",Konti_VS!C74="SchulleiterIn ist freigestellt!"),"",20+Konti_VS!J73)</f>
        <v>20</v>
      </c>
      <c r="D94" s="593"/>
      <c r="J94" s="751" t="str">
        <f>IF(Konti_VS!D29-Konti_VS!C28&lt;&gt;0,"Anzahl schulautonomer Klassen: "&amp;Konti_VS!D29-Konti_VS!C28,"")</f>
        <v/>
      </c>
      <c r="M94" s="708"/>
      <c r="Q94" s="593"/>
    </row>
    <row r="95" spans="1:21" ht="3.75" customHeight="1" x14ac:dyDescent="0.25">
      <c r="A95" s="880"/>
      <c r="B95" s="880"/>
      <c r="C95" s="881"/>
      <c r="D95" s="880"/>
      <c r="E95" s="880"/>
      <c r="F95" s="882"/>
      <c r="G95" s="881"/>
      <c r="H95" s="880"/>
      <c r="I95" s="880"/>
      <c r="J95" s="880"/>
      <c r="K95" s="883"/>
      <c r="L95" s="883"/>
      <c r="M95" s="884"/>
      <c r="N95" s="880"/>
      <c r="O95" s="880"/>
      <c r="P95" s="647"/>
      <c r="Q95" s="593"/>
      <c r="S95" s="647"/>
      <c r="U95" s="593"/>
    </row>
    <row r="96" spans="1:21" ht="15" x14ac:dyDescent="0.25">
      <c r="M96" s="708"/>
      <c r="Q96" s="593"/>
    </row>
    <row r="97" spans="1:16" s="595" customFormat="1" ht="15" x14ac:dyDescent="0.25">
      <c r="A97" s="593"/>
      <c r="B97" s="593"/>
      <c r="C97" s="593"/>
      <c r="D97" s="703"/>
      <c r="E97" s="594"/>
      <c r="F97" s="593"/>
      <c r="G97" s="703"/>
      <c r="H97" s="593"/>
      <c r="I97" s="593"/>
      <c r="J97" s="593"/>
      <c r="K97" s="647"/>
      <c r="L97" s="647"/>
      <c r="M97" s="708"/>
      <c r="N97" s="593"/>
      <c r="O97" s="593"/>
      <c r="P97" s="593"/>
    </row>
    <row r="98" spans="1:16" s="595" customFormat="1" ht="15" x14ac:dyDescent="0.25">
      <c r="A98" s="593"/>
      <c r="B98" s="593"/>
      <c r="C98" s="593"/>
      <c r="D98" s="703"/>
      <c r="E98" s="594"/>
      <c r="F98" s="593"/>
      <c r="G98" s="703"/>
      <c r="H98" s="593"/>
      <c r="I98" s="593"/>
      <c r="J98" s="593"/>
      <c r="K98" s="647"/>
      <c r="L98" s="647"/>
      <c r="M98" s="708"/>
      <c r="N98" s="593"/>
      <c r="O98" s="593"/>
      <c r="P98" s="593"/>
    </row>
    <row r="99" spans="1:16" s="595" customFormat="1" ht="15" x14ac:dyDescent="0.25">
      <c r="A99" s="593"/>
      <c r="B99" s="593"/>
      <c r="C99" s="593"/>
      <c r="D99" s="703"/>
      <c r="E99" s="594"/>
      <c r="F99" s="593"/>
      <c r="G99" s="703"/>
      <c r="H99" s="593"/>
      <c r="I99" s="593"/>
      <c r="J99" s="593"/>
      <c r="K99" s="647"/>
      <c r="L99" s="647"/>
      <c r="M99" s="708"/>
      <c r="N99" s="593"/>
      <c r="O99" s="593"/>
      <c r="P99" s="593"/>
    </row>
    <row r="100" spans="1:16" s="595" customFormat="1" ht="15" x14ac:dyDescent="0.25">
      <c r="A100" s="593"/>
      <c r="B100" s="593"/>
      <c r="C100" s="593"/>
      <c r="D100" s="703"/>
      <c r="E100" s="594"/>
      <c r="F100" s="593"/>
      <c r="G100" s="703"/>
      <c r="H100" s="593"/>
      <c r="I100" s="593"/>
      <c r="J100" s="593"/>
      <c r="K100" s="647"/>
      <c r="L100" s="647"/>
      <c r="M100" s="708"/>
      <c r="N100" s="593"/>
      <c r="O100" s="593"/>
      <c r="P100" s="593"/>
    </row>
    <row r="101" spans="1:16" s="595" customFormat="1" ht="15" x14ac:dyDescent="0.25">
      <c r="A101" s="593"/>
      <c r="B101" s="593"/>
      <c r="C101" s="593"/>
      <c r="D101" s="703"/>
      <c r="E101" s="594"/>
      <c r="F101" s="593"/>
      <c r="G101" s="703"/>
      <c r="H101" s="593"/>
      <c r="I101" s="593"/>
      <c r="J101" s="593"/>
      <c r="K101" s="647"/>
      <c r="L101" s="647"/>
      <c r="M101" s="708"/>
      <c r="N101" s="593"/>
      <c r="O101" s="593"/>
      <c r="P101" s="593"/>
    </row>
    <row r="102" spans="1:16" s="595" customFormat="1" ht="15" x14ac:dyDescent="0.25">
      <c r="A102" s="593"/>
      <c r="B102" s="593"/>
      <c r="C102" s="593"/>
      <c r="D102" s="703"/>
      <c r="E102" s="594"/>
      <c r="F102" s="593"/>
      <c r="G102" s="703"/>
      <c r="H102" s="593"/>
      <c r="I102" s="593"/>
      <c r="J102" s="593"/>
      <c r="K102" s="647"/>
      <c r="L102" s="647"/>
      <c r="M102" s="708"/>
      <c r="N102" s="593"/>
      <c r="O102" s="593"/>
      <c r="P102" s="593"/>
    </row>
    <row r="103" spans="1:16" s="595" customFormat="1" ht="15" x14ac:dyDescent="0.25">
      <c r="A103" s="593"/>
      <c r="B103" s="593"/>
      <c r="C103" s="593"/>
      <c r="D103" s="703"/>
      <c r="E103" s="594"/>
      <c r="F103" s="593"/>
      <c r="G103" s="703"/>
      <c r="H103" s="593"/>
      <c r="I103" s="593"/>
      <c r="J103" s="593"/>
      <c r="K103" s="647"/>
      <c r="L103" s="647"/>
      <c r="M103" s="708"/>
      <c r="N103" s="593"/>
      <c r="O103" s="593"/>
      <c r="P103" s="593"/>
    </row>
    <row r="104" spans="1:16" s="595" customFormat="1" ht="15" x14ac:dyDescent="0.25">
      <c r="A104" s="593"/>
      <c r="B104" s="593"/>
      <c r="C104" s="593"/>
      <c r="D104" s="703"/>
      <c r="E104" s="594"/>
      <c r="F104" s="593"/>
      <c r="G104" s="703"/>
      <c r="H104" s="593"/>
      <c r="I104" s="593"/>
      <c r="J104" s="593"/>
      <c r="K104" s="647"/>
      <c r="L104" s="647"/>
      <c r="M104" s="708"/>
      <c r="N104" s="593"/>
      <c r="O104" s="593"/>
      <c r="P104" s="593"/>
    </row>
    <row r="105" spans="1:16" s="595" customFormat="1" ht="15" x14ac:dyDescent="0.25">
      <c r="A105" s="593"/>
      <c r="B105" s="593"/>
      <c r="C105" s="593"/>
      <c r="D105" s="703"/>
      <c r="E105" s="594"/>
      <c r="F105" s="593"/>
      <c r="G105" s="703"/>
      <c r="H105" s="593"/>
      <c r="I105" s="593"/>
      <c r="J105" s="593"/>
      <c r="K105" s="647"/>
      <c r="L105" s="647"/>
      <c r="M105" s="708"/>
      <c r="N105" s="593"/>
      <c r="O105" s="593"/>
      <c r="P105" s="593"/>
    </row>
    <row r="106" spans="1:16" s="595" customFormat="1" ht="15" x14ac:dyDescent="0.25">
      <c r="A106" s="593"/>
      <c r="B106" s="593"/>
      <c r="C106" s="593"/>
      <c r="D106" s="703"/>
      <c r="E106" s="594"/>
      <c r="F106" s="593"/>
      <c r="G106" s="703"/>
      <c r="H106" s="593"/>
      <c r="I106" s="593"/>
      <c r="J106" s="593"/>
      <c r="K106" s="647"/>
      <c r="L106" s="647"/>
      <c r="M106" s="708"/>
      <c r="N106" s="593"/>
      <c r="O106" s="593"/>
      <c r="P106" s="593"/>
    </row>
    <row r="107" spans="1:16" s="595" customFormat="1" ht="15" x14ac:dyDescent="0.25">
      <c r="A107" s="593"/>
      <c r="B107" s="593"/>
      <c r="C107" s="593"/>
      <c r="D107" s="703"/>
      <c r="E107" s="594"/>
      <c r="F107" s="593"/>
      <c r="G107" s="703"/>
      <c r="H107" s="593"/>
      <c r="I107" s="593"/>
      <c r="J107" s="593"/>
      <c r="K107" s="647"/>
      <c r="L107" s="647"/>
      <c r="M107" s="708"/>
      <c r="N107" s="593"/>
      <c r="O107" s="593"/>
      <c r="P107" s="593"/>
    </row>
    <row r="108" spans="1:16" s="595" customFormat="1" ht="15" x14ac:dyDescent="0.25">
      <c r="A108" s="593"/>
      <c r="B108" s="593"/>
      <c r="C108" s="593"/>
      <c r="D108" s="703"/>
      <c r="E108" s="594"/>
      <c r="F108" s="593"/>
      <c r="G108" s="703"/>
      <c r="H108" s="593"/>
      <c r="I108" s="593"/>
      <c r="J108" s="593"/>
      <c r="K108" s="647"/>
      <c r="L108" s="647"/>
      <c r="M108" s="708"/>
      <c r="N108" s="593"/>
      <c r="O108" s="593"/>
      <c r="P108" s="593"/>
    </row>
    <row r="109" spans="1:16" s="595" customFormat="1" ht="15" x14ac:dyDescent="0.25">
      <c r="A109" s="593"/>
      <c r="B109" s="593"/>
      <c r="C109" s="593"/>
      <c r="D109" s="703"/>
      <c r="E109" s="594"/>
      <c r="F109" s="593"/>
      <c r="G109" s="703"/>
      <c r="H109" s="593"/>
      <c r="I109" s="593"/>
      <c r="J109" s="593"/>
      <c r="K109" s="647"/>
      <c r="L109" s="647"/>
      <c r="M109" s="708"/>
      <c r="N109" s="593"/>
      <c r="O109" s="593"/>
      <c r="P109" s="593"/>
    </row>
    <row r="110" spans="1:16" s="595" customFormat="1" ht="15" x14ac:dyDescent="0.25">
      <c r="A110" s="593"/>
      <c r="B110" s="593"/>
      <c r="C110" s="593"/>
      <c r="D110" s="703"/>
      <c r="E110" s="594"/>
      <c r="F110" s="593"/>
      <c r="G110" s="703"/>
      <c r="H110" s="593"/>
      <c r="I110" s="593"/>
      <c r="J110" s="593"/>
      <c r="K110" s="647"/>
      <c r="L110" s="647"/>
      <c r="M110" s="708"/>
      <c r="N110" s="593"/>
      <c r="O110" s="593"/>
      <c r="P110" s="593"/>
    </row>
    <row r="111" spans="1:16" s="595" customFormat="1" ht="15" x14ac:dyDescent="0.25">
      <c r="A111" s="593"/>
      <c r="B111" s="593"/>
      <c r="C111" s="593"/>
      <c r="D111" s="703"/>
      <c r="E111" s="594"/>
      <c r="F111" s="593"/>
      <c r="G111" s="703"/>
      <c r="H111" s="593"/>
      <c r="I111" s="593"/>
      <c r="J111" s="593"/>
      <c r="K111" s="647"/>
      <c r="L111" s="647"/>
      <c r="M111" s="708"/>
      <c r="N111" s="593"/>
      <c r="O111" s="593"/>
      <c r="P111" s="593"/>
    </row>
    <row r="112" spans="1:16" s="595" customFormat="1" ht="15" x14ac:dyDescent="0.25">
      <c r="A112" s="593"/>
      <c r="B112" s="593"/>
      <c r="C112" s="593"/>
      <c r="D112" s="703"/>
      <c r="E112" s="594"/>
      <c r="F112" s="593"/>
      <c r="G112" s="703"/>
      <c r="H112" s="593"/>
      <c r="I112" s="593"/>
      <c r="J112" s="593"/>
      <c r="K112" s="647"/>
      <c r="L112" s="647"/>
      <c r="M112" s="708"/>
      <c r="N112" s="593"/>
      <c r="O112" s="593"/>
      <c r="P112" s="593"/>
    </row>
    <row r="113" spans="1:16" s="595" customFormat="1" ht="15" x14ac:dyDescent="0.25">
      <c r="A113" s="593"/>
      <c r="B113" s="593"/>
      <c r="C113" s="593"/>
      <c r="D113" s="703"/>
      <c r="E113" s="594"/>
      <c r="F113" s="593"/>
      <c r="G113" s="703"/>
      <c r="H113" s="593"/>
      <c r="I113" s="593"/>
      <c r="J113" s="593"/>
      <c r="K113" s="647"/>
      <c r="L113" s="647"/>
      <c r="M113" s="708"/>
      <c r="N113" s="593"/>
      <c r="O113" s="593"/>
      <c r="P113" s="593"/>
    </row>
    <row r="114" spans="1:16" s="595" customFormat="1" ht="15" x14ac:dyDescent="0.25">
      <c r="A114" s="593"/>
      <c r="B114" s="593"/>
      <c r="C114" s="593"/>
      <c r="D114" s="703"/>
      <c r="E114" s="594"/>
      <c r="F114" s="593"/>
      <c r="G114" s="703"/>
      <c r="H114" s="593"/>
      <c r="I114" s="593"/>
      <c r="J114" s="593"/>
      <c r="K114" s="647"/>
      <c r="L114" s="647"/>
      <c r="M114" s="708"/>
      <c r="N114" s="593"/>
      <c r="O114" s="593"/>
      <c r="P114" s="593"/>
    </row>
    <row r="115" spans="1:16" s="595" customFormat="1" ht="15" x14ac:dyDescent="0.25">
      <c r="A115" s="593"/>
      <c r="B115" s="593"/>
      <c r="C115" s="593"/>
      <c r="D115" s="703"/>
      <c r="E115" s="594"/>
      <c r="F115" s="593"/>
      <c r="G115" s="703"/>
      <c r="H115" s="593"/>
      <c r="I115" s="593"/>
      <c r="J115" s="593"/>
      <c r="K115" s="647"/>
      <c r="L115" s="647"/>
      <c r="M115" s="708"/>
      <c r="N115" s="593"/>
      <c r="O115" s="593"/>
      <c r="P115" s="593"/>
    </row>
    <row r="116" spans="1:16" s="595" customFormat="1" ht="15" x14ac:dyDescent="0.25">
      <c r="A116" s="593"/>
      <c r="B116" s="593"/>
      <c r="C116" s="593"/>
      <c r="D116" s="703"/>
      <c r="E116" s="594"/>
      <c r="F116" s="593"/>
      <c r="G116" s="703"/>
      <c r="H116" s="593"/>
      <c r="I116" s="593"/>
      <c r="J116" s="593"/>
      <c r="K116" s="647"/>
      <c r="L116" s="647"/>
      <c r="M116" s="708"/>
      <c r="N116" s="593"/>
      <c r="O116" s="593"/>
      <c r="P116" s="593"/>
    </row>
    <row r="117" spans="1:16" s="595" customFormat="1" ht="15" x14ac:dyDescent="0.25">
      <c r="A117" s="593"/>
      <c r="B117" s="593"/>
      <c r="C117" s="593"/>
      <c r="D117" s="703"/>
      <c r="E117" s="594"/>
      <c r="F117" s="593"/>
      <c r="G117" s="703"/>
      <c r="H117" s="593"/>
      <c r="I117" s="593"/>
      <c r="J117" s="593"/>
      <c r="K117" s="647"/>
      <c r="L117" s="647"/>
      <c r="M117" s="708"/>
      <c r="N117" s="593"/>
      <c r="O117" s="593"/>
      <c r="P117" s="593"/>
    </row>
    <row r="118" spans="1:16" s="595" customFormat="1" ht="15" x14ac:dyDescent="0.25">
      <c r="A118" s="593"/>
      <c r="B118" s="593"/>
      <c r="C118" s="593"/>
      <c r="D118" s="703"/>
      <c r="E118" s="594"/>
      <c r="F118" s="593"/>
      <c r="G118" s="703"/>
      <c r="H118" s="593"/>
      <c r="I118" s="593"/>
      <c r="J118" s="593"/>
      <c r="K118" s="647"/>
      <c r="L118" s="647"/>
      <c r="M118" s="708"/>
      <c r="N118" s="593"/>
      <c r="O118" s="593"/>
      <c r="P118" s="593"/>
    </row>
    <row r="119" spans="1:16" s="595" customFormat="1" ht="15" x14ac:dyDescent="0.25">
      <c r="A119" s="593"/>
      <c r="B119" s="593"/>
      <c r="C119" s="593"/>
      <c r="D119" s="703"/>
      <c r="E119" s="594"/>
      <c r="F119" s="593"/>
      <c r="G119" s="703"/>
      <c r="H119" s="593"/>
      <c r="I119" s="593"/>
      <c r="J119" s="593"/>
      <c r="K119" s="647"/>
      <c r="L119" s="647"/>
      <c r="M119" s="708"/>
      <c r="N119" s="593"/>
      <c r="O119" s="593"/>
      <c r="P119" s="593"/>
    </row>
    <row r="120" spans="1:16" s="595" customFormat="1" ht="15" x14ac:dyDescent="0.25">
      <c r="A120" s="593"/>
      <c r="B120" s="593"/>
      <c r="C120" s="593"/>
      <c r="D120" s="703"/>
      <c r="E120" s="594"/>
      <c r="F120" s="593"/>
      <c r="G120" s="703"/>
      <c r="H120" s="593"/>
      <c r="I120" s="593"/>
      <c r="J120" s="593"/>
      <c r="K120" s="647"/>
      <c r="L120" s="647"/>
      <c r="M120" s="708"/>
      <c r="N120" s="593"/>
      <c r="O120" s="593"/>
      <c r="P120" s="593"/>
    </row>
    <row r="121" spans="1:16" s="595" customFormat="1" ht="15" x14ac:dyDescent="0.25">
      <c r="A121" s="593"/>
      <c r="B121" s="593"/>
      <c r="C121" s="593"/>
      <c r="D121" s="703"/>
      <c r="E121" s="594"/>
      <c r="F121" s="593"/>
      <c r="G121" s="703"/>
      <c r="H121" s="593"/>
      <c r="I121" s="593"/>
      <c r="J121" s="593"/>
      <c r="K121" s="647"/>
      <c r="L121" s="647"/>
      <c r="M121" s="708"/>
      <c r="N121" s="593"/>
      <c r="O121" s="593"/>
      <c r="P121" s="593"/>
    </row>
    <row r="122" spans="1:16" s="595" customFormat="1" ht="15" x14ac:dyDescent="0.25">
      <c r="A122" s="593"/>
      <c r="B122" s="593"/>
      <c r="C122" s="593"/>
      <c r="D122" s="703"/>
      <c r="E122" s="594"/>
      <c r="F122" s="593"/>
      <c r="G122" s="703"/>
      <c r="H122" s="593"/>
      <c r="I122" s="593"/>
      <c r="J122" s="593"/>
      <c r="K122" s="647"/>
      <c r="L122" s="647"/>
      <c r="M122" s="708"/>
      <c r="N122" s="593"/>
      <c r="O122" s="593"/>
      <c r="P122" s="593"/>
    </row>
    <row r="123" spans="1:16" s="595" customFormat="1" ht="15" x14ac:dyDescent="0.25">
      <c r="A123" s="593"/>
      <c r="B123" s="593"/>
      <c r="C123" s="593"/>
      <c r="D123" s="703"/>
      <c r="E123" s="594"/>
      <c r="F123" s="593"/>
      <c r="G123" s="703"/>
      <c r="H123" s="593"/>
      <c r="I123" s="593"/>
      <c r="J123" s="593"/>
      <c r="K123" s="647"/>
      <c r="L123" s="647"/>
      <c r="M123" s="708"/>
      <c r="N123" s="593"/>
      <c r="O123" s="593"/>
      <c r="P123" s="593"/>
    </row>
    <row r="124" spans="1:16" s="595" customFormat="1" ht="15" x14ac:dyDescent="0.25">
      <c r="A124" s="593"/>
      <c r="B124" s="593"/>
      <c r="C124" s="593"/>
      <c r="D124" s="703"/>
      <c r="E124" s="594"/>
      <c r="F124" s="593"/>
      <c r="G124" s="703"/>
      <c r="H124" s="593"/>
      <c r="I124" s="593"/>
      <c r="J124" s="593"/>
      <c r="K124" s="647"/>
      <c r="L124" s="647"/>
      <c r="M124" s="708"/>
      <c r="N124" s="593"/>
      <c r="O124" s="593"/>
      <c r="P124" s="593"/>
    </row>
    <row r="125" spans="1:16" s="595" customFormat="1" ht="15" x14ac:dyDescent="0.25">
      <c r="A125" s="593"/>
      <c r="B125" s="593"/>
      <c r="C125" s="593"/>
      <c r="D125" s="703"/>
      <c r="E125" s="594"/>
      <c r="F125" s="593"/>
      <c r="G125" s="703"/>
      <c r="H125" s="593"/>
      <c r="I125" s="593"/>
      <c r="J125" s="593"/>
      <c r="K125" s="647"/>
      <c r="L125" s="647"/>
      <c r="M125" s="708"/>
      <c r="N125" s="593"/>
      <c r="O125" s="593"/>
      <c r="P125" s="593"/>
    </row>
    <row r="126" spans="1:16" s="595" customFormat="1" ht="15" x14ac:dyDescent="0.25">
      <c r="A126" s="593"/>
      <c r="B126" s="593"/>
      <c r="C126" s="593"/>
      <c r="D126" s="703"/>
      <c r="E126" s="594"/>
      <c r="F126" s="593"/>
      <c r="G126" s="703"/>
      <c r="H126" s="593"/>
      <c r="I126" s="593"/>
      <c r="J126" s="593"/>
      <c r="K126" s="647"/>
      <c r="L126" s="647"/>
      <c r="M126" s="708"/>
      <c r="N126" s="593"/>
      <c r="O126" s="593"/>
      <c r="P126" s="593"/>
    </row>
    <row r="127" spans="1:16" s="595" customFormat="1" ht="15" x14ac:dyDescent="0.25">
      <c r="A127" s="593"/>
      <c r="B127" s="593"/>
      <c r="C127" s="593"/>
      <c r="D127" s="703"/>
      <c r="E127" s="594"/>
      <c r="F127" s="593"/>
      <c r="G127" s="703"/>
      <c r="H127" s="593"/>
      <c r="I127" s="593"/>
      <c r="J127" s="593"/>
      <c r="K127" s="647"/>
      <c r="L127" s="647"/>
      <c r="M127" s="708"/>
      <c r="N127" s="593"/>
      <c r="O127" s="593"/>
      <c r="P127" s="593"/>
    </row>
    <row r="128" spans="1:16" s="595" customFormat="1" ht="15" x14ac:dyDescent="0.25">
      <c r="A128" s="593"/>
      <c r="B128" s="593"/>
      <c r="C128" s="593"/>
      <c r="D128" s="703"/>
      <c r="E128" s="594"/>
      <c r="F128" s="593"/>
      <c r="G128" s="703"/>
      <c r="H128" s="593"/>
      <c r="I128" s="593"/>
      <c r="J128" s="593"/>
      <c r="K128" s="647"/>
      <c r="L128" s="647"/>
      <c r="M128" s="708"/>
      <c r="N128" s="593"/>
      <c r="O128" s="593"/>
      <c r="P128" s="593"/>
    </row>
    <row r="129" spans="1:16" s="595" customFormat="1" ht="15" x14ac:dyDescent="0.25">
      <c r="A129" s="593"/>
      <c r="B129" s="593"/>
      <c r="C129" s="593"/>
      <c r="D129" s="703"/>
      <c r="E129" s="594"/>
      <c r="F129" s="593"/>
      <c r="G129" s="703"/>
      <c r="H129" s="593"/>
      <c r="I129" s="593"/>
      <c r="J129" s="593"/>
      <c r="K129" s="647"/>
      <c r="L129" s="647"/>
      <c r="M129" s="708"/>
      <c r="N129" s="593"/>
      <c r="O129" s="593"/>
      <c r="P129" s="593"/>
    </row>
    <row r="130" spans="1:16" s="595" customFormat="1" ht="15" x14ac:dyDescent="0.25">
      <c r="A130" s="593"/>
      <c r="B130" s="593"/>
      <c r="C130" s="593"/>
      <c r="D130" s="703"/>
      <c r="E130" s="594"/>
      <c r="F130" s="593"/>
      <c r="G130" s="703"/>
      <c r="H130" s="593"/>
      <c r="I130" s="593"/>
      <c r="J130" s="593"/>
      <c r="K130" s="647"/>
      <c r="L130" s="647"/>
      <c r="M130" s="708"/>
      <c r="N130" s="593"/>
      <c r="O130" s="593"/>
      <c r="P130" s="593"/>
    </row>
    <row r="131" spans="1:16" s="595" customFormat="1" ht="15" x14ac:dyDescent="0.25">
      <c r="A131" s="593"/>
      <c r="B131" s="593"/>
      <c r="C131" s="593"/>
      <c r="D131" s="703"/>
      <c r="E131" s="594"/>
      <c r="F131" s="593"/>
      <c r="G131" s="703"/>
      <c r="H131" s="593"/>
      <c r="I131" s="593"/>
      <c r="J131" s="593"/>
      <c r="K131" s="647"/>
      <c r="L131" s="647"/>
      <c r="M131" s="708"/>
      <c r="N131" s="593"/>
      <c r="O131" s="593"/>
      <c r="P131" s="593"/>
    </row>
    <row r="132" spans="1:16" s="595" customFormat="1" ht="15" x14ac:dyDescent="0.25">
      <c r="A132" s="593"/>
      <c r="B132" s="593"/>
      <c r="C132" s="593"/>
      <c r="D132" s="703"/>
      <c r="E132" s="594"/>
      <c r="F132" s="593"/>
      <c r="G132" s="703"/>
      <c r="H132" s="593"/>
      <c r="I132" s="593"/>
      <c r="J132" s="593"/>
      <c r="K132" s="647"/>
      <c r="L132" s="647"/>
      <c r="M132" s="708"/>
      <c r="N132" s="593"/>
      <c r="O132" s="593"/>
      <c r="P132" s="593"/>
    </row>
    <row r="133" spans="1:16" s="595" customFormat="1" ht="15" x14ac:dyDescent="0.25">
      <c r="A133" s="593"/>
      <c r="B133" s="593"/>
      <c r="C133" s="593"/>
      <c r="D133" s="703"/>
      <c r="E133" s="594"/>
      <c r="F133" s="593"/>
      <c r="G133" s="703"/>
      <c r="H133" s="593"/>
      <c r="I133" s="593"/>
      <c r="J133" s="593"/>
      <c r="K133" s="647"/>
      <c r="L133" s="647"/>
      <c r="M133" s="708"/>
      <c r="N133" s="593"/>
      <c r="O133" s="593"/>
      <c r="P133" s="593"/>
    </row>
    <row r="134" spans="1:16" s="595" customFormat="1" ht="15" x14ac:dyDescent="0.25">
      <c r="A134" s="593"/>
      <c r="B134" s="593"/>
      <c r="C134" s="593"/>
      <c r="D134" s="703"/>
      <c r="E134" s="594"/>
      <c r="F134" s="593"/>
      <c r="G134" s="703"/>
      <c r="H134" s="593"/>
      <c r="I134" s="593"/>
      <c r="J134" s="593"/>
      <c r="K134" s="647"/>
      <c r="L134" s="647"/>
      <c r="M134" s="708"/>
      <c r="N134" s="593"/>
      <c r="O134" s="593"/>
      <c r="P134" s="593"/>
    </row>
    <row r="135" spans="1:16" s="595" customFormat="1" ht="15" x14ac:dyDescent="0.25">
      <c r="A135" s="593"/>
      <c r="B135" s="593"/>
      <c r="C135" s="593"/>
      <c r="D135" s="703"/>
      <c r="E135" s="594"/>
      <c r="F135" s="593"/>
      <c r="G135" s="703"/>
      <c r="H135" s="593"/>
      <c r="I135" s="593"/>
      <c r="J135" s="593"/>
      <c r="K135" s="647"/>
      <c r="L135" s="647"/>
      <c r="M135" s="708"/>
      <c r="N135" s="593"/>
      <c r="O135" s="593"/>
      <c r="P135" s="593"/>
    </row>
    <row r="136" spans="1:16" s="595" customFormat="1" ht="15" x14ac:dyDescent="0.25">
      <c r="A136" s="593"/>
      <c r="B136" s="593"/>
      <c r="C136" s="593"/>
      <c r="D136" s="703"/>
      <c r="E136" s="594"/>
      <c r="F136" s="593"/>
      <c r="G136" s="703"/>
      <c r="H136" s="593"/>
      <c r="I136" s="593"/>
      <c r="J136" s="593"/>
      <c r="K136" s="647"/>
      <c r="L136" s="647"/>
      <c r="M136" s="708"/>
      <c r="N136" s="593"/>
      <c r="O136" s="593"/>
      <c r="P136" s="593"/>
    </row>
    <row r="137" spans="1:16" s="595" customFormat="1" ht="15" x14ac:dyDescent="0.25">
      <c r="A137" s="593"/>
      <c r="B137" s="593"/>
      <c r="C137" s="593"/>
      <c r="D137" s="703"/>
      <c r="E137" s="594"/>
      <c r="F137" s="593"/>
      <c r="G137" s="703"/>
      <c r="H137" s="593"/>
      <c r="I137" s="593"/>
      <c r="J137" s="593"/>
      <c r="K137" s="647"/>
      <c r="L137" s="647"/>
      <c r="M137" s="708"/>
      <c r="N137" s="593"/>
      <c r="O137" s="593"/>
      <c r="P137" s="593"/>
    </row>
    <row r="138" spans="1:16" s="595" customFormat="1" ht="15" x14ac:dyDescent="0.25">
      <c r="A138" s="593"/>
      <c r="B138" s="593"/>
      <c r="C138" s="593"/>
      <c r="D138" s="703"/>
      <c r="E138" s="594"/>
      <c r="F138" s="593"/>
      <c r="G138" s="703"/>
      <c r="H138" s="593"/>
      <c r="I138" s="593"/>
      <c r="J138" s="593"/>
      <c r="K138" s="647"/>
      <c r="L138" s="647"/>
      <c r="M138" s="708"/>
      <c r="N138" s="593"/>
      <c r="O138" s="593"/>
      <c r="P138" s="593"/>
    </row>
    <row r="139" spans="1:16" s="595" customFormat="1" ht="15" x14ac:dyDescent="0.25">
      <c r="A139" s="593"/>
      <c r="B139" s="593"/>
      <c r="C139" s="593"/>
      <c r="D139" s="703"/>
      <c r="E139" s="594"/>
      <c r="F139" s="593"/>
      <c r="G139" s="703"/>
      <c r="H139" s="593"/>
      <c r="I139" s="593"/>
      <c r="J139" s="593"/>
      <c r="K139" s="647"/>
      <c r="L139" s="647"/>
      <c r="M139" s="708"/>
      <c r="N139" s="593"/>
      <c r="O139" s="593"/>
      <c r="P139" s="593"/>
    </row>
    <row r="140" spans="1:16" s="595" customFormat="1" ht="15" x14ac:dyDescent="0.25">
      <c r="A140" s="593"/>
      <c r="B140" s="593"/>
      <c r="C140" s="593"/>
      <c r="D140" s="703"/>
      <c r="E140" s="594"/>
      <c r="F140" s="593"/>
      <c r="G140" s="703"/>
      <c r="H140" s="593"/>
      <c r="I140" s="593"/>
      <c r="J140" s="593"/>
      <c r="K140" s="647"/>
      <c r="L140" s="647"/>
      <c r="M140" s="708"/>
      <c r="N140" s="593"/>
      <c r="O140" s="593"/>
      <c r="P140" s="593"/>
    </row>
    <row r="141" spans="1:16" s="595" customFormat="1" ht="15" x14ac:dyDescent="0.25">
      <c r="A141" s="593"/>
      <c r="B141" s="593"/>
      <c r="C141" s="593"/>
      <c r="D141" s="703"/>
      <c r="E141" s="594"/>
      <c r="F141" s="593"/>
      <c r="G141" s="703"/>
      <c r="H141" s="593"/>
      <c r="I141" s="593"/>
      <c r="J141" s="593"/>
      <c r="K141" s="647"/>
      <c r="L141" s="647"/>
      <c r="M141" s="708"/>
      <c r="N141" s="593"/>
      <c r="O141" s="593"/>
      <c r="P141" s="593"/>
    </row>
    <row r="142" spans="1:16" s="595" customFormat="1" ht="15" x14ac:dyDescent="0.25">
      <c r="A142" s="593"/>
      <c r="B142" s="593"/>
      <c r="C142" s="593"/>
      <c r="D142" s="703"/>
      <c r="E142" s="594"/>
      <c r="F142" s="593"/>
      <c r="G142" s="703"/>
      <c r="H142" s="593"/>
      <c r="I142" s="593"/>
      <c r="J142" s="593"/>
      <c r="K142" s="647"/>
      <c r="L142" s="647"/>
      <c r="M142" s="708"/>
      <c r="N142" s="593"/>
      <c r="O142" s="593"/>
      <c r="P142" s="593"/>
    </row>
    <row r="143" spans="1:16" s="595" customFormat="1" ht="15" x14ac:dyDescent="0.25">
      <c r="A143" s="593"/>
      <c r="B143" s="593"/>
      <c r="C143" s="593"/>
      <c r="D143" s="703"/>
      <c r="E143" s="594"/>
      <c r="F143" s="593"/>
      <c r="G143" s="703"/>
      <c r="H143" s="593"/>
      <c r="I143" s="593"/>
      <c r="J143" s="593"/>
      <c r="K143" s="647"/>
      <c r="L143" s="647"/>
      <c r="M143" s="708"/>
      <c r="N143" s="593"/>
      <c r="O143" s="593"/>
      <c r="P143" s="593"/>
    </row>
    <row r="144" spans="1:16" s="595" customFormat="1" ht="15" x14ac:dyDescent="0.25">
      <c r="A144" s="593"/>
      <c r="B144" s="593"/>
      <c r="C144" s="593"/>
      <c r="D144" s="703"/>
      <c r="E144" s="594"/>
      <c r="F144" s="593"/>
      <c r="G144" s="703"/>
      <c r="H144" s="593"/>
      <c r="I144" s="593"/>
      <c r="J144" s="593"/>
      <c r="K144" s="647"/>
      <c r="L144" s="647"/>
      <c r="M144" s="708"/>
      <c r="N144" s="593"/>
      <c r="O144" s="593"/>
      <c r="P144" s="593"/>
    </row>
    <row r="145" spans="1:16" s="595" customFormat="1" ht="15" x14ac:dyDescent="0.25">
      <c r="A145" s="593"/>
      <c r="B145" s="593"/>
      <c r="C145" s="593"/>
      <c r="D145" s="703"/>
      <c r="E145" s="594"/>
      <c r="F145" s="593"/>
      <c r="G145" s="703"/>
      <c r="H145" s="593"/>
      <c r="I145" s="593"/>
      <c r="J145" s="593"/>
      <c r="K145" s="647"/>
      <c r="L145" s="647"/>
      <c r="M145" s="708"/>
      <c r="N145" s="593"/>
      <c r="O145" s="593"/>
      <c r="P145" s="593"/>
    </row>
    <row r="146" spans="1:16" s="595" customFormat="1" ht="15" x14ac:dyDescent="0.25">
      <c r="A146" s="593"/>
      <c r="B146" s="593"/>
      <c r="C146" s="593"/>
      <c r="D146" s="703"/>
      <c r="E146" s="594"/>
      <c r="F146" s="593"/>
      <c r="G146" s="703"/>
      <c r="H146" s="593"/>
      <c r="I146" s="593"/>
      <c r="J146" s="593"/>
      <c r="K146" s="647"/>
      <c r="L146" s="647"/>
      <c r="M146" s="708"/>
      <c r="N146" s="593"/>
      <c r="O146" s="593"/>
      <c r="P146" s="593"/>
    </row>
    <row r="147" spans="1:16" s="595" customFormat="1" ht="15" x14ac:dyDescent="0.25">
      <c r="A147" s="593"/>
      <c r="B147" s="593"/>
      <c r="C147" s="593"/>
      <c r="D147" s="703"/>
      <c r="E147" s="594"/>
      <c r="F147" s="593"/>
      <c r="G147" s="703"/>
      <c r="H147" s="593"/>
      <c r="I147" s="593"/>
      <c r="J147" s="593"/>
      <c r="K147" s="647"/>
      <c r="L147" s="647"/>
      <c r="M147" s="708"/>
      <c r="N147" s="593"/>
      <c r="O147" s="593"/>
      <c r="P147" s="593"/>
    </row>
    <row r="148" spans="1:16" s="595" customFormat="1" ht="15" x14ac:dyDescent="0.25">
      <c r="A148" s="593"/>
      <c r="B148" s="593"/>
      <c r="C148" s="593"/>
      <c r="D148" s="703"/>
      <c r="E148" s="594"/>
      <c r="F148" s="593"/>
      <c r="G148" s="703"/>
      <c r="H148" s="593"/>
      <c r="I148" s="593"/>
      <c r="J148" s="593"/>
      <c r="K148" s="647"/>
      <c r="L148" s="647"/>
      <c r="M148" s="708"/>
      <c r="N148" s="593"/>
      <c r="O148" s="593"/>
      <c r="P148" s="593"/>
    </row>
    <row r="149" spans="1:16" s="595" customFormat="1" ht="15" x14ac:dyDescent="0.25">
      <c r="A149" s="593"/>
      <c r="B149" s="593"/>
      <c r="C149" s="593"/>
      <c r="D149" s="703"/>
      <c r="E149" s="594"/>
      <c r="F149" s="593"/>
      <c r="G149" s="703"/>
      <c r="H149" s="593"/>
      <c r="I149" s="593"/>
      <c r="J149" s="593"/>
      <c r="K149" s="647"/>
      <c r="L149" s="647"/>
      <c r="M149" s="708"/>
      <c r="N149" s="593"/>
      <c r="O149" s="593"/>
      <c r="P149" s="593"/>
    </row>
    <row r="150" spans="1:16" s="595" customFormat="1" ht="15" x14ac:dyDescent="0.25">
      <c r="A150" s="593"/>
      <c r="B150" s="593"/>
      <c r="C150" s="593"/>
      <c r="D150" s="703"/>
      <c r="E150" s="594"/>
      <c r="F150" s="593"/>
      <c r="G150" s="703"/>
      <c r="H150" s="593"/>
      <c r="I150" s="593"/>
      <c r="J150" s="593"/>
      <c r="K150" s="647"/>
      <c r="L150" s="647"/>
      <c r="M150" s="708"/>
      <c r="N150" s="593"/>
      <c r="O150" s="593"/>
      <c r="P150" s="593"/>
    </row>
    <row r="151" spans="1:16" s="595" customFormat="1" ht="15" x14ac:dyDescent="0.25">
      <c r="A151" s="593"/>
      <c r="B151" s="593"/>
      <c r="C151" s="593"/>
      <c r="D151" s="703"/>
      <c r="E151" s="594"/>
      <c r="F151" s="593"/>
      <c r="G151" s="703"/>
      <c r="H151" s="593"/>
      <c r="I151" s="593"/>
      <c r="J151" s="593"/>
      <c r="K151" s="647"/>
      <c r="L151" s="647"/>
      <c r="M151" s="708"/>
      <c r="N151" s="593"/>
      <c r="O151" s="593"/>
      <c r="P151" s="593"/>
    </row>
    <row r="152" spans="1:16" s="595" customFormat="1" ht="15" x14ac:dyDescent="0.25">
      <c r="A152" s="593"/>
      <c r="B152" s="593"/>
      <c r="C152" s="593"/>
      <c r="D152" s="703"/>
      <c r="E152" s="594"/>
      <c r="F152" s="593"/>
      <c r="G152" s="703"/>
      <c r="H152" s="593"/>
      <c r="I152" s="593"/>
      <c r="J152" s="593"/>
      <c r="K152" s="647"/>
      <c r="L152" s="647"/>
      <c r="M152" s="708"/>
      <c r="N152" s="593"/>
      <c r="O152" s="593"/>
      <c r="P152" s="593"/>
    </row>
    <row r="153" spans="1:16" s="595" customFormat="1" ht="0" hidden="1" customHeight="1" x14ac:dyDescent="0.25">
      <c r="A153" s="593"/>
      <c r="B153" s="593"/>
      <c r="C153" s="593"/>
      <c r="D153" s="703"/>
      <c r="E153" s="594"/>
      <c r="F153" s="593"/>
      <c r="G153" s="703"/>
      <c r="H153" s="593"/>
      <c r="I153" s="593"/>
      <c r="J153" s="593"/>
      <c r="K153" s="647"/>
      <c r="L153" s="647"/>
      <c r="M153" s="708"/>
      <c r="N153" s="593"/>
      <c r="O153" s="593"/>
      <c r="P153" s="593"/>
    </row>
    <row r="154" spans="1:16" s="595" customFormat="1" ht="0" hidden="1" customHeight="1" x14ac:dyDescent="0.25">
      <c r="A154" s="593"/>
      <c r="B154" s="593"/>
      <c r="C154" s="593"/>
      <c r="D154" s="703"/>
      <c r="E154" s="594"/>
      <c r="F154" s="593"/>
      <c r="G154" s="703"/>
      <c r="H154" s="593"/>
      <c r="I154" s="593"/>
      <c r="J154" s="593"/>
      <c r="K154" s="647"/>
      <c r="L154" s="647"/>
      <c r="M154" s="708"/>
      <c r="N154" s="593"/>
      <c r="O154" s="593"/>
      <c r="P154" s="593"/>
    </row>
    <row r="155" spans="1:16" s="595" customFormat="1" ht="0" hidden="1" customHeight="1" x14ac:dyDescent="0.25">
      <c r="A155" s="593"/>
      <c r="B155" s="593"/>
      <c r="C155" s="593"/>
      <c r="D155" s="703"/>
      <c r="E155" s="594"/>
      <c r="F155" s="593"/>
      <c r="G155" s="703"/>
      <c r="H155" s="593"/>
      <c r="I155" s="593"/>
      <c r="J155" s="593"/>
      <c r="K155" s="647"/>
      <c r="L155" s="647"/>
      <c r="M155" s="708"/>
      <c r="N155" s="593"/>
      <c r="O155" s="593"/>
      <c r="P155" s="593"/>
    </row>
    <row r="156" spans="1:16" s="595" customFormat="1" ht="0" hidden="1" customHeight="1" x14ac:dyDescent="0.25">
      <c r="A156" s="593"/>
      <c r="B156" s="593"/>
      <c r="C156" s="593"/>
      <c r="D156" s="703"/>
      <c r="E156" s="594"/>
      <c r="F156" s="593"/>
      <c r="G156" s="703"/>
      <c r="H156" s="593"/>
      <c r="I156" s="593"/>
      <c r="J156" s="593"/>
      <c r="K156" s="647"/>
      <c r="L156" s="647"/>
      <c r="M156" s="708"/>
      <c r="N156" s="593"/>
      <c r="O156" s="593"/>
      <c r="P156" s="593"/>
    </row>
    <row r="157" spans="1:16" s="595" customFormat="1" ht="0" hidden="1" customHeight="1" x14ac:dyDescent="0.25">
      <c r="A157" s="593"/>
      <c r="B157" s="593"/>
      <c r="C157" s="593"/>
      <c r="D157" s="703"/>
      <c r="E157" s="594"/>
      <c r="F157" s="593"/>
      <c r="G157" s="703"/>
      <c r="H157" s="593"/>
      <c r="I157" s="593"/>
      <c r="J157" s="593"/>
      <c r="K157" s="647"/>
      <c r="L157" s="647"/>
      <c r="M157" s="708"/>
      <c r="N157" s="593"/>
      <c r="O157" s="593"/>
      <c r="P157" s="593"/>
    </row>
    <row r="158" spans="1:16" s="595" customFormat="1" ht="0" hidden="1" customHeight="1" x14ac:dyDescent="0.25">
      <c r="A158" s="593"/>
      <c r="B158" s="593"/>
      <c r="C158" s="593"/>
      <c r="D158" s="703"/>
      <c r="E158" s="594"/>
      <c r="F158" s="593"/>
      <c r="G158" s="703"/>
      <c r="H158" s="593"/>
      <c r="I158" s="593"/>
      <c r="J158" s="593"/>
      <c r="K158" s="647"/>
      <c r="L158" s="647"/>
      <c r="M158" s="708"/>
      <c r="N158" s="593"/>
      <c r="O158" s="593"/>
      <c r="P158" s="593"/>
    </row>
    <row r="159" spans="1:16" s="595" customFormat="1" ht="0" hidden="1" customHeight="1" x14ac:dyDescent="0.25">
      <c r="A159" s="593"/>
      <c r="B159" s="593"/>
      <c r="C159" s="593"/>
      <c r="D159" s="703"/>
      <c r="E159" s="594"/>
      <c r="F159" s="593"/>
      <c r="G159" s="703"/>
      <c r="H159" s="593"/>
      <c r="I159" s="593"/>
      <c r="J159" s="593"/>
      <c r="K159" s="647"/>
      <c r="L159" s="647"/>
      <c r="M159" s="708"/>
      <c r="N159" s="593"/>
      <c r="O159" s="593"/>
      <c r="P159" s="593"/>
    </row>
    <row r="160" spans="1:16" s="595" customFormat="1" ht="0" hidden="1" customHeight="1" x14ac:dyDescent="0.25">
      <c r="A160" s="593"/>
      <c r="B160" s="593"/>
      <c r="C160" s="593"/>
      <c r="D160" s="703"/>
      <c r="E160" s="594"/>
      <c r="F160" s="593"/>
      <c r="G160" s="703"/>
      <c r="H160" s="593"/>
      <c r="I160" s="593"/>
      <c r="J160" s="593"/>
      <c r="K160" s="647"/>
      <c r="L160" s="647"/>
      <c r="M160" s="708"/>
      <c r="N160" s="593"/>
      <c r="O160" s="593"/>
      <c r="P160" s="593"/>
    </row>
    <row r="161" spans="1:16" s="595" customFormat="1" ht="0" hidden="1" customHeight="1" x14ac:dyDescent="0.25">
      <c r="A161" s="593"/>
      <c r="B161" s="593"/>
      <c r="C161" s="593"/>
      <c r="D161" s="703"/>
      <c r="E161" s="594"/>
      <c r="F161" s="593"/>
      <c r="G161" s="703"/>
      <c r="H161" s="593"/>
      <c r="I161" s="593"/>
      <c r="J161" s="593"/>
      <c r="K161" s="647"/>
      <c r="L161" s="647"/>
      <c r="M161" s="708"/>
      <c r="N161" s="593"/>
      <c r="O161" s="593"/>
      <c r="P161" s="593"/>
    </row>
    <row r="162" spans="1:16" s="595" customFormat="1" ht="0" hidden="1" customHeight="1" x14ac:dyDescent="0.25">
      <c r="A162" s="593"/>
      <c r="B162" s="593"/>
      <c r="C162" s="593"/>
      <c r="D162" s="703"/>
      <c r="E162" s="594"/>
      <c r="F162" s="593"/>
      <c r="G162" s="703"/>
      <c r="H162" s="593"/>
      <c r="I162" s="593"/>
      <c r="J162" s="593"/>
      <c r="K162" s="647"/>
      <c r="L162" s="647"/>
      <c r="M162" s="708"/>
      <c r="N162" s="593"/>
      <c r="O162" s="593"/>
      <c r="P162" s="593"/>
    </row>
    <row r="163" spans="1:16" s="595" customFormat="1" ht="0" hidden="1" customHeight="1" x14ac:dyDescent="0.25">
      <c r="A163" s="593"/>
      <c r="B163" s="593"/>
      <c r="C163" s="593"/>
      <c r="D163" s="703"/>
      <c r="E163" s="594"/>
      <c r="F163" s="593"/>
      <c r="G163" s="703"/>
      <c r="H163" s="593"/>
      <c r="I163" s="593"/>
      <c r="J163" s="593"/>
      <c r="K163" s="647"/>
      <c r="L163" s="647"/>
      <c r="M163" s="708"/>
      <c r="N163" s="593"/>
      <c r="O163" s="593"/>
      <c r="P163" s="593"/>
    </row>
    <row r="164" spans="1:16" s="595" customFormat="1" ht="0" hidden="1" customHeight="1" x14ac:dyDescent="0.25">
      <c r="A164" s="593"/>
      <c r="B164" s="593"/>
      <c r="C164" s="593"/>
      <c r="D164" s="703"/>
      <c r="E164" s="594"/>
      <c r="F164" s="593"/>
      <c r="G164" s="703"/>
      <c r="H164" s="593"/>
      <c r="I164" s="593"/>
      <c r="J164" s="593"/>
      <c r="K164" s="647"/>
      <c r="L164" s="647"/>
      <c r="M164" s="708"/>
      <c r="N164" s="593"/>
      <c r="O164" s="593"/>
      <c r="P164" s="593"/>
    </row>
    <row r="165" spans="1:16" s="595" customFormat="1" ht="0" hidden="1" customHeight="1" x14ac:dyDescent="0.25">
      <c r="A165" s="593"/>
      <c r="B165" s="593"/>
      <c r="C165" s="593"/>
      <c r="D165" s="703"/>
      <c r="E165" s="594"/>
      <c r="F165" s="593"/>
      <c r="G165" s="703"/>
      <c r="H165" s="593"/>
      <c r="I165" s="593"/>
      <c r="J165" s="593"/>
      <c r="K165" s="647"/>
      <c r="L165" s="647"/>
      <c r="M165" s="708"/>
      <c r="N165" s="593"/>
      <c r="O165" s="593"/>
      <c r="P165" s="593"/>
    </row>
    <row r="166" spans="1:16" s="595" customFormat="1" ht="0" hidden="1" customHeight="1" x14ac:dyDescent="0.25">
      <c r="A166" s="593"/>
      <c r="B166" s="593"/>
      <c r="C166" s="593"/>
      <c r="D166" s="703"/>
      <c r="E166" s="594"/>
      <c r="F166" s="593"/>
      <c r="G166" s="703"/>
      <c r="H166" s="593"/>
      <c r="I166" s="593"/>
      <c r="J166" s="593"/>
      <c r="K166" s="647"/>
      <c r="L166" s="647"/>
      <c r="M166" s="708"/>
      <c r="N166" s="593"/>
      <c r="O166" s="593"/>
      <c r="P166" s="593"/>
    </row>
    <row r="167" spans="1:16" s="595" customFormat="1" ht="0" hidden="1" customHeight="1" x14ac:dyDescent="0.25">
      <c r="A167" s="593"/>
      <c r="B167" s="593"/>
      <c r="C167" s="593"/>
      <c r="D167" s="703"/>
      <c r="E167" s="594"/>
      <c r="F167" s="593"/>
      <c r="G167" s="703"/>
      <c r="H167" s="593"/>
      <c r="I167" s="593"/>
      <c r="J167" s="593"/>
      <c r="K167" s="647"/>
      <c r="L167" s="647"/>
      <c r="M167" s="708"/>
      <c r="N167" s="593"/>
      <c r="O167" s="593"/>
      <c r="P167" s="593"/>
    </row>
    <row r="168" spans="1:16" s="595" customFormat="1" ht="0" hidden="1" customHeight="1" x14ac:dyDescent="0.25">
      <c r="A168" s="593"/>
      <c r="B168" s="593"/>
      <c r="C168" s="593"/>
      <c r="D168" s="703"/>
      <c r="E168" s="594"/>
      <c r="F168" s="593"/>
      <c r="G168" s="703"/>
      <c r="H168" s="593"/>
      <c r="I168" s="593"/>
      <c r="J168" s="593"/>
      <c r="K168" s="647"/>
      <c r="L168" s="647"/>
      <c r="M168" s="708"/>
      <c r="N168" s="593"/>
      <c r="O168" s="593"/>
      <c r="P168" s="593"/>
    </row>
    <row r="169" spans="1:16" s="595" customFormat="1" ht="0" hidden="1" customHeight="1" x14ac:dyDescent="0.25">
      <c r="A169" s="593"/>
      <c r="B169" s="593"/>
      <c r="C169" s="593"/>
      <c r="D169" s="703"/>
      <c r="E169" s="594"/>
      <c r="F169" s="593"/>
      <c r="G169" s="703"/>
      <c r="H169" s="593"/>
      <c r="I169" s="593"/>
      <c r="J169" s="593"/>
      <c r="K169" s="647"/>
      <c r="L169" s="647"/>
      <c r="M169" s="708"/>
      <c r="N169" s="593"/>
      <c r="O169" s="593"/>
      <c r="P169" s="593"/>
    </row>
    <row r="170" spans="1:16" s="595" customFormat="1" ht="0" hidden="1" customHeight="1" x14ac:dyDescent="0.25">
      <c r="A170" s="593"/>
      <c r="B170" s="593"/>
      <c r="C170" s="593"/>
      <c r="D170" s="703"/>
      <c r="E170" s="594"/>
      <c r="F170" s="593"/>
      <c r="G170" s="703"/>
      <c r="H170" s="593"/>
      <c r="I170" s="593"/>
      <c r="J170" s="593"/>
      <c r="K170" s="647"/>
      <c r="L170" s="647"/>
      <c r="M170" s="708"/>
      <c r="N170" s="593"/>
      <c r="O170" s="593"/>
      <c r="P170" s="593"/>
    </row>
    <row r="171" spans="1:16" s="595" customFormat="1" ht="0" hidden="1" customHeight="1" x14ac:dyDescent="0.25">
      <c r="A171" s="593"/>
      <c r="B171" s="593"/>
      <c r="C171" s="593"/>
      <c r="D171" s="703"/>
      <c r="E171" s="594"/>
      <c r="F171" s="593"/>
      <c r="G171" s="703"/>
      <c r="H171" s="593"/>
      <c r="I171" s="593"/>
      <c r="J171" s="593"/>
      <c r="K171" s="647"/>
      <c r="L171" s="647"/>
      <c r="M171" s="708"/>
      <c r="N171" s="593"/>
      <c r="O171" s="593"/>
      <c r="P171" s="593"/>
    </row>
    <row r="172" spans="1:16" s="595" customFormat="1" ht="0" hidden="1" customHeight="1" x14ac:dyDescent="0.25">
      <c r="A172" s="593"/>
      <c r="B172" s="593"/>
      <c r="C172" s="593"/>
      <c r="D172" s="703"/>
      <c r="E172" s="594"/>
      <c r="F172" s="593"/>
      <c r="G172" s="703"/>
      <c r="H172" s="593"/>
      <c r="I172" s="593"/>
      <c r="J172" s="593"/>
      <c r="K172" s="647"/>
      <c r="L172" s="647"/>
      <c r="M172" s="708"/>
      <c r="N172" s="593"/>
      <c r="O172" s="593"/>
      <c r="P172" s="593"/>
    </row>
    <row r="173" spans="1:16" s="595" customFormat="1" ht="0" hidden="1" customHeight="1" x14ac:dyDescent="0.25">
      <c r="A173" s="593"/>
      <c r="B173" s="593"/>
      <c r="C173" s="593"/>
      <c r="D173" s="703"/>
      <c r="E173" s="594"/>
      <c r="F173" s="593"/>
      <c r="G173" s="703"/>
      <c r="H173" s="593"/>
      <c r="I173" s="593"/>
      <c r="J173" s="593"/>
      <c r="K173" s="647"/>
      <c r="L173" s="647"/>
      <c r="M173" s="708"/>
      <c r="N173" s="593"/>
      <c r="O173" s="593"/>
      <c r="P173" s="593"/>
    </row>
    <row r="174" spans="1:16" s="595" customFormat="1" ht="0" hidden="1" customHeight="1" x14ac:dyDescent="0.25">
      <c r="A174" s="593"/>
      <c r="B174" s="593"/>
      <c r="C174" s="593"/>
      <c r="D174" s="703"/>
      <c r="E174" s="594"/>
      <c r="F174" s="593"/>
      <c r="G174" s="703"/>
      <c r="H174" s="593"/>
      <c r="I174" s="593"/>
      <c r="J174" s="593"/>
      <c r="K174" s="647"/>
      <c r="L174" s="647"/>
      <c r="M174" s="708"/>
      <c r="N174" s="593"/>
      <c r="O174" s="593"/>
      <c r="P174" s="593"/>
    </row>
    <row r="175" spans="1:16" s="595" customFormat="1" ht="0" hidden="1" customHeight="1" x14ac:dyDescent="0.25">
      <c r="A175" s="593"/>
      <c r="B175" s="593"/>
      <c r="C175" s="593"/>
      <c r="D175" s="703"/>
      <c r="E175" s="594"/>
      <c r="F175" s="593"/>
      <c r="G175" s="703"/>
      <c r="H175" s="593"/>
      <c r="I175" s="593"/>
      <c r="J175" s="593"/>
      <c r="K175" s="647"/>
      <c r="L175" s="647"/>
      <c r="M175" s="708"/>
      <c r="N175" s="593"/>
      <c r="O175" s="593"/>
      <c r="P175" s="593"/>
    </row>
    <row r="176" spans="1:16" s="595" customFormat="1" ht="0" hidden="1" customHeight="1" x14ac:dyDescent="0.25">
      <c r="A176" s="593"/>
      <c r="B176" s="593"/>
      <c r="C176" s="593"/>
      <c r="D176" s="703"/>
      <c r="E176" s="594"/>
      <c r="F176" s="593"/>
      <c r="G176" s="703"/>
      <c r="H176" s="593"/>
      <c r="I176" s="593"/>
      <c r="J176" s="593"/>
      <c r="K176" s="647"/>
      <c r="L176" s="647"/>
      <c r="M176" s="708"/>
      <c r="N176" s="593"/>
      <c r="O176" s="593"/>
      <c r="P176" s="593"/>
    </row>
    <row r="177" spans="1:16" s="595" customFormat="1" ht="0" hidden="1" customHeight="1" x14ac:dyDescent="0.25">
      <c r="A177" s="593"/>
      <c r="B177" s="593"/>
      <c r="C177" s="593"/>
      <c r="D177" s="703"/>
      <c r="E177" s="594"/>
      <c r="F177" s="593"/>
      <c r="G177" s="703"/>
      <c r="H177" s="593"/>
      <c r="I177" s="593"/>
      <c r="J177" s="593"/>
      <c r="K177" s="647"/>
      <c r="L177" s="647"/>
      <c r="M177" s="708"/>
      <c r="N177" s="593"/>
      <c r="O177" s="593"/>
      <c r="P177" s="593"/>
    </row>
    <row r="178" spans="1:16" s="595" customFormat="1" ht="0" hidden="1" customHeight="1" x14ac:dyDescent="0.25">
      <c r="A178" s="593"/>
      <c r="B178" s="593"/>
      <c r="C178" s="593"/>
      <c r="D178" s="703"/>
      <c r="E178" s="594"/>
      <c r="F178" s="593"/>
      <c r="G178" s="703"/>
      <c r="H178" s="593"/>
      <c r="I178" s="593"/>
      <c r="J178" s="593"/>
      <c r="K178" s="647"/>
      <c r="L178" s="647"/>
      <c r="M178" s="708"/>
      <c r="N178" s="593"/>
      <c r="O178" s="593"/>
      <c r="P178" s="593"/>
    </row>
    <row r="179" spans="1:16" s="595" customFormat="1" ht="0" hidden="1" customHeight="1" x14ac:dyDescent="0.25">
      <c r="A179" s="593"/>
      <c r="B179" s="593"/>
      <c r="C179" s="593"/>
      <c r="D179" s="703"/>
      <c r="E179" s="594"/>
      <c r="F179" s="593"/>
      <c r="G179" s="703"/>
      <c r="H179" s="593"/>
      <c r="I179" s="593"/>
      <c r="J179" s="593"/>
      <c r="K179" s="647"/>
      <c r="L179" s="647"/>
      <c r="M179" s="708"/>
      <c r="N179" s="593"/>
      <c r="O179" s="593"/>
      <c r="P179" s="593"/>
    </row>
    <row r="180" spans="1:16" s="595" customFormat="1" ht="0" hidden="1" customHeight="1" x14ac:dyDescent="0.25">
      <c r="A180" s="593"/>
      <c r="B180" s="593"/>
      <c r="C180" s="593"/>
      <c r="D180" s="703"/>
      <c r="E180" s="594"/>
      <c r="F180" s="593"/>
      <c r="G180" s="703"/>
      <c r="H180" s="593"/>
      <c r="I180" s="593"/>
      <c r="J180" s="593"/>
      <c r="K180" s="647"/>
      <c r="L180" s="647"/>
      <c r="M180" s="708"/>
      <c r="N180" s="593"/>
      <c r="O180" s="593"/>
      <c r="P180" s="593"/>
    </row>
    <row r="181" spans="1:16" s="595" customFormat="1" ht="0" hidden="1" customHeight="1" x14ac:dyDescent="0.25">
      <c r="A181" s="593"/>
      <c r="B181" s="593"/>
      <c r="C181" s="593"/>
      <c r="D181" s="703"/>
      <c r="E181" s="594"/>
      <c r="F181" s="593"/>
      <c r="G181" s="703"/>
      <c r="H181" s="593"/>
      <c r="I181" s="593"/>
      <c r="J181" s="593"/>
      <c r="K181" s="647"/>
      <c r="L181" s="647"/>
      <c r="M181" s="708"/>
      <c r="N181" s="593"/>
      <c r="O181" s="593"/>
      <c r="P181" s="593"/>
    </row>
    <row r="182" spans="1:16" s="595" customFormat="1" ht="0" hidden="1" customHeight="1" x14ac:dyDescent="0.25">
      <c r="A182" s="593"/>
      <c r="B182" s="593"/>
      <c r="C182" s="593"/>
      <c r="D182" s="703"/>
      <c r="E182" s="594"/>
      <c r="F182" s="593"/>
      <c r="G182" s="703"/>
      <c r="H182" s="593"/>
      <c r="I182" s="593"/>
      <c r="J182" s="593"/>
      <c r="K182" s="647"/>
      <c r="L182" s="647"/>
      <c r="M182" s="708"/>
      <c r="N182" s="593"/>
      <c r="O182" s="593"/>
      <c r="P182" s="593"/>
    </row>
    <row r="183" spans="1:16" s="595" customFormat="1" ht="0" hidden="1" customHeight="1" x14ac:dyDescent="0.25">
      <c r="A183" s="593"/>
      <c r="B183" s="593"/>
      <c r="C183" s="593"/>
      <c r="D183" s="703"/>
      <c r="E183" s="594"/>
      <c r="F183" s="593"/>
      <c r="G183" s="703"/>
      <c r="H183" s="593"/>
      <c r="I183" s="593"/>
      <c r="J183" s="593"/>
      <c r="K183" s="647"/>
      <c r="L183" s="647"/>
      <c r="M183" s="708"/>
      <c r="N183" s="593"/>
      <c r="O183" s="593"/>
      <c r="P183" s="593"/>
    </row>
    <row r="184" spans="1:16" s="595" customFormat="1" ht="0" hidden="1" customHeight="1" x14ac:dyDescent="0.25">
      <c r="A184" s="593"/>
      <c r="B184" s="593"/>
      <c r="C184" s="593"/>
      <c r="D184" s="703"/>
      <c r="E184" s="594"/>
      <c r="F184" s="593"/>
      <c r="G184" s="703"/>
      <c r="H184" s="593"/>
      <c r="I184" s="593"/>
      <c r="J184" s="593"/>
      <c r="K184" s="647"/>
      <c r="L184" s="647"/>
      <c r="M184" s="708"/>
      <c r="N184" s="593"/>
      <c r="O184" s="593"/>
      <c r="P184" s="593"/>
    </row>
    <row r="185" spans="1:16" s="595" customFormat="1" ht="0" hidden="1" customHeight="1" x14ac:dyDescent="0.25">
      <c r="A185" s="593"/>
      <c r="B185" s="593"/>
      <c r="C185" s="593"/>
      <c r="D185" s="703"/>
      <c r="E185" s="594"/>
      <c r="F185" s="593"/>
      <c r="G185" s="703"/>
      <c r="H185" s="593"/>
      <c r="I185" s="593"/>
      <c r="J185" s="593"/>
      <c r="K185" s="647"/>
      <c r="L185" s="647"/>
      <c r="M185" s="708"/>
      <c r="N185" s="593"/>
      <c r="O185" s="593"/>
      <c r="P185" s="593"/>
    </row>
    <row r="186" spans="1:16" s="595" customFormat="1" ht="0" hidden="1" customHeight="1" x14ac:dyDescent="0.25">
      <c r="A186" s="593"/>
      <c r="B186" s="593"/>
      <c r="C186" s="593"/>
      <c r="D186" s="703"/>
      <c r="E186" s="594"/>
      <c r="F186" s="593"/>
      <c r="G186" s="703"/>
      <c r="H186" s="593"/>
      <c r="I186" s="593"/>
      <c r="J186" s="593"/>
      <c r="K186" s="647"/>
      <c r="L186" s="647"/>
      <c r="M186" s="708"/>
      <c r="N186" s="593"/>
      <c r="O186" s="593"/>
      <c r="P186" s="593"/>
    </row>
    <row r="187" spans="1:16" s="595" customFormat="1" ht="0" hidden="1" customHeight="1" x14ac:dyDescent="0.25">
      <c r="A187" s="593"/>
      <c r="B187" s="593"/>
      <c r="C187" s="593"/>
      <c r="D187" s="703"/>
      <c r="E187" s="594"/>
      <c r="F187" s="593"/>
      <c r="G187" s="703"/>
      <c r="H187" s="593"/>
      <c r="I187" s="593"/>
      <c r="J187" s="593"/>
      <c r="K187" s="647"/>
      <c r="L187" s="647"/>
      <c r="M187" s="708"/>
      <c r="N187" s="593"/>
      <c r="O187" s="593"/>
      <c r="P187" s="593"/>
    </row>
    <row r="188" spans="1:16" s="595" customFormat="1" ht="0" hidden="1" customHeight="1" x14ac:dyDescent="0.25">
      <c r="A188" s="593"/>
      <c r="B188" s="593"/>
      <c r="C188" s="593"/>
      <c r="D188" s="703"/>
      <c r="E188" s="594"/>
      <c r="F188" s="593"/>
      <c r="G188" s="703"/>
      <c r="H188" s="593"/>
      <c r="I188" s="593"/>
      <c r="J188" s="593"/>
      <c r="K188" s="647"/>
      <c r="L188" s="647"/>
      <c r="M188" s="708"/>
      <c r="N188" s="593"/>
      <c r="O188" s="593"/>
      <c r="P188" s="593"/>
    </row>
    <row r="189" spans="1:16" s="595" customFormat="1" ht="0" hidden="1" customHeight="1" x14ac:dyDescent="0.25">
      <c r="A189" s="593"/>
      <c r="B189" s="593"/>
      <c r="C189" s="593"/>
      <c r="D189" s="703"/>
      <c r="E189" s="594"/>
      <c r="F189" s="593"/>
      <c r="G189" s="703"/>
      <c r="H189" s="593"/>
      <c r="I189" s="593"/>
      <c r="J189" s="593"/>
      <c r="K189" s="647"/>
      <c r="L189" s="647"/>
      <c r="M189" s="708"/>
      <c r="N189" s="593"/>
      <c r="O189" s="593"/>
      <c r="P189" s="593"/>
    </row>
    <row r="190" spans="1:16" s="595" customFormat="1" ht="0" hidden="1" customHeight="1" x14ac:dyDescent="0.25">
      <c r="A190" s="593"/>
      <c r="B190" s="593"/>
      <c r="C190" s="593"/>
      <c r="D190" s="703"/>
      <c r="E190" s="594"/>
      <c r="F190" s="593"/>
      <c r="G190" s="703"/>
      <c r="H190" s="593"/>
      <c r="I190" s="593"/>
      <c r="J190" s="593"/>
      <c r="K190" s="647"/>
      <c r="L190" s="647"/>
      <c r="M190" s="708"/>
      <c r="N190" s="593"/>
      <c r="O190" s="593"/>
      <c r="P190" s="593"/>
    </row>
    <row r="191" spans="1:16" s="595" customFormat="1" ht="0" hidden="1" customHeight="1" x14ac:dyDescent="0.25">
      <c r="A191" s="593"/>
      <c r="B191" s="593"/>
      <c r="C191" s="593"/>
      <c r="D191" s="703"/>
      <c r="E191" s="594"/>
      <c r="F191" s="593"/>
      <c r="G191" s="703"/>
      <c r="H191" s="593"/>
      <c r="I191" s="593"/>
      <c r="J191" s="593"/>
      <c r="K191" s="647"/>
      <c r="L191" s="647"/>
      <c r="M191" s="708"/>
      <c r="N191" s="593"/>
      <c r="O191" s="593"/>
      <c r="P191" s="593"/>
    </row>
    <row r="192" spans="1:16" s="595" customFormat="1" ht="0" hidden="1" customHeight="1" x14ac:dyDescent="0.25">
      <c r="A192" s="593"/>
      <c r="B192" s="593"/>
      <c r="C192" s="593"/>
      <c r="D192" s="703"/>
      <c r="E192" s="594"/>
      <c r="F192" s="593"/>
      <c r="G192" s="703"/>
      <c r="H192" s="593"/>
      <c r="I192" s="593"/>
      <c r="J192" s="593"/>
      <c r="K192" s="647"/>
      <c r="L192" s="647"/>
      <c r="M192" s="708"/>
      <c r="N192" s="593"/>
      <c r="O192" s="593"/>
      <c r="P192" s="593"/>
    </row>
    <row r="193" spans="1:16" s="595" customFormat="1" ht="0" hidden="1" customHeight="1" x14ac:dyDescent="0.25">
      <c r="A193" s="593"/>
      <c r="B193" s="593"/>
      <c r="C193" s="593"/>
      <c r="D193" s="703"/>
      <c r="E193" s="594"/>
      <c r="F193" s="593"/>
      <c r="G193" s="703"/>
      <c r="H193" s="593"/>
      <c r="I193" s="593"/>
      <c r="J193" s="593"/>
      <c r="K193" s="647"/>
      <c r="L193" s="647"/>
      <c r="M193" s="708"/>
      <c r="N193" s="593"/>
      <c r="O193" s="593"/>
      <c r="P193" s="593"/>
    </row>
    <row r="194" spans="1:16" s="595" customFormat="1" ht="0" hidden="1" customHeight="1" x14ac:dyDescent="0.25">
      <c r="A194" s="593"/>
      <c r="B194" s="593"/>
      <c r="C194" s="593"/>
      <c r="D194" s="703"/>
      <c r="E194" s="594"/>
      <c r="F194" s="593"/>
      <c r="G194" s="703"/>
      <c r="H194" s="593"/>
      <c r="I194" s="593"/>
      <c r="J194" s="593"/>
      <c r="K194" s="647"/>
      <c r="L194" s="647"/>
      <c r="M194" s="708"/>
      <c r="N194" s="593"/>
      <c r="O194" s="593"/>
      <c r="P194" s="593"/>
    </row>
    <row r="195" spans="1:16" s="595" customFormat="1" ht="0" hidden="1" customHeight="1" x14ac:dyDescent="0.25">
      <c r="A195" s="593"/>
      <c r="B195" s="593"/>
      <c r="C195" s="593"/>
      <c r="D195" s="703"/>
      <c r="E195" s="594"/>
      <c r="F195" s="593"/>
      <c r="G195" s="703"/>
      <c r="H195" s="593"/>
      <c r="I195" s="593"/>
      <c r="J195" s="593"/>
      <c r="K195" s="647"/>
      <c r="L195" s="647"/>
      <c r="M195" s="708"/>
      <c r="N195" s="593"/>
      <c r="O195" s="593"/>
      <c r="P195" s="593"/>
    </row>
    <row r="196" spans="1:16" s="595" customFormat="1" ht="0" hidden="1" customHeight="1" x14ac:dyDescent="0.25">
      <c r="A196" s="593"/>
      <c r="B196" s="593"/>
      <c r="C196" s="593"/>
      <c r="D196" s="703"/>
      <c r="E196" s="594"/>
      <c r="F196" s="593"/>
      <c r="G196" s="703"/>
      <c r="H196" s="593"/>
      <c r="I196" s="593"/>
      <c r="J196" s="593"/>
      <c r="K196" s="647"/>
      <c r="L196" s="647"/>
      <c r="M196" s="708"/>
      <c r="N196" s="593"/>
      <c r="O196" s="593"/>
      <c r="P196" s="593"/>
    </row>
    <row r="197" spans="1:16" s="595" customFormat="1" ht="0" hidden="1" customHeight="1" x14ac:dyDescent="0.25">
      <c r="A197" s="593"/>
      <c r="B197" s="593"/>
      <c r="C197" s="593"/>
      <c r="D197" s="703"/>
      <c r="E197" s="594"/>
      <c r="F197" s="593"/>
      <c r="G197" s="703"/>
      <c r="H197" s="593"/>
      <c r="I197" s="593"/>
      <c r="J197" s="593"/>
      <c r="K197" s="647"/>
      <c r="L197" s="647"/>
      <c r="M197" s="708"/>
      <c r="N197" s="593"/>
      <c r="O197" s="593"/>
      <c r="P197" s="593"/>
    </row>
    <row r="198" spans="1:16" s="595" customFormat="1" ht="0" hidden="1" customHeight="1" x14ac:dyDescent="0.25">
      <c r="A198" s="593"/>
      <c r="B198" s="593"/>
      <c r="C198" s="593"/>
      <c r="D198" s="703"/>
      <c r="E198" s="594"/>
      <c r="F198" s="593"/>
      <c r="G198" s="703"/>
      <c r="H198" s="593"/>
      <c r="I198" s="593"/>
      <c r="J198" s="593"/>
      <c r="K198" s="647"/>
      <c r="L198" s="647"/>
      <c r="M198" s="708"/>
      <c r="N198" s="593"/>
      <c r="O198" s="593"/>
      <c r="P198" s="593"/>
    </row>
    <row r="199" spans="1:16" s="595" customFormat="1" ht="0" hidden="1" customHeight="1" x14ac:dyDescent="0.25">
      <c r="A199" s="593"/>
      <c r="B199" s="593"/>
      <c r="C199" s="593"/>
      <c r="D199" s="703"/>
      <c r="E199" s="594"/>
      <c r="F199" s="593"/>
      <c r="G199" s="703"/>
      <c r="H199" s="593"/>
      <c r="I199" s="593"/>
      <c r="J199" s="593"/>
      <c r="K199" s="647"/>
      <c r="L199" s="647"/>
      <c r="M199" s="708"/>
      <c r="N199" s="593"/>
      <c r="O199" s="593"/>
      <c r="P199" s="593"/>
    </row>
    <row r="200" spans="1:16" s="595" customFormat="1" ht="0" hidden="1" customHeight="1" x14ac:dyDescent="0.25">
      <c r="A200" s="593"/>
      <c r="B200" s="593"/>
      <c r="C200" s="593"/>
      <c r="D200" s="703"/>
      <c r="E200" s="594"/>
      <c r="F200" s="593"/>
      <c r="G200" s="703"/>
      <c r="H200" s="593"/>
      <c r="I200" s="593"/>
      <c r="J200" s="593"/>
      <c r="K200" s="647"/>
      <c r="L200" s="647"/>
      <c r="M200" s="708"/>
      <c r="N200" s="593"/>
      <c r="O200" s="593"/>
      <c r="P200" s="593"/>
    </row>
    <row r="201" spans="1:16" s="595" customFormat="1" ht="0" hidden="1" customHeight="1" x14ac:dyDescent="0.25">
      <c r="A201" s="593"/>
      <c r="B201" s="593"/>
      <c r="C201" s="593"/>
      <c r="D201" s="703"/>
      <c r="E201" s="594"/>
      <c r="F201" s="593"/>
      <c r="G201" s="703"/>
      <c r="H201" s="593"/>
      <c r="I201" s="593"/>
      <c r="J201" s="593"/>
      <c r="K201" s="647"/>
      <c r="L201" s="647"/>
      <c r="M201" s="708"/>
      <c r="N201" s="593"/>
      <c r="O201" s="593"/>
      <c r="P201" s="593"/>
    </row>
    <row r="202" spans="1:16" s="595" customFormat="1" ht="0" hidden="1" customHeight="1" x14ac:dyDescent="0.25">
      <c r="A202" s="593"/>
      <c r="B202" s="593"/>
      <c r="C202" s="593"/>
      <c r="D202" s="703"/>
      <c r="E202" s="594"/>
      <c r="F202" s="593"/>
      <c r="G202" s="703"/>
      <c r="H202" s="593"/>
      <c r="I202" s="593"/>
      <c r="J202" s="593"/>
      <c r="K202" s="647"/>
      <c r="L202" s="647"/>
      <c r="M202" s="708"/>
      <c r="N202" s="593"/>
      <c r="O202" s="593"/>
      <c r="P202" s="593"/>
    </row>
    <row r="203" spans="1:16" s="595" customFormat="1" ht="0" hidden="1" customHeight="1" x14ac:dyDescent="0.25">
      <c r="A203" s="593"/>
      <c r="B203" s="593"/>
      <c r="C203" s="593"/>
      <c r="D203" s="703"/>
      <c r="E203" s="594"/>
      <c r="F203" s="593"/>
      <c r="G203" s="703"/>
      <c r="H203" s="593"/>
      <c r="I203" s="593"/>
      <c r="J203" s="593"/>
      <c r="K203" s="647"/>
      <c r="L203" s="647"/>
      <c r="M203" s="708"/>
      <c r="N203" s="593"/>
      <c r="O203" s="593"/>
      <c r="P203" s="593"/>
    </row>
    <row r="204" spans="1:16" s="595" customFormat="1" ht="0" hidden="1" customHeight="1" x14ac:dyDescent="0.25">
      <c r="A204" s="593"/>
      <c r="B204" s="593"/>
      <c r="C204" s="593"/>
      <c r="D204" s="703"/>
      <c r="E204" s="594"/>
      <c r="F204" s="593"/>
      <c r="G204" s="703"/>
      <c r="H204" s="593"/>
      <c r="I204" s="593"/>
      <c r="J204" s="593"/>
      <c r="K204" s="647"/>
      <c r="L204" s="647"/>
      <c r="M204" s="708"/>
      <c r="N204" s="593"/>
      <c r="O204" s="593"/>
      <c r="P204" s="593"/>
    </row>
    <row r="205" spans="1:16" s="595" customFormat="1" ht="0" hidden="1" customHeight="1" x14ac:dyDescent="0.25">
      <c r="A205" s="593"/>
      <c r="B205" s="593"/>
      <c r="C205" s="593"/>
      <c r="D205" s="703"/>
      <c r="E205" s="594"/>
      <c r="F205" s="593"/>
      <c r="G205" s="703"/>
      <c r="H205" s="593"/>
      <c r="I205" s="593"/>
      <c r="J205" s="593"/>
      <c r="K205" s="647"/>
      <c r="L205" s="647"/>
      <c r="M205" s="708"/>
      <c r="N205" s="593"/>
      <c r="O205" s="593"/>
      <c r="P205" s="593"/>
    </row>
    <row r="206" spans="1:16" s="595" customFormat="1" ht="0" hidden="1" customHeight="1" x14ac:dyDescent="0.25">
      <c r="A206" s="593"/>
      <c r="B206" s="593"/>
      <c r="C206" s="593"/>
      <c r="D206" s="703"/>
      <c r="E206" s="594"/>
      <c r="F206" s="593"/>
      <c r="G206" s="703"/>
      <c r="H206" s="593"/>
      <c r="I206" s="593"/>
      <c r="J206" s="593"/>
      <c r="K206" s="647"/>
      <c r="L206" s="647"/>
      <c r="M206" s="708"/>
      <c r="N206" s="593"/>
      <c r="O206" s="593"/>
      <c r="P206" s="593"/>
    </row>
    <row r="207" spans="1:16" s="595" customFormat="1" ht="0" hidden="1" customHeight="1" x14ac:dyDescent="0.25">
      <c r="A207" s="593"/>
      <c r="B207" s="593"/>
      <c r="C207" s="593"/>
      <c r="D207" s="703"/>
      <c r="E207" s="594"/>
      <c r="F207" s="593"/>
      <c r="G207" s="703"/>
      <c r="H207" s="593"/>
      <c r="I207" s="593"/>
      <c r="J207" s="593"/>
      <c r="K207" s="647"/>
      <c r="L207" s="647"/>
      <c r="M207" s="708"/>
      <c r="N207" s="593"/>
      <c r="O207" s="593"/>
      <c r="P207" s="593"/>
    </row>
    <row r="208" spans="1:16" s="595" customFormat="1" ht="0" hidden="1" customHeight="1" x14ac:dyDescent="0.25">
      <c r="A208" s="593"/>
      <c r="B208" s="593"/>
      <c r="C208" s="593"/>
      <c r="D208" s="703"/>
      <c r="E208" s="594"/>
      <c r="F208" s="593"/>
      <c r="G208" s="703"/>
      <c r="H208" s="593"/>
      <c r="I208" s="593"/>
      <c r="J208" s="593"/>
      <c r="K208" s="647"/>
      <c r="L208" s="647"/>
      <c r="M208" s="708"/>
      <c r="N208" s="593"/>
      <c r="O208" s="593"/>
      <c r="P208" s="593"/>
    </row>
    <row r="209" spans="1:16" s="595" customFormat="1" ht="0" hidden="1" customHeight="1" x14ac:dyDescent="0.25">
      <c r="A209" s="593"/>
      <c r="B209" s="593"/>
      <c r="C209" s="593"/>
      <c r="D209" s="703"/>
      <c r="E209" s="594"/>
      <c r="F209" s="593"/>
      <c r="G209" s="703"/>
      <c r="H209" s="593"/>
      <c r="I209" s="593"/>
      <c r="J209" s="593"/>
      <c r="K209" s="647"/>
      <c r="L209" s="647"/>
      <c r="M209" s="708"/>
      <c r="N209" s="593"/>
      <c r="O209" s="593"/>
      <c r="P209" s="593"/>
    </row>
    <row r="210" spans="1:16" s="595" customFormat="1" ht="0" hidden="1" customHeight="1" x14ac:dyDescent="0.25">
      <c r="A210" s="593"/>
      <c r="B210" s="593"/>
      <c r="C210" s="593"/>
      <c r="D210" s="703"/>
      <c r="E210" s="594"/>
      <c r="F210" s="593"/>
      <c r="G210" s="703"/>
      <c r="H210" s="593"/>
      <c r="I210" s="593"/>
      <c r="J210" s="593"/>
      <c r="K210" s="647"/>
      <c r="L210" s="647"/>
      <c r="M210" s="708"/>
      <c r="N210" s="593"/>
      <c r="O210" s="593"/>
      <c r="P210" s="593"/>
    </row>
    <row r="211" spans="1:16" s="595" customFormat="1" ht="0" hidden="1" customHeight="1" x14ac:dyDescent="0.25">
      <c r="A211" s="593"/>
      <c r="B211" s="593"/>
      <c r="C211" s="593"/>
      <c r="D211" s="703"/>
      <c r="E211" s="594"/>
      <c r="F211" s="593"/>
      <c r="G211" s="703"/>
      <c r="H211" s="593"/>
      <c r="I211" s="593"/>
      <c r="J211" s="593"/>
      <c r="K211" s="647"/>
      <c r="L211" s="647"/>
      <c r="M211" s="708"/>
      <c r="N211" s="593"/>
      <c r="O211" s="593"/>
      <c r="P211" s="593"/>
    </row>
    <row r="212" spans="1:16" s="595" customFormat="1" ht="0" hidden="1" customHeight="1" x14ac:dyDescent="0.25">
      <c r="A212" s="593"/>
      <c r="B212" s="593"/>
      <c r="C212" s="593"/>
      <c r="D212" s="703"/>
      <c r="E212" s="594"/>
      <c r="F212" s="593"/>
      <c r="G212" s="703"/>
      <c r="H212" s="593"/>
      <c r="I212" s="593"/>
      <c r="J212" s="593"/>
      <c r="K212" s="647"/>
      <c r="L212" s="647"/>
      <c r="M212" s="708"/>
      <c r="N212" s="593"/>
      <c r="O212" s="593"/>
      <c r="P212" s="593"/>
    </row>
    <row r="213" spans="1:16" s="595" customFormat="1" ht="0" hidden="1" customHeight="1" x14ac:dyDescent="0.25">
      <c r="A213" s="593"/>
      <c r="B213" s="593"/>
      <c r="C213" s="593"/>
      <c r="D213" s="703"/>
      <c r="E213" s="594"/>
      <c r="F213" s="593"/>
      <c r="G213" s="703"/>
      <c r="H213" s="593"/>
      <c r="I213" s="593"/>
      <c r="J213" s="593"/>
      <c r="K213" s="647"/>
      <c r="L213" s="647"/>
      <c r="M213" s="708"/>
      <c r="N213" s="593"/>
      <c r="O213" s="593"/>
      <c r="P213" s="593"/>
    </row>
    <row r="214" spans="1:16" s="595" customFormat="1" ht="0" hidden="1" customHeight="1" x14ac:dyDescent="0.25">
      <c r="A214" s="593"/>
      <c r="B214" s="593"/>
      <c r="C214" s="593"/>
      <c r="D214" s="703"/>
      <c r="E214" s="594"/>
      <c r="F214" s="593"/>
      <c r="G214" s="703"/>
      <c r="H214" s="593"/>
      <c r="I214" s="593"/>
      <c r="J214" s="593"/>
      <c r="K214" s="647"/>
      <c r="L214" s="647"/>
      <c r="M214" s="708"/>
      <c r="N214" s="593"/>
      <c r="O214" s="593"/>
      <c r="P214" s="593"/>
    </row>
    <row r="215" spans="1:16" s="595" customFormat="1" ht="0" hidden="1" customHeight="1" x14ac:dyDescent="0.25">
      <c r="A215" s="593"/>
      <c r="B215" s="593"/>
      <c r="C215" s="593"/>
      <c r="D215" s="703"/>
      <c r="E215" s="594"/>
      <c r="F215" s="593"/>
      <c r="G215" s="703"/>
      <c r="H215" s="593"/>
      <c r="I215" s="593"/>
      <c r="J215" s="593"/>
      <c r="K215" s="647"/>
      <c r="L215" s="647"/>
      <c r="M215" s="708"/>
      <c r="N215" s="593"/>
      <c r="O215" s="593"/>
      <c r="P215" s="593"/>
    </row>
    <row r="216" spans="1:16" s="595" customFormat="1" ht="0" hidden="1" customHeight="1" x14ac:dyDescent="0.25">
      <c r="A216" s="593"/>
      <c r="B216" s="593"/>
      <c r="C216" s="593"/>
      <c r="D216" s="703"/>
      <c r="E216" s="594"/>
      <c r="F216" s="593"/>
      <c r="G216" s="703"/>
      <c r="H216" s="593"/>
      <c r="I216" s="593"/>
      <c r="J216" s="593"/>
      <c r="K216" s="647"/>
      <c r="L216" s="647"/>
      <c r="M216" s="708"/>
      <c r="N216" s="593"/>
      <c r="O216" s="593"/>
      <c r="P216" s="593"/>
    </row>
    <row r="217" spans="1:16" s="595" customFormat="1" ht="0" hidden="1" customHeight="1" x14ac:dyDescent="0.25">
      <c r="A217" s="593"/>
      <c r="B217" s="593"/>
      <c r="C217" s="593"/>
      <c r="D217" s="703"/>
      <c r="E217" s="594"/>
      <c r="F217" s="593"/>
      <c r="G217" s="703"/>
      <c r="H217" s="593"/>
      <c r="I217" s="593"/>
      <c r="J217" s="593"/>
      <c r="K217" s="647"/>
      <c r="L217" s="647"/>
      <c r="M217" s="708"/>
      <c r="N217" s="593"/>
      <c r="O217" s="593"/>
      <c r="P217" s="593"/>
    </row>
    <row r="218" spans="1:16" s="595" customFormat="1" ht="0" hidden="1" customHeight="1" x14ac:dyDescent="0.25">
      <c r="A218" s="593"/>
      <c r="B218" s="593"/>
      <c r="C218" s="593"/>
      <c r="D218" s="703"/>
      <c r="E218" s="594"/>
      <c r="F218" s="593"/>
      <c r="G218" s="703"/>
      <c r="H218" s="593"/>
      <c r="I218" s="593"/>
      <c r="J218" s="593"/>
      <c r="K218" s="647"/>
      <c r="L218" s="647"/>
      <c r="M218" s="708"/>
      <c r="N218" s="593"/>
      <c r="O218" s="593"/>
      <c r="P218" s="593"/>
    </row>
    <row r="219" spans="1:16" s="595" customFormat="1" ht="0" hidden="1" customHeight="1" x14ac:dyDescent="0.25">
      <c r="A219" s="593"/>
      <c r="B219" s="593"/>
      <c r="C219" s="593"/>
      <c r="D219" s="703"/>
      <c r="E219" s="594"/>
      <c r="F219" s="593"/>
      <c r="G219" s="703"/>
      <c r="H219" s="593"/>
      <c r="I219" s="593"/>
      <c r="J219" s="593"/>
      <c r="K219" s="647"/>
      <c r="L219" s="647"/>
      <c r="M219" s="708"/>
      <c r="N219" s="593"/>
      <c r="O219" s="593"/>
      <c r="P219" s="593"/>
    </row>
    <row r="220" spans="1:16" s="595" customFormat="1" ht="0" hidden="1" customHeight="1" x14ac:dyDescent="0.25">
      <c r="A220" s="593"/>
      <c r="B220" s="593"/>
      <c r="C220" s="593"/>
      <c r="D220" s="703"/>
      <c r="E220" s="594"/>
      <c r="F220" s="593"/>
      <c r="G220" s="703"/>
      <c r="H220" s="593"/>
      <c r="I220" s="593"/>
      <c r="J220" s="593"/>
      <c r="K220" s="647"/>
      <c r="L220" s="647"/>
      <c r="M220" s="708"/>
      <c r="N220" s="593"/>
      <c r="O220" s="593"/>
      <c r="P220" s="593"/>
    </row>
    <row r="221" spans="1:16" s="595" customFormat="1" ht="0" hidden="1" customHeight="1" x14ac:dyDescent="0.25">
      <c r="A221" s="593"/>
      <c r="B221" s="593"/>
      <c r="C221" s="593"/>
      <c r="D221" s="703"/>
      <c r="E221" s="594"/>
      <c r="F221" s="593"/>
      <c r="G221" s="703"/>
      <c r="H221" s="593"/>
      <c r="I221" s="593"/>
      <c r="J221" s="593"/>
      <c r="K221" s="647"/>
      <c r="L221" s="647"/>
      <c r="M221" s="708"/>
      <c r="N221" s="593"/>
      <c r="O221" s="593"/>
      <c r="P221" s="593"/>
    </row>
    <row r="222" spans="1:16" s="595" customFormat="1" ht="0" hidden="1" customHeight="1" x14ac:dyDescent="0.25">
      <c r="A222" s="593"/>
      <c r="B222" s="593"/>
      <c r="C222" s="593"/>
      <c r="D222" s="703"/>
      <c r="E222" s="594"/>
      <c r="F222" s="593"/>
      <c r="G222" s="703"/>
      <c r="H222" s="593"/>
      <c r="I222" s="593"/>
      <c r="J222" s="593"/>
      <c r="K222" s="647"/>
      <c r="L222" s="647"/>
      <c r="M222" s="708"/>
      <c r="N222" s="593"/>
      <c r="O222" s="593"/>
      <c r="P222" s="593"/>
    </row>
    <row r="223" spans="1:16" s="595" customFormat="1" ht="0" hidden="1" customHeight="1" x14ac:dyDescent="0.25">
      <c r="A223" s="593"/>
      <c r="B223" s="593"/>
      <c r="C223" s="593"/>
      <c r="D223" s="703"/>
      <c r="E223" s="594"/>
      <c r="F223" s="593"/>
      <c r="G223" s="703"/>
      <c r="H223" s="593"/>
      <c r="I223" s="593"/>
      <c r="J223" s="593"/>
      <c r="K223" s="647"/>
      <c r="L223" s="647"/>
      <c r="M223" s="708"/>
      <c r="N223" s="593"/>
      <c r="O223" s="593"/>
      <c r="P223" s="593"/>
    </row>
    <row r="224" spans="1:16" s="595" customFormat="1" ht="0" hidden="1" customHeight="1" x14ac:dyDescent="0.25">
      <c r="A224" s="593"/>
      <c r="B224" s="593"/>
      <c r="C224" s="593"/>
      <c r="D224" s="703"/>
      <c r="E224" s="594"/>
      <c r="F224" s="593"/>
      <c r="G224" s="703"/>
      <c r="H224" s="593"/>
      <c r="I224" s="593"/>
      <c r="J224" s="593"/>
      <c r="K224" s="647"/>
      <c r="L224" s="647"/>
      <c r="M224" s="708"/>
      <c r="N224" s="593"/>
      <c r="O224" s="593"/>
      <c r="P224" s="593"/>
    </row>
    <row r="225" spans="1:16" s="595" customFormat="1" ht="0" hidden="1" customHeight="1" x14ac:dyDescent="0.25">
      <c r="A225" s="593"/>
      <c r="B225" s="593"/>
      <c r="C225" s="593"/>
      <c r="D225" s="703"/>
      <c r="E225" s="594"/>
      <c r="F225" s="593"/>
      <c r="G225" s="703"/>
      <c r="H225" s="593"/>
      <c r="I225" s="593"/>
      <c r="J225" s="593"/>
      <c r="K225" s="647"/>
      <c r="L225" s="647"/>
      <c r="M225" s="708"/>
      <c r="N225" s="593"/>
      <c r="O225" s="593"/>
      <c r="P225" s="593"/>
    </row>
    <row r="226" spans="1:16" s="595" customFormat="1" ht="0" hidden="1" customHeight="1" x14ac:dyDescent="0.25">
      <c r="A226" s="593"/>
      <c r="B226" s="593"/>
      <c r="C226" s="593"/>
      <c r="D226" s="703"/>
      <c r="E226" s="594"/>
      <c r="F226" s="593"/>
      <c r="G226" s="703"/>
      <c r="H226" s="593"/>
      <c r="I226" s="593"/>
      <c r="J226" s="593"/>
      <c r="K226" s="647"/>
      <c r="L226" s="647"/>
      <c r="M226" s="708"/>
      <c r="N226" s="593"/>
      <c r="O226" s="593"/>
      <c r="P226" s="593"/>
    </row>
    <row r="227" spans="1:16" s="595" customFormat="1" ht="0" hidden="1" customHeight="1" x14ac:dyDescent="0.25">
      <c r="A227" s="593"/>
      <c r="B227" s="593"/>
      <c r="C227" s="593"/>
      <c r="D227" s="703"/>
      <c r="E227" s="594"/>
      <c r="F227" s="593"/>
      <c r="G227" s="703"/>
      <c r="H227" s="593"/>
      <c r="I227" s="593"/>
      <c r="J227" s="593"/>
      <c r="K227" s="647"/>
      <c r="L227" s="647"/>
      <c r="M227" s="708"/>
      <c r="N227" s="593"/>
      <c r="O227" s="593"/>
      <c r="P227" s="593"/>
    </row>
    <row r="228" spans="1:16" s="595" customFormat="1" ht="0" hidden="1" customHeight="1" x14ac:dyDescent="0.25">
      <c r="A228" s="593"/>
      <c r="B228" s="593"/>
      <c r="C228" s="593"/>
      <c r="D228" s="703"/>
      <c r="E228" s="594"/>
      <c r="F228" s="593"/>
      <c r="G228" s="703"/>
      <c r="H228" s="593"/>
      <c r="I228" s="593"/>
      <c r="J228" s="593"/>
      <c r="K228" s="647"/>
      <c r="L228" s="647"/>
      <c r="M228" s="708"/>
      <c r="N228" s="593"/>
      <c r="O228" s="593"/>
      <c r="P228" s="593"/>
    </row>
    <row r="229" spans="1:16" s="595" customFormat="1" ht="0" hidden="1" customHeight="1" x14ac:dyDescent="0.25">
      <c r="A229" s="593"/>
      <c r="B229" s="593"/>
      <c r="C229" s="593"/>
      <c r="D229" s="703"/>
      <c r="E229" s="594"/>
      <c r="F229" s="593"/>
      <c r="G229" s="703"/>
      <c r="H229" s="593"/>
      <c r="I229" s="593"/>
      <c r="J229" s="593"/>
      <c r="K229" s="647"/>
      <c r="L229" s="647"/>
      <c r="M229" s="708"/>
      <c r="N229" s="593"/>
      <c r="O229" s="593"/>
      <c r="P229" s="593"/>
    </row>
    <row r="230" spans="1:16" s="595" customFormat="1" ht="0" hidden="1" customHeight="1" x14ac:dyDescent="0.25">
      <c r="A230" s="593"/>
      <c r="B230" s="593"/>
      <c r="C230" s="593"/>
      <c r="D230" s="703"/>
      <c r="E230" s="594"/>
      <c r="F230" s="593"/>
      <c r="G230" s="703"/>
      <c r="H230" s="593"/>
      <c r="I230" s="593"/>
      <c r="J230" s="593"/>
      <c r="K230" s="647"/>
      <c r="L230" s="647"/>
      <c r="M230" s="708"/>
      <c r="N230" s="593"/>
      <c r="O230" s="593"/>
      <c r="P230" s="593"/>
    </row>
    <row r="231" spans="1:16" s="595" customFormat="1" ht="0" hidden="1" customHeight="1" x14ac:dyDescent="0.25">
      <c r="A231" s="593"/>
      <c r="B231" s="593"/>
      <c r="C231" s="593"/>
      <c r="D231" s="703"/>
      <c r="E231" s="594"/>
      <c r="F231" s="593"/>
      <c r="G231" s="703"/>
      <c r="H231" s="593"/>
      <c r="I231" s="593"/>
      <c r="J231" s="593"/>
      <c r="K231" s="647"/>
      <c r="L231" s="647"/>
      <c r="M231" s="708"/>
      <c r="N231" s="593"/>
      <c r="O231" s="593"/>
      <c r="P231" s="593"/>
    </row>
    <row r="232" spans="1:16" s="595" customFormat="1" ht="0" hidden="1" customHeight="1" x14ac:dyDescent="0.25">
      <c r="A232" s="593"/>
      <c r="B232" s="593"/>
      <c r="C232" s="593"/>
      <c r="D232" s="703"/>
      <c r="E232" s="594"/>
      <c r="F232" s="593"/>
      <c r="G232" s="703"/>
      <c r="H232" s="593"/>
      <c r="I232" s="593"/>
      <c r="J232" s="593"/>
      <c r="K232" s="647"/>
      <c r="L232" s="647"/>
      <c r="M232" s="708"/>
      <c r="N232" s="593"/>
      <c r="O232" s="593"/>
      <c r="P232" s="593"/>
    </row>
    <row r="233" spans="1:16" s="595" customFormat="1" ht="0" hidden="1" customHeight="1" x14ac:dyDescent="0.25">
      <c r="A233" s="593"/>
      <c r="B233" s="593"/>
      <c r="C233" s="593"/>
      <c r="D233" s="703"/>
      <c r="E233" s="594"/>
      <c r="F233" s="593"/>
      <c r="G233" s="703"/>
      <c r="H233" s="593"/>
      <c r="I233" s="593"/>
      <c r="J233" s="593"/>
      <c r="K233" s="647"/>
      <c r="L233" s="647"/>
      <c r="M233" s="708"/>
      <c r="N233" s="593"/>
      <c r="O233" s="593"/>
      <c r="P233" s="593"/>
    </row>
    <row r="234" spans="1:16" s="595" customFormat="1" ht="0" hidden="1" customHeight="1" x14ac:dyDescent="0.25">
      <c r="A234" s="593"/>
      <c r="B234" s="593"/>
      <c r="C234" s="593"/>
      <c r="D234" s="703"/>
      <c r="E234" s="594"/>
      <c r="F234" s="593"/>
      <c r="G234" s="703"/>
      <c r="H234" s="593"/>
      <c r="I234" s="593"/>
      <c r="J234" s="593"/>
      <c r="K234" s="647"/>
      <c r="L234" s="647"/>
      <c r="M234" s="708"/>
      <c r="N234" s="593"/>
      <c r="O234" s="593"/>
      <c r="P234" s="593"/>
    </row>
    <row r="235" spans="1:16" s="595" customFormat="1" ht="0" hidden="1" customHeight="1" x14ac:dyDescent="0.25">
      <c r="A235" s="593"/>
      <c r="B235" s="593"/>
      <c r="C235" s="593"/>
      <c r="D235" s="703"/>
      <c r="E235" s="594"/>
      <c r="F235" s="593"/>
      <c r="G235" s="703"/>
      <c r="H235" s="593"/>
      <c r="I235" s="593"/>
      <c r="J235" s="593"/>
      <c r="K235" s="647"/>
      <c r="L235" s="647"/>
      <c r="M235" s="708"/>
      <c r="N235" s="593"/>
      <c r="O235" s="593"/>
      <c r="P235" s="593"/>
    </row>
    <row r="236" spans="1:16" s="595" customFormat="1" ht="0" hidden="1" customHeight="1" x14ac:dyDescent="0.25">
      <c r="A236" s="593"/>
      <c r="B236" s="593"/>
      <c r="C236" s="593"/>
      <c r="D236" s="703"/>
      <c r="E236" s="594"/>
      <c r="F236" s="593"/>
      <c r="G236" s="703"/>
      <c r="H236" s="593"/>
      <c r="I236" s="593"/>
      <c r="J236" s="593"/>
      <c r="K236" s="647"/>
      <c r="L236" s="647"/>
      <c r="M236" s="708"/>
      <c r="N236" s="593"/>
      <c r="O236" s="593"/>
      <c r="P236" s="593"/>
    </row>
    <row r="237" spans="1:16" s="595" customFormat="1" ht="0" hidden="1" customHeight="1" x14ac:dyDescent="0.25">
      <c r="A237" s="593"/>
      <c r="B237" s="593"/>
      <c r="C237" s="593"/>
      <c r="D237" s="703"/>
      <c r="E237" s="594"/>
      <c r="F237" s="593"/>
      <c r="G237" s="703"/>
      <c r="H237" s="593"/>
      <c r="I237" s="593"/>
      <c r="J237" s="593"/>
      <c r="K237" s="647"/>
      <c r="L237" s="647"/>
      <c r="M237" s="708"/>
      <c r="N237" s="593"/>
      <c r="O237" s="593"/>
      <c r="P237" s="593"/>
    </row>
    <row r="238" spans="1:16" s="595" customFormat="1" ht="0" hidden="1" customHeight="1" x14ac:dyDescent="0.25">
      <c r="A238" s="593"/>
      <c r="B238" s="593"/>
      <c r="C238" s="593"/>
      <c r="D238" s="703"/>
      <c r="E238" s="594"/>
      <c r="F238" s="593"/>
      <c r="G238" s="703"/>
      <c r="H238" s="593"/>
      <c r="I238" s="593"/>
      <c r="J238" s="593"/>
      <c r="K238" s="647"/>
      <c r="L238" s="647"/>
      <c r="M238" s="708"/>
      <c r="N238" s="593"/>
      <c r="O238" s="593"/>
      <c r="P238" s="593"/>
    </row>
    <row r="239" spans="1:16" s="595" customFormat="1" ht="0" hidden="1" customHeight="1" x14ac:dyDescent="0.25">
      <c r="A239" s="593"/>
      <c r="B239" s="593"/>
      <c r="C239" s="593"/>
      <c r="D239" s="703"/>
      <c r="E239" s="594"/>
      <c r="F239" s="593"/>
      <c r="G239" s="703"/>
      <c r="H239" s="593"/>
      <c r="I239" s="593"/>
      <c r="J239" s="593"/>
      <c r="K239" s="647"/>
      <c r="L239" s="647"/>
      <c r="M239" s="708"/>
      <c r="N239" s="593"/>
      <c r="O239" s="593"/>
      <c r="P239" s="593"/>
    </row>
    <row r="240" spans="1:16" s="595" customFormat="1" ht="0" hidden="1" customHeight="1" x14ac:dyDescent="0.25">
      <c r="A240" s="593"/>
      <c r="B240" s="593"/>
      <c r="C240" s="593"/>
      <c r="D240" s="703"/>
      <c r="E240" s="594"/>
      <c r="F240" s="593"/>
      <c r="G240" s="703"/>
      <c r="H240" s="593"/>
      <c r="I240" s="593"/>
      <c r="J240" s="593"/>
      <c r="K240" s="647"/>
      <c r="L240" s="647"/>
      <c r="M240" s="708"/>
      <c r="N240" s="593"/>
      <c r="O240" s="593"/>
      <c r="P240" s="593"/>
    </row>
    <row r="241" spans="1:16" s="595" customFormat="1" ht="0" hidden="1" customHeight="1" x14ac:dyDescent="0.25">
      <c r="A241" s="593"/>
      <c r="B241" s="593"/>
      <c r="C241" s="593"/>
      <c r="D241" s="703"/>
      <c r="E241" s="594"/>
      <c r="F241" s="593"/>
      <c r="G241" s="703"/>
      <c r="H241" s="593"/>
      <c r="I241" s="593"/>
      <c r="J241" s="593"/>
      <c r="K241" s="647"/>
      <c r="L241" s="647"/>
      <c r="M241" s="708"/>
      <c r="N241" s="593"/>
      <c r="O241" s="593"/>
      <c r="P241" s="593"/>
    </row>
    <row r="242" spans="1:16" s="595" customFormat="1" ht="0" hidden="1" customHeight="1" x14ac:dyDescent="0.25">
      <c r="A242" s="593"/>
      <c r="B242" s="593"/>
      <c r="C242" s="593"/>
      <c r="D242" s="703"/>
      <c r="E242" s="594"/>
      <c r="F242" s="593"/>
      <c r="G242" s="703"/>
      <c r="H242" s="593"/>
      <c r="I242" s="593"/>
      <c r="J242" s="593"/>
      <c r="K242" s="647"/>
      <c r="L242" s="647"/>
      <c r="M242" s="708"/>
      <c r="N242" s="593"/>
      <c r="O242" s="593"/>
      <c r="P242" s="593"/>
    </row>
    <row r="243" spans="1:16" s="595" customFormat="1" ht="0" hidden="1" customHeight="1" x14ac:dyDescent="0.25">
      <c r="A243" s="593"/>
      <c r="B243" s="593"/>
      <c r="C243" s="593"/>
      <c r="D243" s="703"/>
      <c r="E243" s="594"/>
      <c r="F243" s="593"/>
      <c r="G243" s="703"/>
      <c r="H243" s="593"/>
      <c r="I243" s="593"/>
      <c r="J243" s="593"/>
      <c r="K243" s="647"/>
      <c r="L243" s="647"/>
      <c r="M243" s="708"/>
      <c r="N243" s="593"/>
      <c r="O243" s="593"/>
      <c r="P243" s="593"/>
    </row>
    <row r="244" spans="1:16" s="595" customFormat="1" ht="0" hidden="1" customHeight="1" x14ac:dyDescent="0.25">
      <c r="A244" s="593"/>
      <c r="B244" s="593"/>
      <c r="C244" s="593"/>
      <c r="D244" s="703"/>
      <c r="E244" s="594"/>
      <c r="F244" s="593"/>
      <c r="G244" s="703"/>
      <c r="H244" s="593"/>
      <c r="I244" s="593"/>
      <c r="J244" s="593"/>
      <c r="K244" s="647"/>
      <c r="L244" s="647"/>
      <c r="M244" s="708"/>
      <c r="N244" s="593"/>
      <c r="O244" s="593"/>
      <c r="P244" s="593"/>
    </row>
    <row r="245" spans="1:16" s="595" customFormat="1" ht="0" hidden="1" customHeight="1" x14ac:dyDescent="0.25">
      <c r="A245" s="593"/>
      <c r="B245" s="593"/>
      <c r="C245" s="593"/>
      <c r="D245" s="703"/>
      <c r="E245" s="594"/>
      <c r="F245" s="593"/>
      <c r="G245" s="703"/>
      <c r="H245" s="593"/>
      <c r="I245" s="593"/>
      <c r="J245" s="593"/>
      <c r="K245" s="647"/>
      <c r="L245" s="647"/>
      <c r="M245" s="708"/>
      <c r="N245" s="593"/>
      <c r="O245" s="593"/>
      <c r="P245" s="593"/>
    </row>
    <row r="246" spans="1:16" s="595" customFormat="1" ht="0" hidden="1" customHeight="1" x14ac:dyDescent="0.25">
      <c r="A246" s="593"/>
      <c r="B246" s="593"/>
      <c r="C246" s="593"/>
      <c r="D246" s="703"/>
      <c r="E246" s="594"/>
      <c r="F246" s="593"/>
      <c r="G246" s="703"/>
      <c r="H246" s="593"/>
      <c r="I246" s="593"/>
      <c r="J246" s="593"/>
      <c r="K246" s="647"/>
      <c r="L246" s="647"/>
      <c r="M246" s="708"/>
      <c r="N246" s="593"/>
      <c r="O246" s="593"/>
      <c r="P246" s="593"/>
    </row>
    <row r="247" spans="1:16" s="595" customFormat="1" ht="0" hidden="1" customHeight="1" x14ac:dyDescent="0.25">
      <c r="A247" s="593"/>
      <c r="B247" s="593"/>
      <c r="C247" s="593"/>
      <c r="D247" s="703"/>
      <c r="E247" s="594"/>
      <c r="F247" s="593"/>
      <c r="G247" s="703"/>
      <c r="H247" s="593"/>
      <c r="I247" s="593"/>
      <c r="J247" s="593"/>
      <c r="K247" s="647"/>
      <c r="L247" s="647"/>
      <c r="M247" s="708"/>
      <c r="N247" s="593"/>
      <c r="O247" s="593"/>
      <c r="P247" s="593"/>
    </row>
    <row r="248" spans="1:16" s="595" customFormat="1" ht="0" hidden="1" customHeight="1" x14ac:dyDescent="0.25">
      <c r="A248" s="593"/>
      <c r="B248" s="593"/>
      <c r="C248" s="593"/>
      <c r="D248" s="703"/>
      <c r="E248" s="594"/>
      <c r="F248" s="593"/>
      <c r="G248" s="703"/>
      <c r="H248" s="593"/>
      <c r="I248" s="593"/>
      <c r="J248" s="593"/>
      <c r="K248" s="647"/>
      <c r="L248" s="647"/>
      <c r="M248" s="708"/>
      <c r="N248" s="593"/>
      <c r="O248" s="593"/>
      <c r="P248" s="593"/>
    </row>
    <row r="249" spans="1:16" s="595" customFormat="1" ht="0" hidden="1" customHeight="1" x14ac:dyDescent="0.25">
      <c r="A249" s="593"/>
      <c r="B249" s="593"/>
      <c r="C249" s="593"/>
      <c r="D249" s="703"/>
      <c r="E249" s="594"/>
      <c r="F249" s="593"/>
      <c r="G249" s="703"/>
      <c r="H249" s="593"/>
      <c r="I249" s="593"/>
      <c r="J249" s="593"/>
      <c r="K249" s="647"/>
      <c r="L249" s="647"/>
      <c r="M249" s="708"/>
      <c r="N249" s="593"/>
      <c r="O249" s="593"/>
      <c r="P249" s="593"/>
    </row>
  </sheetData>
  <sheetProtection algorithmName="SHA-512" hashValue="ysrUAOz2/CevBbq6BpdCV6PPBl24TV7Dax0fzRBkUsNa5U9jCuomMdhVmG9ieluD99ZN6gnS8bEKKnHmmCtR9g==" saltValue="p6XTLxhV17X8GPbrCqFOIA==" spinCount="100000" sheet="1" formatRows="0"/>
  <mergeCells count="1">
    <mergeCell ref="A3:B3"/>
  </mergeCells>
  <conditionalFormatting sqref="K89:L89 O89">
    <cfRule type="cellIs" dxfId="1" priority="2" operator="lessThan">
      <formula>0</formula>
    </cfRule>
  </conditionalFormatting>
  <conditionalFormatting sqref="G89:H89">
    <cfRule type="cellIs" dxfId="0" priority="1" operator="lessThan">
      <formula>0</formula>
    </cfRule>
  </conditionalFormatting>
  <dataValidations count="6">
    <dataValidation allowBlank="1" showInputMessage="1" showErrorMessage="1" prompt="bei Zutreffen &quot;X&quot; oder &quot;ja&quot; eingeben" sqref="WVE983045:WVE983087 IS5:IS47 SO5:SO47 ACK5:ACK47 AMG5:AMG47 AWC5:AWC47 BFY5:BFY47 BPU5:BPU47 BZQ5:BZQ47 CJM5:CJM47 CTI5:CTI47 DDE5:DDE47 DNA5:DNA47 DWW5:DWW47 EGS5:EGS47 EQO5:EQO47 FAK5:FAK47 FKG5:FKG47 FUC5:FUC47 GDY5:GDY47 GNU5:GNU47 GXQ5:GXQ47 HHM5:HHM47 HRI5:HRI47 IBE5:IBE47 ILA5:ILA47 IUW5:IUW47 JES5:JES47 JOO5:JOO47 JYK5:JYK47 KIG5:KIG47 KSC5:KSC47 LBY5:LBY47 LLU5:LLU47 LVQ5:LVQ47 MFM5:MFM47 MPI5:MPI47 MZE5:MZE47 NJA5:NJA47 NSW5:NSW47 OCS5:OCS47 OMO5:OMO47 OWK5:OWK47 PGG5:PGG47 PQC5:PQC47 PZY5:PZY47 QJU5:QJU47 QTQ5:QTQ47 RDM5:RDM47 RNI5:RNI47 RXE5:RXE47 SHA5:SHA47 SQW5:SQW47 TAS5:TAS47 TKO5:TKO47 TUK5:TUK47 UEG5:UEG47 UOC5:UOC47 UXY5:UXY47 VHU5:VHU47 VRQ5:VRQ47 WBM5:WBM47 WLI5:WLI47 WVE5:WVE47 O65541:O65583 IS65541:IS65583 SO65541:SO65583 ACK65541:ACK65583 AMG65541:AMG65583 AWC65541:AWC65583 BFY65541:BFY65583 BPU65541:BPU65583 BZQ65541:BZQ65583 CJM65541:CJM65583 CTI65541:CTI65583 DDE65541:DDE65583 DNA65541:DNA65583 DWW65541:DWW65583 EGS65541:EGS65583 EQO65541:EQO65583 FAK65541:FAK65583 FKG65541:FKG65583 FUC65541:FUC65583 GDY65541:GDY65583 GNU65541:GNU65583 GXQ65541:GXQ65583 HHM65541:HHM65583 HRI65541:HRI65583 IBE65541:IBE65583 ILA65541:ILA65583 IUW65541:IUW65583 JES65541:JES65583 JOO65541:JOO65583 JYK65541:JYK65583 KIG65541:KIG65583 KSC65541:KSC65583 LBY65541:LBY65583 LLU65541:LLU65583 LVQ65541:LVQ65583 MFM65541:MFM65583 MPI65541:MPI65583 MZE65541:MZE65583 NJA65541:NJA65583 NSW65541:NSW65583 OCS65541:OCS65583 OMO65541:OMO65583 OWK65541:OWK65583 PGG65541:PGG65583 PQC65541:PQC65583 PZY65541:PZY65583 QJU65541:QJU65583 QTQ65541:QTQ65583 RDM65541:RDM65583 RNI65541:RNI65583 RXE65541:RXE65583 SHA65541:SHA65583 SQW65541:SQW65583 TAS65541:TAS65583 TKO65541:TKO65583 TUK65541:TUK65583 UEG65541:UEG65583 UOC65541:UOC65583 UXY65541:UXY65583 VHU65541:VHU65583 VRQ65541:VRQ65583 WBM65541:WBM65583 WLI65541:WLI65583 WVE65541:WVE65583 O131077:O131119 IS131077:IS131119 SO131077:SO131119 ACK131077:ACK131119 AMG131077:AMG131119 AWC131077:AWC131119 BFY131077:BFY131119 BPU131077:BPU131119 BZQ131077:BZQ131119 CJM131077:CJM131119 CTI131077:CTI131119 DDE131077:DDE131119 DNA131077:DNA131119 DWW131077:DWW131119 EGS131077:EGS131119 EQO131077:EQO131119 FAK131077:FAK131119 FKG131077:FKG131119 FUC131077:FUC131119 GDY131077:GDY131119 GNU131077:GNU131119 GXQ131077:GXQ131119 HHM131077:HHM131119 HRI131077:HRI131119 IBE131077:IBE131119 ILA131077:ILA131119 IUW131077:IUW131119 JES131077:JES131119 JOO131077:JOO131119 JYK131077:JYK131119 KIG131077:KIG131119 KSC131077:KSC131119 LBY131077:LBY131119 LLU131077:LLU131119 LVQ131077:LVQ131119 MFM131077:MFM131119 MPI131077:MPI131119 MZE131077:MZE131119 NJA131077:NJA131119 NSW131077:NSW131119 OCS131077:OCS131119 OMO131077:OMO131119 OWK131077:OWK131119 PGG131077:PGG131119 PQC131077:PQC131119 PZY131077:PZY131119 QJU131077:QJU131119 QTQ131077:QTQ131119 RDM131077:RDM131119 RNI131077:RNI131119 RXE131077:RXE131119 SHA131077:SHA131119 SQW131077:SQW131119 TAS131077:TAS131119 TKO131077:TKO131119 TUK131077:TUK131119 UEG131077:UEG131119 UOC131077:UOC131119 UXY131077:UXY131119 VHU131077:VHU131119 VRQ131077:VRQ131119 WBM131077:WBM131119 WLI131077:WLI131119 WVE131077:WVE131119 O196613:O196655 IS196613:IS196655 SO196613:SO196655 ACK196613:ACK196655 AMG196613:AMG196655 AWC196613:AWC196655 BFY196613:BFY196655 BPU196613:BPU196655 BZQ196613:BZQ196655 CJM196613:CJM196655 CTI196613:CTI196655 DDE196613:DDE196655 DNA196613:DNA196655 DWW196613:DWW196655 EGS196613:EGS196655 EQO196613:EQO196655 FAK196613:FAK196655 FKG196613:FKG196655 FUC196613:FUC196655 GDY196613:GDY196655 GNU196613:GNU196655 GXQ196613:GXQ196655 HHM196613:HHM196655 HRI196613:HRI196655 IBE196613:IBE196655 ILA196613:ILA196655 IUW196613:IUW196655 JES196613:JES196655 JOO196613:JOO196655 JYK196613:JYK196655 KIG196613:KIG196655 KSC196613:KSC196655 LBY196613:LBY196655 LLU196613:LLU196655 LVQ196613:LVQ196655 MFM196613:MFM196655 MPI196613:MPI196655 MZE196613:MZE196655 NJA196613:NJA196655 NSW196613:NSW196655 OCS196613:OCS196655 OMO196613:OMO196655 OWK196613:OWK196655 PGG196613:PGG196655 PQC196613:PQC196655 PZY196613:PZY196655 QJU196613:QJU196655 QTQ196613:QTQ196655 RDM196613:RDM196655 RNI196613:RNI196655 RXE196613:RXE196655 SHA196613:SHA196655 SQW196613:SQW196655 TAS196613:TAS196655 TKO196613:TKO196655 TUK196613:TUK196655 UEG196613:UEG196655 UOC196613:UOC196655 UXY196613:UXY196655 VHU196613:VHU196655 VRQ196613:VRQ196655 WBM196613:WBM196655 WLI196613:WLI196655 WVE196613:WVE196655 O262149:O262191 IS262149:IS262191 SO262149:SO262191 ACK262149:ACK262191 AMG262149:AMG262191 AWC262149:AWC262191 BFY262149:BFY262191 BPU262149:BPU262191 BZQ262149:BZQ262191 CJM262149:CJM262191 CTI262149:CTI262191 DDE262149:DDE262191 DNA262149:DNA262191 DWW262149:DWW262191 EGS262149:EGS262191 EQO262149:EQO262191 FAK262149:FAK262191 FKG262149:FKG262191 FUC262149:FUC262191 GDY262149:GDY262191 GNU262149:GNU262191 GXQ262149:GXQ262191 HHM262149:HHM262191 HRI262149:HRI262191 IBE262149:IBE262191 ILA262149:ILA262191 IUW262149:IUW262191 JES262149:JES262191 JOO262149:JOO262191 JYK262149:JYK262191 KIG262149:KIG262191 KSC262149:KSC262191 LBY262149:LBY262191 LLU262149:LLU262191 LVQ262149:LVQ262191 MFM262149:MFM262191 MPI262149:MPI262191 MZE262149:MZE262191 NJA262149:NJA262191 NSW262149:NSW262191 OCS262149:OCS262191 OMO262149:OMO262191 OWK262149:OWK262191 PGG262149:PGG262191 PQC262149:PQC262191 PZY262149:PZY262191 QJU262149:QJU262191 QTQ262149:QTQ262191 RDM262149:RDM262191 RNI262149:RNI262191 RXE262149:RXE262191 SHA262149:SHA262191 SQW262149:SQW262191 TAS262149:TAS262191 TKO262149:TKO262191 TUK262149:TUK262191 UEG262149:UEG262191 UOC262149:UOC262191 UXY262149:UXY262191 VHU262149:VHU262191 VRQ262149:VRQ262191 WBM262149:WBM262191 WLI262149:WLI262191 WVE262149:WVE262191 O327685:O327727 IS327685:IS327727 SO327685:SO327727 ACK327685:ACK327727 AMG327685:AMG327727 AWC327685:AWC327727 BFY327685:BFY327727 BPU327685:BPU327727 BZQ327685:BZQ327727 CJM327685:CJM327727 CTI327685:CTI327727 DDE327685:DDE327727 DNA327685:DNA327727 DWW327685:DWW327727 EGS327685:EGS327727 EQO327685:EQO327727 FAK327685:FAK327727 FKG327685:FKG327727 FUC327685:FUC327727 GDY327685:GDY327727 GNU327685:GNU327727 GXQ327685:GXQ327727 HHM327685:HHM327727 HRI327685:HRI327727 IBE327685:IBE327727 ILA327685:ILA327727 IUW327685:IUW327727 JES327685:JES327727 JOO327685:JOO327727 JYK327685:JYK327727 KIG327685:KIG327727 KSC327685:KSC327727 LBY327685:LBY327727 LLU327685:LLU327727 LVQ327685:LVQ327727 MFM327685:MFM327727 MPI327685:MPI327727 MZE327685:MZE327727 NJA327685:NJA327727 NSW327685:NSW327727 OCS327685:OCS327727 OMO327685:OMO327727 OWK327685:OWK327727 PGG327685:PGG327727 PQC327685:PQC327727 PZY327685:PZY327727 QJU327685:QJU327727 QTQ327685:QTQ327727 RDM327685:RDM327727 RNI327685:RNI327727 RXE327685:RXE327727 SHA327685:SHA327727 SQW327685:SQW327727 TAS327685:TAS327727 TKO327685:TKO327727 TUK327685:TUK327727 UEG327685:UEG327727 UOC327685:UOC327727 UXY327685:UXY327727 VHU327685:VHU327727 VRQ327685:VRQ327727 WBM327685:WBM327727 WLI327685:WLI327727 WVE327685:WVE327727 O393221:O393263 IS393221:IS393263 SO393221:SO393263 ACK393221:ACK393263 AMG393221:AMG393263 AWC393221:AWC393263 BFY393221:BFY393263 BPU393221:BPU393263 BZQ393221:BZQ393263 CJM393221:CJM393263 CTI393221:CTI393263 DDE393221:DDE393263 DNA393221:DNA393263 DWW393221:DWW393263 EGS393221:EGS393263 EQO393221:EQO393263 FAK393221:FAK393263 FKG393221:FKG393263 FUC393221:FUC393263 GDY393221:GDY393263 GNU393221:GNU393263 GXQ393221:GXQ393263 HHM393221:HHM393263 HRI393221:HRI393263 IBE393221:IBE393263 ILA393221:ILA393263 IUW393221:IUW393263 JES393221:JES393263 JOO393221:JOO393263 JYK393221:JYK393263 KIG393221:KIG393263 KSC393221:KSC393263 LBY393221:LBY393263 LLU393221:LLU393263 LVQ393221:LVQ393263 MFM393221:MFM393263 MPI393221:MPI393263 MZE393221:MZE393263 NJA393221:NJA393263 NSW393221:NSW393263 OCS393221:OCS393263 OMO393221:OMO393263 OWK393221:OWK393263 PGG393221:PGG393263 PQC393221:PQC393263 PZY393221:PZY393263 QJU393221:QJU393263 QTQ393221:QTQ393263 RDM393221:RDM393263 RNI393221:RNI393263 RXE393221:RXE393263 SHA393221:SHA393263 SQW393221:SQW393263 TAS393221:TAS393263 TKO393221:TKO393263 TUK393221:TUK393263 UEG393221:UEG393263 UOC393221:UOC393263 UXY393221:UXY393263 VHU393221:VHU393263 VRQ393221:VRQ393263 WBM393221:WBM393263 WLI393221:WLI393263 WVE393221:WVE393263 O458757:O458799 IS458757:IS458799 SO458757:SO458799 ACK458757:ACK458799 AMG458757:AMG458799 AWC458757:AWC458799 BFY458757:BFY458799 BPU458757:BPU458799 BZQ458757:BZQ458799 CJM458757:CJM458799 CTI458757:CTI458799 DDE458757:DDE458799 DNA458757:DNA458799 DWW458757:DWW458799 EGS458757:EGS458799 EQO458757:EQO458799 FAK458757:FAK458799 FKG458757:FKG458799 FUC458757:FUC458799 GDY458757:GDY458799 GNU458757:GNU458799 GXQ458757:GXQ458799 HHM458757:HHM458799 HRI458757:HRI458799 IBE458757:IBE458799 ILA458757:ILA458799 IUW458757:IUW458799 JES458757:JES458799 JOO458757:JOO458799 JYK458757:JYK458799 KIG458757:KIG458799 KSC458757:KSC458799 LBY458757:LBY458799 LLU458757:LLU458799 LVQ458757:LVQ458799 MFM458757:MFM458799 MPI458757:MPI458799 MZE458757:MZE458799 NJA458757:NJA458799 NSW458757:NSW458799 OCS458757:OCS458799 OMO458757:OMO458799 OWK458757:OWK458799 PGG458757:PGG458799 PQC458757:PQC458799 PZY458757:PZY458799 QJU458757:QJU458799 QTQ458757:QTQ458799 RDM458757:RDM458799 RNI458757:RNI458799 RXE458757:RXE458799 SHA458757:SHA458799 SQW458757:SQW458799 TAS458757:TAS458799 TKO458757:TKO458799 TUK458757:TUK458799 UEG458757:UEG458799 UOC458757:UOC458799 UXY458757:UXY458799 VHU458757:VHU458799 VRQ458757:VRQ458799 WBM458757:WBM458799 WLI458757:WLI458799 WVE458757:WVE458799 O524293:O524335 IS524293:IS524335 SO524293:SO524335 ACK524293:ACK524335 AMG524293:AMG524335 AWC524293:AWC524335 BFY524293:BFY524335 BPU524293:BPU524335 BZQ524293:BZQ524335 CJM524293:CJM524335 CTI524293:CTI524335 DDE524293:DDE524335 DNA524293:DNA524335 DWW524293:DWW524335 EGS524293:EGS524335 EQO524293:EQO524335 FAK524293:FAK524335 FKG524293:FKG524335 FUC524293:FUC524335 GDY524293:GDY524335 GNU524293:GNU524335 GXQ524293:GXQ524335 HHM524293:HHM524335 HRI524293:HRI524335 IBE524293:IBE524335 ILA524293:ILA524335 IUW524293:IUW524335 JES524293:JES524335 JOO524293:JOO524335 JYK524293:JYK524335 KIG524293:KIG524335 KSC524293:KSC524335 LBY524293:LBY524335 LLU524293:LLU524335 LVQ524293:LVQ524335 MFM524293:MFM524335 MPI524293:MPI524335 MZE524293:MZE524335 NJA524293:NJA524335 NSW524293:NSW524335 OCS524293:OCS524335 OMO524293:OMO524335 OWK524293:OWK524335 PGG524293:PGG524335 PQC524293:PQC524335 PZY524293:PZY524335 QJU524293:QJU524335 QTQ524293:QTQ524335 RDM524293:RDM524335 RNI524293:RNI524335 RXE524293:RXE524335 SHA524293:SHA524335 SQW524293:SQW524335 TAS524293:TAS524335 TKO524293:TKO524335 TUK524293:TUK524335 UEG524293:UEG524335 UOC524293:UOC524335 UXY524293:UXY524335 VHU524293:VHU524335 VRQ524293:VRQ524335 WBM524293:WBM524335 WLI524293:WLI524335 WVE524293:WVE524335 O589829:O589871 IS589829:IS589871 SO589829:SO589871 ACK589829:ACK589871 AMG589829:AMG589871 AWC589829:AWC589871 BFY589829:BFY589871 BPU589829:BPU589871 BZQ589829:BZQ589871 CJM589829:CJM589871 CTI589829:CTI589871 DDE589829:DDE589871 DNA589829:DNA589871 DWW589829:DWW589871 EGS589829:EGS589871 EQO589829:EQO589871 FAK589829:FAK589871 FKG589829:FKG589871 FUC589829:FUC589871 GDY589829:GDY589871 GNU589829:GNU589871 GXQ589829:GXQ589871 HHM589829:HHM589871 HRI589829:HRI589871 IBE589829:IBE589871 ILA589829:ILA589871 IUW589829:IUW589871 JES589829:JES589871 JOO589829:JOO589871 JYK589829:JYK589871 KIG589829:KIG589871 KSC589829:KSC589871 LBY589829:LBY589871 LLU589829:LLU589871 LVQ589829:LVQ589871 MFM589829:MFM589871 MPI589829:MPI589871 MZE589829:MZE589871 NJA589829:NJA589871 NSW589829:NSW589871 OCS589829:OCS589871 OMO589829:OMO589871 OWK589829:OWK589871 PGG589829:PGG589871 PQC589829:PQC589871 PZY589829:PZY589871 QJU589829:QJU589871 QTQ589829:QTQ589871 RDM589829:RDM589871 RNI589829:RNI589871 RXE589829:RXE589871 SHA589829:SHA589871 SQW589829:SQW589871 TAS589829:TAS589871 TKO589829:TKO589871 TUK589829:TUK589871 UEG589829:UEG589871 UOC589829:UOC589871 UXY589829:UXY589871 VHU589829:VHU589871 VRQ589829:VRQ589871 WBM589829:WBM589871 WLI589829:WLI589871 WVE589829:WVE589871 O655365:O655407 IS655365:IS655407 SO655365:SO655407 ACK655365:ACK655407 AMG655365:AMG655407 AWC655365:AWC655407 BFY655365:BFY655407 BPU655365:BPU655407 BZQ655365:BZQ655407 CJM655365:CJM655407 CTI655365:CTI655407 DDE655365:DDE655407 DNA655365:DNA655407 DWW655365:DWW655407 EGS655365:EGS655407 EQO655365:EQO655407 FAK655365:FAK655407 FKG655365:FKG655407 FUC655365:FUC655407 GDY655365:GDY655407 GNU655365:GNU655407 GXQ655365:GXQ655407 HHM655365:HHM655407 HRI655365:HRI655407 IBE655365:IBE655407 ILA655365:ILA655407 IUW655365:IUW655407 JES655365:JES655407 JOO655365:JOO655407 JYK655365:JYK655407 KIG655365:KIG655407 KSC655365:KSC655407 LBY655365:LBY655407 LLU655365:LLU655407 LVQ655365:LVQ655407 MFM655365:MFM655407 MPI655365:MPI655407 MZE655365:MZE655407 NJA655365:NJA655407 NSW655365:NSW655407 OCS655365:OCS655407 OMO655365:OMO655407 OWK655365:OWK655407 PGG655365:PGG655407 PQC655365:PQC655407 PZY655365:PZY655407 QJU655365:QJU655407 QTQ655365:QTQ655407 RDM655365:RDM655407 RNI655365:RNI655407 RXE655365:RXE655407 SHA655365:SHA655407 SQW655365:SQW655407 TAS655365:TAS655407 TKO655365:TKO655407 TUK655365:TUK655407 UEG655365:UEG655407 UOC655365:UOC655407 UXY655365:UXY655407 VHU655365:VHU655407 VRQ655365:VRQ655407 WBM655365:WBM655407 WLI655365:WLI655407 WVE655365:WVE655407 O720901:O720943 IS720901:IS720943 SO720901:SO720943 ACK720901:ACK720943 AMG720901:AMG720943 AWC720901:AWC720943 BFY720901:BFY720943 BPU720901:BPU720943 BZQ720901:BZQ720943 CJM720901:CJM720943 CTI720901:CTI720943 DDE720901:DDE720943 DNA720901:DNA720943 DWW720901:DWW720943 EGS720901:EGS720943 EQO720901:EQO720943 FAK720901:FAK720943 FKG720901:FKG720943 FUC720901:FUC720943 GDY720901:GDY720943 GNU720901:GNU720943 GXQ720901:GXQ720943 HHM720901:HHM720943 HRI720901:HRI720943 IBE720901:IBE720943 ILA720901:ILA720943 IUW720901:IUW720943 JES720901:JES720943 JOO720901:JOO720943 JYK720901:JYK720943 KIG720901:KIG720943 KSC720901:KSC720943 LBY720901:LBY720943 LLU720901:LLU720943 LVQ720901:LVQ720943 MFM720901:MFM720943 MPI720901:MPI720943 MZE720901:MZE720943 NJA720901:NJA720943 NSW720901:NSW720943 OCS720901:OCS720943 OMO720901:OMO720943 OWK720901:OWK720943 PGG720901:PGG720943 PQC720901:PQC720943 PZY720901:PZY720943 QJU720901:QJU720943 QTQ720901:QTQ720943 RDM720901:RDM720943 RNI720901:RNI720943 RXE720901:RXE720943 SHA720901:SHA720943 SQW720901:SQW720943 TAS720901:TAS720943 TKO720901:TKO720943 TUK720901:TUK720943 UEG720901:UEG720943 UOC720901:UOC720943 UXY720901:UXY720943 VHU720901:VHU720943 VRQ720901:VRQ720943 WBM720901:WBM720943 WLI720901:WLI720943 WVE720901:WVE720943 O786437:O786479 IS786437:IS786479 SO786437:SO786479 ACK786437:ACK786479 AMG786437:AMG786479 AWC786437:AWC786479 BFY786437:BFY786479 BPU786437:BPU786479 BZQ786437:BZQ786479 CJM786437:CJM786479 CTI786437:CTI786479 DDE786437:DDE786479 DNA786437:DNA786479 DWW786437:DWW786479 EGS786437:EGS786479 EQO786437:EQO786479 FAK786437:FAK786479 FKG786437:FKG786479 FUC786437:FUC786479 GDY786437:GDY786479 GNU786437:GNU786479 GXQ786437:GXQ786479 HHM786437:HHM786479 HRI786437:HRI786479 IBE786437:IBE786479 ILA786437:ILA786479 IUW786437:IUW786479 JES786437:JES786479 JOO786437:JOO786479 JYK786437:JYK786479 KIG786437:KIG786479 KSC786437:KSC786479 LBY786437:LBY786479 LLU786437:LLU786479 LVQ786437:LVQ786479 MFM786437:MFM786479 MPI786437:MPI786479 MZE786437:MZE786479 NJA786437:NJA786479 NSW786437:NSW786479 OCS786437:OCS786479 OMO786437:OMO786479 OWK786437:OWK786479 PGG786437:PGG786479 PQC786437:PQC786479 PZY786437:PZY786479 QJU786437:QJU786479 QTQ786437:QTQ786479 RDM786437:RDM786479 RNI786437:RNI786479 RXE786437:RXE786479 SHA786437:SHA786479 SQW786437:SQW786479 TAS786437:TAS786479 TKO786437:TKO786479 TUK786437:TUK786479 UEG786437:UEG786479 UOC786437:UOC786479 UXY786437:UXY786479 VHU786437:VHU786479 VRQ786437:VRQ786479 WBM786437:WBM786479 WLI786437:WLI786479 WVE786437:WVE786479 O851973:O852015 IS851973:IS852015 SO851973:SO852015 ACK851973:ACK852015 AMG851973:AMG852015 AWC851973:AWC852015 BFY851973:BFY852015 BPU851973:BPU852015 BZQ851973:BZQ852015 CJM851973:CJM852015 CTI851973:CTI852015 DDE851973:DDE852015 DNA851973:DNA852015 DWW851973:DWW852015 EGS851973:EGS852015 EQO851973:EQO852015 FAK851973:FAK852015 FKG851973:FKG852015 FUC851973:FUC852015 GDY851973:GDY852015 GNU851973:GNU852015 GXQ851973:GXQ852015 HHM851973:HHM852015 HRI851973:HRI852015 IBE851973:IBE852015 ILA851973:ILA852015 IUW851973:IUW852015 JES851973:JES852015 JOO851973:JOO852015 JYK851973:JYK852015 KIG851973:KIG852015 KSC851973:KSC852015 LBY851973:LBY852015 LLU851973:LLU852015 LVQ851973:LVQ852015 MFM851973:MFM852015 MPI851973:MPI852015 MZE851973:MZE852015 NJA851973:NJA852015 NSW851973:NSW852015 OCS851973:OCS852015 OMO851973:OMO852015 OWK851973:OWK852015 PGG851973:PGG852015 PQC851973:PQC852015 PZY851973:PZY852015 QJU851973:QJU852015 QTQ851973:QTQ852015 RDM851973:RDM852015 RNI851973:RNI852015 RXE851973:RXE852015 SHA851973:SHA852015 SQW851973:SQW852015 TAS851973:TAS852015 TKO851973:TKO852015 TUK851973:TUK852015 UEG851973:UEG852015 UOC851973:UOC852015 UXY851973:UXY852015 VHU851973:VHU852015 VRQ851973:VRQ852015 WBM851973:WBM852015 WLI851973:WLI852015 WVE851973:WVE852015 O917509:O917551 IS917509:IS917551 SO917509:SO917551 ACK917509:ACK917551 AMG917509:AMG917551 AWC917509:AWC917551 BFY917509:BFY917551 BPU917509:BPU917551 BZQ917509:BZQ917551 CJM917509:CJM917551 CTI917509:CTI917551 DDE917509:DDE917551 DNA917509:DNA917551 DWW917509:DWW917551 EGS917509:EGS917551 EQO917509:EQO917551 FAK917509:FAK917551 FKG917509:FKG917551 FUC917509:FUC917551 GDY917509:GDY917551 GNU917509:GNU917551 GXQ917509:GXQ917551 HHM917509:HHM917551 HRI917509:HRI917551 IBE917509:IBE917551 ILA917509:ILA917551 IUW917509:IUW917551 JES917509:JES917551 JOO917509:JOO917551 JYK917509:JYK917551 KIG917509:KIG917551 KSC917509:KSC917551 LBY917509:LBY917551 LLU917509:LLU917551 LVQ917509:LVQ917551 MFM917509:MFM917551 MPI917509:MPI917551 MZE917509:MZE917551 NJA917509:NJA917551 NSW917509:NSW917551 OCS917509:OCS917551 OMO917509:OMO917551 OWK917509:OWK917551 PGG917509:PGG917551 PQC917509:PQC917551 PZY917509:PZY917551 QJU917509:QJU917551 QTQ917509:QTQ917551 RDM917509:RDM917551 RNI917509:RNI917551 RXE917509:RXE917551 SHA917509:SHA917551 SQW917509:SQW917551 TAS917509:TAS917551 TKO917509:TKO917551 TUK917509:TUK917551 UEG917509:UEG917551 UOC917509:UOC917551 UXY917509:UXY917551 VHU917509:VHU917551 VRQ917509:VRQ917551 WBM917509:WBM917551 WLI917509:WLI917551 WVE917509:WVE917551 O983045:O983087 IS983045:IS983087 SO983045:SO983087 ACK983045:ACK983087 AMG983045:AMG983087 AWC983045:AWC983087 BFY983045:BFY983087 BPU983045:BPU983087 BZQ983045:BZQ983087 CJM983045:CJM983087 CTI983045:CTI983087 DDE983045:DDE983087 DNA983045:DNA983087 DWW983045:DWW983087 EGS983045:EGS983087 EQO983045:EQO983087 FAK983045:FAK983087 FKG983045:FKG983087 FUC983045:FUC983087 GDY983045:GDY983087 GNU983045:GNU983087 GXQ983045:GXQ983087 HHM983045:HHM983087 HRI983045:HRI983087 IBE983045:IBE983087 ILA983045:ILA983087 IUW983045:IUW983087 JES983045:JES983087 JOO983045:JOO983087 JYK983045:JYK983087 KIG983045:KIG983087 KSC983045:KSC983087 LBY983045:LBY983087 LLU983045:LLU983087 LVQ983045:LVQ983087 MFM983045:MFM983087 MPI983045:MPI983087 MZE983045:MZE983087 NJA983045:NJA983087 NSW983045:NSW983087 OCS983045:OCS983087 OMO983045:OMO983087 OWK983045:OWK983087 PGG983045:PGG983087 PQC983045:PQC983087 PZY983045:PZY983087 QJU983045:QJU983087 QTQ983045:QTQ983087 RDM983045:RDM983087 RNI983045:RNI983087 RXE983045:RXE983087 SHA983045:SHA983087 SQW983045:SQW983087 TAS983045:TAS983087 TKO983045:TKO983087 TUK983045:TUK983087 UEG983045:UEG983087 UOC983045:UOC983087 UXY983045:UXY983087 VHU983045:VHU983087 VRQ983045:VRQ983087 WBM983045:WBM983087 WLI983045:WLI983087"/>
    <dataValidation allowBlank="1" showInputMessage="1" showErrorMessage="1" prompt="bitte auch die Lehrpersonen OHNE aktive Dienstleistung anführen!" sqref="WUY983046:WUY983048 IM6:IM8 SI6:SI8 ACE6:ACE8 AMA6:AMA8 AVW6:AVW8 BFS6:BFS8 BPO6:BPO8 BZK6:BZK8 CJG6:CJG8 CTC6:CTC8 DCY6:DCY8 DMU6:DMU8 DWQ6:DWQ8 EGM6:EGM8 EQI6:EQI8 FAE6:FAE8 FKA6:FKA8 FTW6:FTW8 GDS6:GDS8 GNO6:GNO8 GXK6:GXK8 HHG6:HHG8 HRC6:HRC8 IAY6:IAY8 IKU6:IKU8 IUQ6:IUQ8 JEM6:JEM8 JOI6:JOI8 JYE6:JYE8 KIA6:KIA8 KRW6:KRW8 LBS6:LBS8 LLO6:LLO8 LVK6:LVK8 MFG6:MFG8 MPC6:MPC8 MYY6:MYY8 NIU6:NIU8 NSQ6:NSQ8 OCM6:OCM8 OMI6:OMI8 OWE6:OWE8 PGA6:PGA8 PPW6:PPW8 PZS6:PZS8 QJO6:QJO8 QTK6:QTK8 RDG6:RDG8 RNC6:RNC8 RWY6:RWY8 SGU6:SGU8 SQQ6:SQQ8 TAM6:TAM8 TKI6:TKI8 TUE6:TUE8 UEA6:UEA8 UNW6:UNW8 UXS6:UXS8 VHO6:VHO8 VRK6:VRK8 WBG6:WBG8 WLC6:WLC8 WUY6:WUY8 A65542:A65544 IM65542:IM65544 SI65542:SI65544 ACE65542:ACE65544 AMA65542:AMA65544 AVW65542:AVW65544 BFS65542:BFS65544 BPO65542:BPO65544 BZK65542:BZK65544 CJG65542:CJG65544 CTC65542:CTC65544 DCY65542:DCY65544 DMU65542:DMU65544 DWQ65542:DWQ65544 EGM65542:EGM65544 EQI65542:EQI65544 FAE65542:FAE65544 FKA65542:FKA65544 FTW65542:FTW65544 GDS65542:GDS65544 GNO65542:GNO65544 GXK65542:GXK65544 HHG65542:HHG65544 HRC65542:HRC65544 IAY65542:IAY65544 IKU65542:IKU65544 IUQ65542:IUQ65544 JEM65542:JEM65544 JOI65542:JOI65544 JYE65542:JYE65544 KIA65542:KIA65544 KRW65542:KRW65544 LBS65542:LBS65544 LLO65542:LLO65544 LVK65542:LVK65544 MFG65542:MFG65544 MPC65542:MPC65544 MYY65542:MYY65544 NIU65542:NIU65544 NSQ65542:NSQ65544 OCM65542:OCM65544 OMI65542:OMI65544 OWE65542:OWE65544 PGA65542:PGA65544 PPW65542:PPW65544 PZS65542:PZS65544 QJO65542:QJO65544 QTK65542:QTK65544 RDG65542:RDG65544 RNC65542:RNC65544 RWY65542:RWY65544 SGU65542:SGU65544 SQQ65542:SQQ65544 TAM65542:TAM65544 TKI65542:TKI65544 TUE65542:TUE65544 UEA65542:UEA65544 UNW65542:UNW65544 UXS65542:UXS65544 VHO65542:VHO65544 VRK65542:VRK65544 WBG65542:WBG65544 WLC65542:WLC65544 WUY65542:WUY65544 A131078:A131080 IM131078:IM131080 SI131078:SI131080 ACE131078:ACE131080 AMA131078:AMA131080 AVW131078:AVW131080 BFS131078:BFS131080 BPO131078:BPO131080 BZK131078:BZK131080 CJG131078:CJG131080 CTC131078:CTC131080 DCY131078:DCY131080 DMU131078:DMU131080 DWQ131078:DWQ131080 EGM131078:EGM131080 EQI131078:EQI131080 FAE131078:FAE131080 FKA131078:FKA131080 FTW131078:FTW131080 GDS131078:GDS131080 GNO131078:GNO131080 GXK131078:GXK131080 HHG131078:HHG131080 HRC131078:HRC131080 IAY131078:IAY131080 IKU131078:IKU131080 IUQ131078:IUQ131080 JEM131078:JEM131080 JOI131078:JOI131080 JYE131078:JYE131080 KIA131078:KIA131080 KRW131078:KRW131080 LBS131078:LBS131080 LLO131078:LLO131080 LVK131078:LVK131080 MFG131078:MFG131080 MPC131078:MPC131080 MYY131078:MYY131080 NIU131078:NIU131080 NSQ131078:NSQ131080 OCM131078:OCM131080 OMI131078:OMI131080 OWE131078:OWE131080 PGA131078:PGA131080 PPW131078:PPW131080 PZS131078:PZS131080 QJO131078:QJO131080 QTK131078:QTK131080 RDG131078:RDG131080 RNC131078:RNC131080 RWY131078:RWY131080 SGU131078:SGU131080 SQQ131078:SQQ131080 TAM131078:TAM131080 TKI131078:TKI131080 TUE131078:TUE131080 UEA131078:UEA131080 UNW131078:UNW131080 UXS131078:UXS131080 VHO131078:VHO131080 VRK131078:VRK131080 WBG131078:WBG131080 WLC131078:WLC131080 WUY131078:WUY131080 A196614:A196616 IM196614:IM196616 SI196614:SI196616 ACE196614:ACE196616 AMA196614:AMA196616 AVW196614:AVW196616 BFS196614:BFS196616 BPO196614:BPO196616 BZK196614:BZK196616 CJG196614:CJG196616 CTC196614:CTC196616 DCY196614:DCY196616 DMU196614:DMU196616 DWQ196614:DWQ196616 EGM196614:EGM196616 EQI196614:EQI196616 FAE196614:FAE196616 FKA196614:FKA196616 FTW196614:FTW196616 GDS196614:GDS196616 GNO196614:GNO196616 GXK196614:GXK196616 HHG196614:HHG196616 HRC196614:HRC196616 IAY196614:IAY196616 IKU196614:IKU196616 IUQ196614:IUQ196616 JEM196614:JEM196616 JOI196614:JOI196616 JYE196614:JYE196616 KIA196614:KIA196616 KRW196614:KRW196616 LBS196614:LBS196616 LLO196614:LLO196616 LVK196614:LVK196616 MFG196614:MFG196616 MPC196614:MPC196616 MYY196614:MYY196616 NIU196614:NIU196616 NSQ196614:NSQ196616 OCM196614:OCM196616 OMI196614:OMI196616 OWE196614:OWE196616 PGA196614:PGA196616 PPW196614:PPW196616 PZS196614:PZS196616 QJO196614:QJO196616 QTK196614:QTK196616 RDG196614:RDG196616 RNC196614:RNC196616 RWY196614:RWY196616 SGU196614:SGU196616 SQQ196614:SQQ196616 TAM196614:TAM196616 TKI196614:TKI196616 TUE196614:TUE196616 UEA196614:UEA196616 UNW196614:UNW196616 UXS196614:UXS196616 VHO196614:VHO196616 VRK196614:VRK196616 WBG196614:WBG196616 WLC196614:WLC196616 WUY196614:WUY196616 A262150:A262152 IM262150:IM262152 SI262150:SI262152 ACE262150:ACE262152 AMA262150:AMA262152 AVW262150:AVW262152 BFS262150:BFS262152 BPO262150:BPO262152 BZK262150:BZK262152 CJG262150:CJG262152 CTC262150:CTC262152 DCY262150:DCY262152 DMU262150:DMU262152 DWQ262150:DWQ262152 EGM262150:EGM262152 EQI262150:EQI262152 FAE262150:FAE262152 FKA262150:FKA262152 FTW262150:FTW262152 GDS262150:GDS262152 GNO262150:GNO262152 GXK262150:GXK262152 HHG262150:HHG262152 HRC262150:HRC262152 IAY262150:IAY262152 IKU262150:IKU262152 IUQ262150:IUQ262152 JEM262150:JEM262152 JOI262150:JOI262152 JYE262150:JYE262152 KIA262150:KIA262152 KRW262150:KRW262152 LBS262150:LBS262152 LLO262150:LLO262152 LVK262150:LVK262152 MFG262150:MFG262152 MPC262150:MPC262152 MYY262150:MYY262152 NIU262150:NIU262152 NSQ262150:NSQ262152 OCM262150:OCM262152 OMI262150:OMI262152 OWE262150:OWE262152 PGA262150:PGA262152 PPW262150:PPW262152 PZS262150:PZS262152 QJO262150:QJO262152 QTK262150:QTK262152 RDG262150:RDG262152 RNC262150:RNC262152 RWY262150:RWY262152 SGU262150:SGU262152 SQQ262150:SQQ262152 TAM262150:TAM262152 TKI262150:TKI262152 TUE262150:TUE262152 UEA262150:UEA262152 UNW262150:UNW262152 UXS262150:UXS262152 VHO262150:VHO262152 VRK262150:VRK262152 WBG262150:WBG262152 WLC262150:WLC262152 WUY262150:WUY262152 A327686:A327688 IM327686:IM327688 SI327686:SI327688 ACE327686:ACE327688 AMA327686:AMA327688 AVW327686:AVW327688 BFS327686:BFS327688 BPO327686:BPO327688 BZK327686:BZK327688 CJG327686:CJG327688 CTC327686:CTC327688 DCY327686:DCY327688 DMU327686:DMU327688 DWQ327686:DWQ327688 EGM327686:EGM327688 EQI327686:EQI327688 FAE327686:FAE327688 FKA327686:FKA327688 FTW327686:FTW327688 GDS327686:GDS327688 GNO327686:GNO327688 GXK327686:GXK327688 HHG327686:HHG327688 HRC327686:HRC327688 IAY327686:IAY327688 IKU327686:IKU327688 IUQ327686:IUQ327688 JEM327686:JEM327688 JOI327686:JOI327688 JYE327686:JYE327688 KIA327686:KIA327688 KRW327686:KRW327688 LBS327686:LBS327688 LLO327686:LLO327688 LVK327686:LVK327688 MFG327686:MFG327688 MPC327686:MPC327688 MYY327686:MYY327688 NIU327686:NIU327688 NSQ327686:NSQ327688 OCM327686:OCM327688 OMI327686:OMI327688 OWE327686:OWE327688 PGA327686:PGA327688 PPW327686:PPW327688 PZS327686:PZS327688 QJO327686:QJO327688 QTK327686:QTK327688 RDG327686:RDG327688 RNC327686:RNC327688 RWY327686:RWY327688 SGU327686:SGU327688 SQQ327686:SQQ327688 TAM327686:TAM327688 TKI327686:TKI327688 TUE327686:TUE327688 UEA327686:UEA327688 UNW327686:UNW327688 UXS327686:UXS327688 VHO327686:VHO327688 VRK327686:VRK327688 WBG327686:WBG327688 WLC327686:WLC327688 WUY327686:WUY327688 A393222:A393224 IM393222:IM393224 SI393222:SI393224 ACE393222:ACE393224 AMA393222:AMA393224 AVW393222:AVW393224 BFS393222:BFS393224 BPO393222:BPO393224 BZK393222:BZK393224 CJG393222:CJG393224 CTC393222:CTC393224 DCY393222:DCY393224 DMU393222:DMU393224 DWQ393222:DWQ393224 EGM393222:EGM393224 EQI393222:EQI393224 FAE393222:FAE393224 FKA393222:FKA393224 FTW393222:FTW393224 GDS393222:GDS393224 GNO393222:GNO393224 GXK393222:GXK393224 HHG393222:HHG393224 HRC393222:HRC393224 IAY393222:IAY393224 IKU393222:IKU393224 IUQ393222:IUQ393224 JEM393222:JEM393224 JOI393222:JOI393224 JYE393222:JYE393224 KIA393222:KIA393224 KRW393222:KRW393224 LBS393222:LBS393224 LLO393222:LLO393224 LVK393222:LVK393224 MFG393222:MFG393224 MPC393222:MPC393224 MYY393222:MYY393224 NIU393222:NIU393224 NSQ393222:NSQ393224 OCM393222:OCM393224 OMI393222:OMI393224 OWE393222:OWE393224 PGA393222:PGA393224 PPW393222:PPW393224 PZS393222:PZS393224 QJO393222:QJO393224 QTK393222:QTK393224 RDG393222:RDG393224 RNC393222:RNC393224 RWY393222:RWY393224 SGU393222:SGU393224 SQQ393222:SQQ393224 TAM393222:TAM393224 TKI393222:TKI393224 TUE393222:TUE393224 UEA393222:UEA393224 UNW393222:UNW393224 UXS393222:UXS393224 VHO393222:VHO393224 VRK393222:VRK393224 WBG393222:WBG393224 WLC393222:WLC393224 WUY393222:WUY393224 A458758:A458760 IM458758:IM458760 SI458758:SI458760 ACE458758:ACE458760 AMA458758:AMA458760 AVW458758:AVW458760 BFS458758:BFS458760 BPO458758:BPO458760 BZK458758:BZK458760 CJG458758:CJG458760 CTC458758:CTC458760 DCY458758:DCY458760 DMU458758:DMU458760 DWQ458758:DWQ458760 EGM458758:EGM458760 EQI458758:EQI458760 FAE458758:FAE458760 FKA458758:FKA458760 FTW458758:FTW458760 GDS458758:GDS458760 GNO458758:GNO458760 GXK458758:GXK458760 HHG458758:HHG458760 HRC458758:HRC458760 IAY458758:IAY458760 IKU458758:IKU458760 IUQ458758:IUQ458760 JEM458758:JEM458760 JOI458758:JOI458760 JYE458758:JYE458760 KIA458758:KIA458760 KRW458758:KRW458760 LBS458758:LBS458760 LLO458758:LLO458760 LVK458758:LVK458760 MFG458758:MFG458760 MPC458758:MPC458760 MYY458758:MYY458760 NIU458758:NIU458760 NSQ458758:NSQ458760 OCM458758:OCM458760 OMI458758:OMI458760 OWE458758:OWE458760 PGA458758:PGA458760 PPW458758:PPW458760 PZS458758:PZS458760 QJO458758:QJO458760 QTK458758:QTK458760 RDG458758:RDG458760 RNC458758:RNC458760 RWY458758:RWY458760 SGU458758:SGU458760 SQQ458758:SQQ458760 TAM458758:TAM458760 TKI458758:TKI458760 TUE458758:TUE458760 UEA458758:UEA458760 UNW458758:UNW458760 UXS458758:UXS458760 VHO458758:VHO458760 VRK458758:VRK458760 WBG458758:WBG458760 WLC458758:WLC458760 WUY458758:WUY458760 A524294:A524296 IM524294:IM524296 SI524294:SI524296 ACE524294:ACE524296 AMA524294:AMA524296 AVW524294:AVW524296 BFS524294:BFS524296 BPO524294:BPO524296 BZK524294:BZK524296 CJG524294:CJG524296 CTC524294:CTC524296 DCY524294:DCY524296 DMU524294:DMU524296 DWQ524294:DWQ524296 EGM524294:EGM524296 EQI524294:EQI524296 FAE524294:FAE524296 FKA524294:FKA524296 FTW524294:FTW524296 GDS524294:GDS524296 GNO524294:GNO524296 GXK524294:GXK524296 HHG524294:HHG524296 HRC524294:HRC524296 IAY524294:IAY524296 IKU524294:IKU524296 IUQ524294:IUQ524296 JEM524294:JEM524296 JOI524294:JOI524296 JYE524294:JYE524296 KIA524294:KIA524296 KRW524294:KRW524296 LBS524294:LBS524296 LLO524294:LLO524296 LVK524294:LVK524296 MFG524294:MFG524296 MPC524294:MPC524296 MYY524294:MYY524296 NIU524294:NIU524296 NSQ524294:NSQ524296 OCM524294:OCM524296 OMI524294:OMI524296 OWE524294:OWE524296 PGA524294:PGA524296 PPW524294:PPW524296 PZS524294:PZS524296 QJO524294:QJO524296 QTK524294:QTK524296 RDG524294:RDG524296 RNC524294:RNC524296 RWY524294:RWY524296 SGU524294:SGU524296 SQQ524294:SQQ524296 TAM524294:TAM524296 TKI524294:TKI524296 TUE524294:TUE524296 UEA524294:UEA524296 UNW524294:UNW524296 UXS524294:UXS524296 VHO524294:VHO524296 VRK524294:VRK524296 WBG524294:WBG524296 WLC524294:WLC524296 WUY524294:WUY524296 A589830:A589832 IM589830:IM589832 SI589830:SI589832 ACE589830:ACE589832 AMA589830:AMA589832 AVW589830:AVW589832 BFS589830:BFS589832 BPO589830:BPO589832 BZK589830:BZK589832 CJG589830:CJG589832 CTC589830:CTC589832 DCY589830:DCY589832 DMU589830:DMU589832 DWQ589830:DWQ589832 EGM589830:EGM589832 EQI589830:EQI589832 FAE589830:FAE589832 FKA589830:FKA589832 FTW589830:FTW589832 GDS589830:GDS589832 GNO589830:GNO589832 GXK589830:GXK589832 HHG589830:HHG589832 HRC589830:HRC589832 IAY589830:IAY589832 IKU589830:IKU589832 IUQ589830:IUQ589832 JEM589830:JEM589832 JOI589830:JOI589832 JYE589830:JYE589832 KIA589830:KIA589832 KRW589830:KRW589832 LBS589830:LBS589832 LLO589830:LLO589832 LVK589830:LVK589832 MFG589830:MFG589832 MPC589830:MPC589832 MYY589830:MYY589832 NIU589830:NIU589832 NSQ589830:NSQ589832 OCM589830:OCM589832 OMI589830:OMI589832 OWE589830:OWE589832 PGA589830:PGA589832 PPW589830:PPW589832 PZS589830:PZS589832 QJO589830:QJO589832 QTK589830:QTK589832 RDG589830:RDG589832 RNC589830:RNC589832 RWY589830:RWY589832 SGU589830:SGU589832 SQQ589830:SQQ589832 TAM589830:TAM589832 TKI589830:TKI589832 TUE589830:TUE589832 UEA589830:UEA589832 UNW589830:UNW589832 UXS589830:UXS589832 VHO589830:VHO589832 VRK589830:VRK589832 WBG589830:WBG589832 WLC589830:WLC589832 WUY589830:WUY589832 A655366:A655368 IM655366:IM655368 SI655366:SI655368 ACE655366:ACE655368 AMA655366:AMA655368 AVW655366:AVW655368 BFS655366:BFS655368 BPO655366:BPO655368 BZK655366:BZK655368 CJG655366:CJG655368 CTC655366:CTC655368 DCY655366:DCY655368 DMU655366:DMU655368 DWQ655366:DWQ655368 EGM655366:EGM655368 EQI655366:EQI655368 FAE655366:FAE655368 FKA655366:FKA655368 FTW655366:FTW655368 GDS655366:GDS655368 GNO655366:GNO655368 GXK655366:GXK655368 HHG655366:HHG655368 HRC655366:HRC655368 IAY655366:IAY655368 IKU655366:IKU655368 IUQ655366:IUQ655368 JEM655366:JEM655368 JOI655366:JOI655368 JYE655366:JYE655368 KIA655366:KIA655368 KRW655366:KRW655368 LBS655366:LBS655368 LLO655366:LLO655368 LVK655366:LVK655368 MFG655366:MFG655368 MPC655366:MPC655368 MYY655366:MYY655368 NIU655366:NIU655368 NSQ655366:NSQ655368 OCM655366:OCM655368 OMI655366:OMI655368 OWE655366:OWE655368 PGA655366:PGA655368 PPW655366:PPW655368 PZS655366:PZS655368 QJO655366:QJO655368 QTK655366:QTK655368 RDG655366:RDG655368 RNC655366:RNC655368 RWY655366:RWY655368 SGU655366:SGU655368 SQQ655366:SQQ655368 TAM655366:TAM655368 TKI655366:TKI655368 TUE655366:TUE655368 UEA655366:UEA655368 UNW655366:UNW655368 UXS655366:UXS655368 VHO655366:VHO655368 VRK655366:VRK655368 WBG655366:WBG655368 WLC655366:WLC655368 WUY655366:WUY655368 A720902:A720904 IM720902:IM720904 SI720902:SI720904 ACE720902:ACE720904 AMA720902:AMA720904 AVW720902:AVW720904 BFS720902:BFS720904 BPO720902:BPO720904 BZK720902:BZK720904 CJG720902:CJG720904 CTC720902:CTC720904 DCY720902:DCY720904 DMU720902:DMU720904 DWQ720902:DWQ720904 EGM720902:EGM720904 EQI720902:EQI720904 FAE720902:FAE720904 FKA720902:FKA720904 FTW720902:FTW720904 GDS720902:GDS720904 GNO720902:GNO720904 GXK720902:GXK720904 HHG720902:HHG720904 HRC720902:HRC720904 IAY720902:IAY720904 IKU720902:IKU720904 IUQ720902:IUQ720904 JEM720902:JEM720904 JOI720902:JOI720904 JYE720902:JYE720904 KIA720902:KIA720904 KRW720902:KRW720904 LBS720902:LBS720904 LLO720902:LLO720904 LVK720902:LVK720904 MFG720902:MFG720904 MPC720902:MPC720904 MYY720902:MYY720904 NIU720902:NIU720904 NSQ720902:NSQ720904 OCM720902:OCM720904 OMI720902:OMI720904 OWE720902:OWE720904 PGA720902:PGA720904 PPW720902:PPW720904 PZS720902:PZS720904 QJO720902:QJO720904 QTK720902:QTK720904 RDG720902:RDG720904 RNC720902:RNC720904 RWY720902:RWY720904 SGU720902:SGU720904 SQQ720902:SQQ720904 TAM720902:TAM720904 TKI720902:TKI720904 TUE720902:TUE720904 UEA720902:UEA720904 UNW720902:UNW720904 UXS720902:UXS720904 VHO720902:VHO720904 VRK720902:VRK720904 WBG720902:WBG720904 WLC720902:WLC720904 WUY720902:WUY720904 A786438:A786440 IM786438:IM786440 SI786438:SI786440 ACE786438:ACE786440 AMA786438:AMA786440 AVW786438:AVW786440 BFS786438:BFS786440 BPO786438:BPO786440 BZK786438:BZK786440 CJG786438:CJG786440 CTC786438:CTC786440 DCY786438:DCY786440 DMU786438:DMU786440 DWQ786438:DWQ786440 EGM786438:EGM786440 EQI786438:EQI786440 FAE786438:FAE786440 FKA786438:FKA786440 FTW786438:FTW786440 GDS786438:GDS786440 GNO786438:GNO786440 GXK786438:GXK786440 HHG786438:HHG786440 HRC786438:HRC786440 IAY786438:IAY786440 IKU786438:IKU786440 IUQ786438:IUQ786440 JEM786438:JEM786440 JOI786438:JOI786440 JYE786438:JYE786440 KIA786438:KIA786440 KRW786438:KRW786440 LBS786438:LBS786440 LLO786438:LLO786440 LVK786438:LVK786440 MFG786438:MFG786440 MPC786438:MPC786440 MYY786438:MYY786440 NIU786438:NIU786440 NSQ786438:NSQ786440 OCM786438:OCM786440 OMI786438:OMI786440 OWE786438:OWE786440 PGA786438:PGA786440 PPW786438:PPW786440 PZS786438:PZS786440 QJO786438:QJO786440 QTK786438:QTK786440 RDG786438:RDG786440 RNC786438:RNC786440 RWY786438:RWY786440 SGU786438:SGU786440 SQQ786438:SQQ786440 TAM786438:TAM786440 TKI786438:TKI786440 TUE786438:TUE786440 UEA786438:UEA786440 UNW786438:UNW786440 UXS786438:UXS786440 VHO786438:VHO786440 VRK786438:VRK786440 WBG786438:WBG786440 WLC786438:WLC786440 WUY786438:WUY786440 A851974:A851976 IM851974:IM851976 SI851974:SI851976 ACE851974:ACE851976 AMA851974:AMA851976 AVW851974:AVW851976 BFS851974:BFS851976 BPO851974:BPO851976 BZK851974:BZK851976 CJG851974:CJG851976 CTC851974:CTC851976 DCY851974:DCY851976 DMU851974:DMU851976 DWQ851974:DWQ851976 EGM851974:EGM851976 EQI851974:EQI851976 FAE851974:FAE851976 FKA851974:FKA851976 FTW851974:FTW851976 GDS851974:GDS851976 GNO851974:GNO851976 GXK851974:GXK851976 HHG851974:HHG851976 HRC851974:HRC851976 IAY851974:IAY851976 IKU851974:IKU851976 IUQ851974:IUQ851976 JEM851974:JEM851976 JOI851974:JOI851976 JYE851974:JYE851976 KIA851974:KIA851976 KRW851974:KRW851976 LBS851974:LBS851976 LLO851974:LLO851976 LVK851974:LVK851976 MFG851974:MFG851976 MPC851974:MPC851976 MYY851974:MYY851976 NIU851974:NIU851976 NSQ851974:NSQ851976 OCM851974:OCM851976 OMI851974:OMI851976 OWE851974:OWE851976 PGA851974:PGA851976 PPW851974:PPW851976 PZS851974:PZS851976 QJO851974:QJO851976 QTK851974:QTK851976 RDG851974:RDG851976 RNC851974:RNC851976 RWY851974:RWY851976 SGU851974:SGU851976 SQQ851974:SQQ851976 TAM851974:TAM851976 TKI851974:TKI851976 TUE851974:TUE851976 UEA851974:UEA851976 UNW851974:UNW851976 UXS851974:UXS851976 VHO851974:VHO851976 VRK851974:VRK851976 WBG851974:WBG851976 WLC851974:WLC851976 WUY851974:WUY851976 A917510:A917512 IM917510:IM917512 SI917510:SI917512 ACE917510:ACE917512 AMA917510:AMA917512 AVW917510:AVW917512 BFS917510:BFS917512 BPO917510:BPO917512 BZK917510:BZK917512 CJG917510:CJG917512 CTC917510:CTC917512 DCY917510:DCY917512 DMU917510:DMU917512 DWQ917510:DWQ917512 EGM917510:EGM917512 EQI917510:EQI917512 FAE917510:FAE917512 FKA917510:FKA917512 FTW917510:FTW917512 GDS917510:GDS917512 GNO917510:GNO917512 GXK917510:GXK917512 HHG917510:HHG917512 HRC917510:HRC917512 IAY917510:IAY917512 IKU917510:IKU917512 IUQ917510:IUQ917512 JEM917510:JEM917512 JOI917510:JOI917512 JYE917510:JYE917512 KIA917510:KIA917512 KRW917510:KRW917512 LBS917510:LBS917512 LLO917510:LLO917512 LVK917510:LVK917512 MFG917510:MFG917512 MPC917510:MPC917512 MYY917510:MYY917512 NIU917510:NIU917512 NSQ917510:NSQ917512 OCM917510:OCM917512 OMI917510:OMI917512 OWE917510:OWE917512 PGA917510:PGA917512 PPW917510:PPW917512 PZS917510:PZS917512 QJO917510:QJO917512 QTK917510:QTK917512 RDG917510:RDG917512 RNC917510:RNC917512 RWY917510:RWY917512 SGU917510:SGU917512 SQQ917510:SQQ917512 TAM917510:TAM917512 TKI917510:TKI917512 TUE917510:TUE917512 UEA917510:UEA917512 UNW917510:UNW917512 UXS917510:UXS917512 VHO917510:VHO917512 VRK917510:VRK917512 WBG917510:WBG917512 WLC917510:WLC917512 WUY917510:WUY917512 A983046:A983048 IM983046:IM983048 SI983046:SI983048 ACE983046:ACE983048 AMA983046:AMA983048 AVW983046:AVW983048 BFS983046:BFS983048 BPO983046:BPO983048 BZK983046:BZK983048 CJG983046:CJG983048 CTC983046:CTC983048 DCY983046:DCY983048 DMU983046:DMU983048 DWQ983046:DWQ983048 EGM983046:EGM983048 EQI983046:EQI983048 FAE983046:FAE983048 FKA983046:FKA983048 FTW983046:FTW983048 GDS983046:GDS983048 GNO983046:GNO983048 GXK983046:GXK983048 HHG983046:HHG983048 HRC983046:HRC983048 IAY983046:IAY983048 IKU983046:IKU983048 IUQ983046:IUQ983048 JEM983046:JEM983048 JOI983046:JOI983048 JYE983046:JYE983048 KIA983046:KIA983048 KRW983046:KRW983048 LBS983046:LBS983048 LLO983046:LLO983048 LVK983046:LVK983048 MFG983046:MFG983048 MPC983046:MPC983048 MYY983046:MYY983048 NIU983046:NIU983048 NSQ983046:NSQ983048 OCM983046:OCM983048 OMI983046:OMI983048 OWE983046:OWE983048 PGA983046:PGA983048 PPW983046:PPW983048 PZS983046:PZS983048 QJO983046:QJO983048 QTK983046:QTK983048 RDG983046:RDG983048 RNC983046:RNC983048 RWY983046:RWY983048 SGU983046:SGU983048 SQQ983046:SQQ983048 TAM983046:TAM983048 TKI983046:TKI983048 TUE983046:TUE983048 UEA983046:UEA983048 UNW983046:UNW983048 UXS983046:UXS983048 VHO983046:VHO983048 VRK983046:VRK983048 WBG983046:WBG983048 WLC983046:WLC983048"/>
    <dataValidation type="decimal" allowBlank="1" showInputMessage="1" showErrorMessage="1" prompt="bei Zutreffen Stundenzahl eingeben" sqref="WVF983045:WVF983087 IT5:IT47 SP5:SP47 ACL5:ACL47 AMH5:AMH47 AWD5:AWD47 BFZ5:BFZ47 BPV5:BPV47 BZR5:BZR47 CJN5:CJN47 CTJ5:CTJ47 DDF5:DDF47 DNB5:DNB47 DWX5:DWX47 EGT5:EGT47 EQP5:EQP47 FAL5:FAL47 FKH5:FKH47 FUD5:FUD47 GDZ5:GDZ47 GNV5:GNV47 GXR5:GXR47 HHN5:HHN47 HRJ5:HRJ47 IBF5:IBF47 ILB5:ILB47 IUX5:IUX47 JET5:JET47 JOP5:JOP47 JYL5:JYL47 KIH5:KIH47 KSD5:KSD47 LBZ5:LBZ47 LLV5:LLV47 LVR5:LVR47 MFN5:MFN47 MPJ5:MPJ47 MZF5:MZF47 NJB5:NJB47 NSX5:NSX47 OCT5:OCT47 OMP5:OMP47 OWL5:OWL47 PGH5:PGH47 PQD5:PQD47 PZZ5:PZZ47 QJV5:QJV47 QTR5:QTR47 RDN5:RDN47 RNJ5:RNJ47 RXF5:RXF47 SHB5:SHB47 SQX5:SQX47 TAT5:TAT47 TKP5:TKP47 TUL5:TUL47 UEH5:UEH47 UOD5:UOD47 UXZ5:UXZ47 VHV5:VHV47 VRR5:VRR47 WBN5:WBN47 WLJ5:WLJ47 WVF5:WVF47 K65541:K65583 IT65541:IT65583 SP65541:SP65583 ACL65541:ACL65583 AMH65541:AMH65583 AWD65541:AWD65583 BFZ65541:BFZ65583 BPV65541:BPV65583 BZR65541:BZR65583 CJN65541:CJN65583 CTJ65541:CTJ65583 DDF65541:DDF65583 DNB65541:DNB65583 DWX65541:DWX65583 EGT65541:EGT65583 EQP65541:EQP65583 FAL65541:FAL65583 FKH65541:FKH65583 FUD65541:FUD65583 GDZ65541:GDZ65583 GNV65541:GNV65583 GXR65541:GXR65583 HHN65541:HHN65583 HRJ65541:HRJ65583 IBF65541:IBF65583 ILB65541:ILB65583 IUX65541:IUX65583 JET65541:JET65583 JOP65541:JOP65583 JYL65541:JYL65583 KIH65541:KIH65583 KSD65541:KSD65583 LBZ65541:LBZ65583 LLV65541:LLV65583 LVR65541:LVR65583 MFN65541:MFN65583 MPJ65541:MPJ65583 MZF65541:MZF65583 NJB65541:NJB65583 NSX65541:NSX65583 OCT65541:OCT65583 OMP65541:OMP65583 OWL65541:OWL65583 PGH65541:PGH65583 PQD65541:PQD65583 PZZ65541:PZZ65583 QJV65541:QJV65583 QTR65541:QTR65583 RDN65541:RDN65583 RNJ65541:RNJ65583 RXF65541:RXF65583 SHB65541:SHB65583 SQX65541:SQX65583 TAT65541:TAT65583 TKP65541:TKP65583 TUL65541:TUL65583 UEH65541:UEH65583 UOD65541:UOD65583 UXZ65541:UXZ65583 VHV65541:VHV65583 VRR65541:VRR65583 WBN65541:WBN65583 WLJ65541:WLJ65583 WVF65541:WVF65583 K131077:K131119 IT131077:IT131119 SP131077:SP131119 ACL131077:ACL131119 AMH131077:AMH131119 AWD131077:AWD131119 BFZ131077:BFZ131119 BPV131077:BPV131119 BZR131077:BZR131119 CJN131077:CJN131119 CTJ131077:CTJ131119 DDF131077:DDF131119 DNB131077:DNB131119 DWX131077:DWX131119 EGT131077:EGT131119 EQP131077:EQP131119 FAL131077:FAL131119 FKH131077:FKH131119 FUD131077:FUD131119 GDZ131077:GDZ131119 GNV131077:GNV131119 GXR131077:GXR131119 HHN131077:HHN131119 HRJ131077:HRJ131119 IBF131077:IBF131119 ILB131077:ILB131119 IUX131077:IUX131119 JET131077:JET131119 JOP131077:JOP131119 JYL131077:JYL131119 KIH131077:KIH131119 KSD131077:KSD131119 LBZ131077:LBZ131119 LLV131077:LLV131119 LVR131077:LVR131119 MFN131077:MFN131119 MPJ131077:MPJ131119 MZF131077:MZF131119 NJB131077:NJB131119 NSX131077:NSX131119 OCT131077:OCT131119 OMP131077:OMP131119 OWL131077:OWL131119 PGH131077:PGH131119 PQD131077:PQD131119 PZZ131077:PZZ131119 QJV131077:QJV131119 QTR131077:QTR131119 RDN131077:RDN131119 RNJ131077:RNJ131119 RXF131077:RXF131119 SHB131077:SHB131119 SQX131077:SQX131119 TAT131077:TAT131119 TKP131077:TKP131119 TUL131077:TUL131119 UEH131077:UEH131119 UOD131077:UOD131119 UXZ131077:UXZ131119 VHV131077:VHV131119 VRR131077:VRR131119 WBN131077:WBN131119 WLJ131077:WLJ131119 WVF131077:WVF131119 K196613:K196655 IT196613:IT196655 SP196613:SP196655 ACL196613:ACL196655 AMH196613:AMH196655 AWD196613:AWD196655 BFZ196613:BFZ196655 BPV196613:BPV196655 BZR196613:BZR196655 CJN196613:CJN196655 CTJ196613:CTJ196655 DDF196613:DDF196655 DNB196613:DNB196655 DWX196613:DWX196655 EGT196613:EGT196655 EQP196613:EQP196655 FAL196613:FAL196655 FKH196613:FKH196655 FUD196613:FUD196655 GDZ196613:GDZ196655 GNV196613:GNV196655 GXR196613:GXR196655 HHN196613:HHN196655 HRJ196613:HRJ196655 IBF196613:IBF196655 ILB196613:ILB196655 IUX196613:IUX196655 JET196613:JET196655 JOP196613:JOP196655 JYL196613:JYL196655 KIH196613:KIH196655 KSD196613:KSD196655 LBZ196613:LBZ196655 LLV196613:LLV196655 LVR196613:LVR196655 MFN196613:MFN196655 MPJ196613:MPJ196655 MZF196613:MZF196655 NJB196613:NJB196655 NSX196613:NSX196655 OCT196613:OCT196655 OMP196613:OMP196655 OWL196613:OWL196655 PGH196613:PGH196655 PQD196613:PQD196655 PZZ196613:PZZ196655 QJV196613:QJV196655 QTR196613:QTR196655 RDN196613:RDN196655 RNJ196613:RNJ196655 RXF196613:RXF196655 SHB196613:SHB196655 SQX196613:SQX196655 TAT196613:TAT196655 TKP196613:TKP196655 TUL196613:TUL196655 UEH196613:UEH196655 UOD196613:UOD196655 UXZ196613:UXZ196655 VHV196613:VHV196655 VRR196613:VRR196655 WBN196613:WBN196655 WLJ196613:WLJ196655 WVF196613:WVF196655 K262149:K262191 IT262149:IT262191 SP262149:SP262191 ACL262149:ACL262191 AMH262149:AMH262191 AWD262149:AWD262191 BFZ262149:BFZ262191 BPV262149:BPV262191 BZR262149:BZR262191 CJN262149:CJN262191 CTJ262149:CTJ262191 DDF262149:DDF262191 DNB262149:DNB262191 DWX262149:DWX262191 EGT262149:EGT262191 EQP262149:EQP262191 FAL262149:FAL262191 FKH262149:FKH262191 FUD262149:FUD262191 GDZ262149:GDZ262191 GNV262149:GNV262191 GXR262149:GXR262191 HHN262149:HHN262191 HRJ262149:HRJ262191 IBF262149:IBF262191 ILB262149:ILB262191 IUX262149:IUX262191 JET262149:JET262191 JOP262149:JOP262191 JYL262149:JYL262191 KIH262149:KIH262191 KSD262149:KSD262191 LBZ262149:LBZ262191 LLV262149:LLV262191 LVR262149:LVR262191 MFN262149:MFN262191 MPJ262149:MPJ262191 MZF262149:MZF262191 NJB262149:NJB262191 NSX262149:NSX262191 OCT262149:OCT262191 OMP262149:OMP262191 OWL262149:OWL262191 PGH262149:PGH262191 PQD262149:PQD262191 PZZ262149:PZZ262191 QJV262149:QJV262191 QTR262149:QTR262191 RDN262149:RDN262191 RNJ262149:RNJ262191 RXF262149:RXF262191 SHB262149:SHB262191 SQX262149:SQX262191 TAT262149:TAT262191 TKP262149:TKP262191 TUL262149:TUL262191 UEH262149:UEH262191 UOD262149:UOD262191 UXZ262149:UXZ262191 VHV262149:VHV262191 VRR262149:VRR262191 WBN262149:WBN262191 WLJ262149:WLJ262191 WVF262149:WVF262191 K327685:K327727 IT327685:IT327727 SP327685:SP327727 ACL327685:ACL327727 AMH327685:AMH327727 AWD327685:AWD327727 BFZ327685:BFZ327727 BPV327685:BPV327727 BZR327685:BZR327727 CJN327685:CJN327727 CTJ327685:CTJ327727 DDF327685:DDF327727 DNB327685:DNB327727 DWX327685:DWX327727 EGT327685:EGT327727 EQP327685:EQP327727 FAL327685:FAL327727 FKH327685:FKH327727 FUD327685:FUD327727 GDZ327685:GDZ327727 GNV327685:GNV327727 GXR327685:GXR327727 HHN327685:HHN327727 HRJ327685:HRJ327727 IBF327685:IBF327727 ILB327685:ILB327727 IUX327685:IUX327727 JET327685:JET327727 JOP327685:JOP327727 JYL327685:JYL327727 KIH327685:KIH327727 KSD327685:KSD327727 LBZ327685:LBZ327727 LLV327685:LLV327727 LVR327685:LVR327727 MFN327685:MFN327727 MPJ327685:MPJ327727 MZF327685:MZF327727 NJB327685:NJB327727 NSX327685:NSX327727 OCT327685:OCT327727 OMP327685:OMP327727 OWL327685:OWL327727 PGH327685:PGH327727 PQD327685:PQD327727 PZZ327685:PZZ327727 QJV327685:QJV327727 QTR327685:QTR327727 RDN327685:RDN327727 RNJ327685:RNJ327727 RXF327685:RXF327727 SHB327685:SHB327727 SQX327685:SQX327727 TAT327685:TAT327727 TKP327685:TKP327727 TUL327685:TUL327727 UEH327685:UEH327727 UOD327685:UOD327727 UXZ327685:UXZ327727 VHV327685:VHV327727 VRR327685:VRR327727 WBN327685:WBN327727 WLJ327685:WLJ327727 WVF327685:WVF327727 K393221:K393263 IT393221:IT393263 SP393221:SP393263 ACL393221:ACL393263 AMH393221:AMH393263 AWD393221:AWD393263 BFZ393221:BFZ393263 BPV393221:BPV393263 BZR393221:BZR393263 CJN393221:CJN393263 CTJ393221:CTJ393263 DDF393221:DDF393263 DNB393221:DNB393263 DWX393221:DWX393263 EGT393221:EGT393263 EQP393221:EQP393263 FAL393221:FAL393263 FKH393221:FKH393263 FUD393221:FUD393263 GDZ393221:GDZ393263 GNV393221:GNV393263 GXR393221:GXR393263 HHN393221:HHN393263 HRJ393221:HRJ393263 IBF393221:IBF393263 ILB393221:ILB393263 IUX393221:IUX393263 JET393221:JET393263 JOP393221:JOP393263 JYL393221:JYL393263 KIH393221:KIH393263 KSD393221:KSD393263 LBZ393221:LBZ393263 LLV393221:LLV393263 LVR393221:LVR393263 MFN393221:MFN393263 MPJ393221:MPJ393263 MZF393221:MZF393263 NJB393221:NJB393263 NSX393221:NSX393263 OCT393221:OCT393263 OMP393221:OMP393263 OWL393221:OWL393263 PGH393221:PGH393263 PQD393221:PQD393263 PZZ393221:PZZ393263 QJV393221:QJV393263 QTR393221:QTR393263 RDN393221:RDN393263 RNJ393221:RNJ393263 RXF393221:RXF393263 SHB393221:SHB393263 SQX393221:SQX393263 TAT393221:TAT393263 TKP393221:TKP393263 TUL393221:TUL393263 UEH393221:UEH393263 UOD393221:UOD393263 UXZ393221:UXZ393263 VHV393221:VHV393263 VRR393221:VRR393263 WBN393221:WBN393263 WLJ393221:WLJ393263 WVF393221:WVF393263 K458757:K458799 IT458757:IT458799 SP458757:SP458799 ACL458757:ACL458799 AMH458757:AMH458799 AWD458757:AWD458799 BFZ458757:BFZ458799 BPV458757:BPV458799 BZR458757:BZR458799 CJN458757:CJN458799 CTJ458757:CTJ458799 DDF458757:DDF458799 DNB458757:DNB458799 DWX458757:DWX458799 EGT458757:EGT458799 EQP458757:EQP458799 FAL458757:FAL458799 FKH458757:FKH458799 FUD458757:FUD458799 GDZ458757:GDZ458799 GNV458757:GNV458799 GXR458757:GXR458799 HHN458757:HHN458799 HRJ458757:HRJ458799 IBF458757:IBF458799 ILB458757:ILB458799 IUX458757:IUX458799 JET458757:JET458799 JOP458757:JOP458799 JYL458757:JYL458799 KIH458757:KIH458799 KSD458757:KSD458799 LBZ458757:LBZ458799 LLV458757:LLV458799 LVR458757:LVR458799 MFN458757:MFN458799 MPJ458757:MPJ458799 MZF458757:MZF458799 NJB458757:NJB458799 NSX458757:NSX458799 OCT458757:OCT458799 OMP458757:OMP458799 OWL458757:OWL458799 PGH458757:PGH458799 PQD458757:PQD458799 PZZ458757:PZZ458799 QJV458757:QJV458799 QTR458757:QTR458799 RDN458757:RDN458799 RNJ458757:RNJ458799 RXF458757:RXF458799 SHB458757:SHB458799 SQX458757:SQX458799 TAT458757:TAT458799 TKP458757:TKP458799 TUL458757:TUL458799 UEH458757:UEH458799 UOD458757:UOD458799 UXZ458757:UXZ458799 VHV458757:VHV458799 VRR458757:VRR458799 WBN458757:WBN458799 WLJ458757:WLJ458799 WVF458757:WVF458799 K524293:K524335 IT524293:IT524335 SP524293:SP524335 ACL524293:ACL524335 AMH524293:AMH524335 AWD524293:AWD524335 BFZ524293:BFZ524335 BPV524293:BPV524335 BZR524293:BZR524335 CJN524293:CJN524335 CTJ524293:CTJ524335 DDF524293:DDF524335 DNB524293:DNB524335 DWX524293:DWX524335 EGT524293:EGT524335 EQP524293:EQP524335 FAL524293:FAL524335 FKH524293:FKH524335 FUD524293:FUD524335 GDZ524293:GDZ524335 GNV524293:GNV524335 GXR524293:GXR524335 HHN524293:HHN524335 HRJ524293:HRJ524335 IBF524293:IBF524335 ILB524293:ILB524335 IUX524293:IUX524335 JET524293:JET524335 JOP524293:JOP524335 JYL524293:JYL524335 KIH524293:KIH524335 KSD524293:KSD524335 LBZ524293:LBZ524335 LLV524293:LLV524335 LVR524293:LVR524335 MFN524293:MFN524335 MPJ524293:MPJ524335 MZF524293:MZF524335 NJB524293:NJB524335 NSX524293:NSX524335 OCT524293:OCT524335 OMP524293:OMP524335 OWL524293:OWL524335 PGH524293:PGH524335 PQD524293:PQD524335 PZZ524293:PZZ524335 QJV524293:QJV524335 QTR524293:QTR524335 RDN524293:RDN524335 RNJ524293:RNJ524335 RXF524293:RXF524335 SHB524293:SHB524335 SQX524293:SQX524335 TAT524293:TAT524335 TKP524293:TKP524335 TUL524293:TUL524335 UEH524293:UEH524335 UOD524293:UOD524335 UXZ524293:UXZ524335 VHV524293:VHV524335 VRR524293:VRR524335 WBN524293:WBN524335 WLJ524293:WLJ524335 WVF524293:WVF524335 K589829:K589871 IT589829:IT589871 SP589829:SP589871 ACL589829:ACL589871 AMH589829:AMH589871 AWD589829:AWD589871 BFZ589829:BFZ589871 BPV589829:BPV589871 BZR589829:BZR589871 CJN589829:CJN589871 CTJ589829:CTJ589871 DDF589829:DDF589871 DNB589829:DNB589871 DWX589829:DWX589871 EGT589829:EGT589871 EQP589829:EQP589871 FAL589829:FAL589871 FKH589829:FKH589871 FUD589829:FUD589871 GDZ589829:GDZ589871 GNV589829:GNV589871 GXR589829:GXR589871 HHN589829:HHN589871 HRJ589829:HRJ589871 IBF589829:IBF589871 ILB589829:ILB589871 IUX589829:IUX589871 JET589829:JET589871 JOP589829:JOP589871 JYL589829:JYL589871 KIH589829:KIH589871 KSD589829:KSD589871 LBZ589829:LBZ589871 LLV589829:LLV589871 LVR589829:LVR589871 MFN589829:MFN589871 MPJ589829:MPJ589871 MZF589829:MZF589871 NJB589829:NJB589871 NSX589829:NSX589871 OCT589829:OCT589871 OMP589829:OMP589871 OWL589829:OWL589871 PGH589829:PGH589871 PQD589829:PQD589871 PZZ589829:PZZ589871 QJV589829:QJV589871 QTR589829:QTR589871 RDN589829:RDN589871 RNJ589829:RNJ589871 RXF589829:RXF589871 SHB589829:SHB589871 SQX589829:SQX589871 TAT589829:TAT589871 TKP589829:TKP589871 TUL589829:TUL589871 UEH589829:UEH589871 UOD589829:UOD589871 UXZ589829:UXZ589871 VHV589829:VHV589871 VRR589829:VRR589871 WBN589829:WBN589871 WLJ589829:WLJ589871 WVF589829:WVF589871 K655365:K655407 IT655365:IT655407 SP655365:SP655407 ACL655365:ACL655407 AMH655365:AMH655407 AWD655365:AWD655407 BFZ655365:BFZ655407 BPV655365:BPV655407 BZR655365:BZR655407 CJN655365:CJN655407 CTJ655365:CTJ655407 DDF655365:DDF655407 DNB655365:DNB655407 DWX655365:DWX655407 EGT655365:EGT655407 EQP655365:EQP655407 FAL655365:FAL655407 FKH655365:FKH655407 FUD655365:FUD655407 GDZ655365:GDZ655407 GNV655365:GNV655407 GXR655365:GXR655407 HHN655365:HHN655407 HRJ655365:HRJ655407 IBF655365:IBF655407 ILB655365:ILB655407 IUX655365:IUX655407 JET655365:JET655407 JOP655365:JOP655407 JYL655365:JYL655407 KIH655365:KIH655407 KSD655365:KSD655407 LBZ655365:LBZ655407 LLV655365:LLV655407 LVR655365:LVR655407 MFN655365:MFN655407 MPJ655365:MPJ655407 MZF655365:MZF655407 NJB655365:NJB655407 NSX655365:NSX655407 OCT655365:OCT655407 OMP655365:OMP655407 OWL655365:OWL655407 PGH655365:PGH655407 PQD655365:PQD655407 PZZ655365:PZZ655407 QJV655365:QJV655407 QTR655365:QTR655407 RDN655365:RDN655407 RNJ655365:RNJ655407 RXF655365:RXF655407 SHB655365:SHB655407 SQX655365:SQX655407 TAT655365:TAT655407 TKP655365:TKP655407 TUL655365:TUL655407 UEH655365:UEH655407 UOD655365:UOD655407 UXZ655365:UXZ655407 VHV655365:VHV655407 VRR655365:VRR655407 WBN655365:WBN655407 WLJ655365:WLJ655407 WVF655365:WVF655407 K720901:K720943 IT720901:IT720943 SP720901:SP720943 ACL720901:ACL720943 AMH720901:AMH720943 AWD720901:AWD720943 BFZ720901:BFZ720943 BPV720901:BPV720943 BZR720901:BZR720943 CJN720901:CJN720943 CTJ720901:CTJ720943 DDF720901:DDF720943 DNB720901:DNB720943 DWX720901:DWX720943 EGT720901:EGT720943 EQP720901:EQP720943 FAL720901:FAL720943 FKH720901:FKH720943 FUD720901:FUD720943 GDZ720901:GDZ720943 GNV720901:GNV720943 GXR720901:GXR720943 HHN720901:HHN720943 HRJ720901:HRJ720943 IBF720901:IBF720943 ILB720901:ILB720943 IUX720901:IUX720943 JET720901:JET720943 JOP720901:JOP720943 JYL720901:JYL720943 KIH720901:KIH720943 KSD720901:KSD720943 LBZ720901:LBZ720943 LLV720901:LLV720943 LVR720901:LVR720943 MFN720901:MFN720943 MPJ720901:MPJ720943 MZF720901:MZF720943 NJB720901:NJB720943 NSX720901:NSX720943 OCT720901:OCT720943 OMP720901:OMP720943 OWL720901:OWL720943 PGH720901:PGH720943 PQD720901:PQD720943 PZZ720901:PZZ720943 QJV720901:QJV720943 QTR720901:QTR720943 RDN720901:RDN720943 RNJ720901:RNJ720943 RXF720901:RXF720943 SHB720901:SHB720943 SQX720901:SQX720943 TAT720901:TAT720943 TKP720901:TKP720943 TUL720901:TUL720943 UEH720901:UEH720943 UOD720901:UOD720943 UXZ720901:UXZ720943 VHV720901:VHV720943 VRR720901:VRR720943 WBN720901:WBN720943 WLJ720901:WLJ720943 WVF720901:WVF720943 K786437:K786479 IT786437:IT786479 SP786437:SP786479 ACL786437:ACL786479 AMH786437:AMH786479 AWD786437:AWD786479 BFZ786437:BFZ786479 BPV786437:BPV786479 BZR786437:BZR786479 CJN786437:CJN786479 CTJ786437:CTJ786479 DDF786437:DDF786479 DNB786437:DNB786479 DWX786437:DWX786479 EGT786437:EGT786479 EQP786437:EQP786479 FAL786437:FAL786479 FKH786437:FKH786479 FUD786437:FUD786479 GDZ786437:GDZ786479 GNV786437:GNV786479 GXR786437:GXR786479 HHN786437:HHN786479 HRJ786437:HRJ786479 IBF786437:IBF786479 ILB786437:ILB786479 IUX786437:IUX786479 JET786437:JET786479 JOP786437:JOP786479 JYL786437:JYL786479 KIH786437:KIH786479 KSD786437:KSD786479 LBZ786437:LBZ786479 LLV786437:LLV786479 LVR786437:LVR786479 MFN786437:MFN786479 MPJ786437:MPJ786479 MZF786437:MZF786479 NJB786437:NJB786479 NSX786437:NSX786479 OCT786437:OCT786479 OMP786437:OMP786479 OWL786437:OWL786479 PGH786437:PGH786479 PQD786437:PQD786479 PZZ786437:PZZ786479 QJV786437:QJV786479 QTR786437:QTR786479 RDN786437:RDN786479 RNJ786437:RNJ786479 RXF786437:RXF786479 SHB786437:SHB786479 SQX786437:SQX786479 TAT786437:TAT786479 TKP786437:TKP786479 TUL786437:TUL786479 UEH786437:UEH786479 UOD786437:UOD786479 UXZ786437:UXZ786479 VHV786437:VHV786479 VRR786437:VRR786479 WBN786437:WBN786479 WLJ786437:WLJ786479 WVF786437:WVF786479 K851973:K852015 IT851973:IT852015 SP851973:SP852015 ACL851973:ACL852015 AMH851973:AMH852015 AWD851973:AWD852015 BFZ851973:BFZ852015 BPV851973:BPV852015 BZR851973:BZR852015 CJN851973:CJN852015 CTJ851973:CTJ852015 DDF851973:DDF852015 DNB851973:DNB852015 DWX851973:DWX852015 EGT851973:EGT852015 EQP851973:EQP852015 FAL851973:FAL852015 FKH851973:FKH852015 FUD851973:FUD852015 GDZ851973:GDZ852015 GNV851973:GNV852015 GXR851973:GXR852015 HHN851973:HHN852015 HRJ851973:HRJ852015 IBF851973:IBF852015 ILB851973:ILB852015 IUX851973:IUX852015 JET851973:JET852015 JOP851973:JOP852015 JYL851973:JYL852015 KIH851973:KIH852015 KSD851973:KSD852015 LBZ851973:LBZ852015 LLV851973:LLV852015 LVR851973:LVR852015 MFN851973:MFN852015 MPJ851973:MPJ852015 MZF851973:MZF852015 NJB851973:NJB852015 NSX851973:NSX852015 OCT851973:OCT852015 OMP851973:OMP852015 OWL851973:OWL852015 PGH851973:PGH852015 PQD851973:PQD852015 PZZ851973:PZZ852015 QJV851973:QJV852015 QTR851973:QTR852015 RDN851973:RDN852015 RNJ851973:RNJ852015 RXF851973:RXF852015 SHB851973:SHB852015 SQX851973:SQX852015 TAT851973:TAT852015 TKP851973:TKP852015 TUL851973:TUL852015 UEH851973:UEH852015 UOD851973:UOD852015 UXZ851973:UXZ852015 VHV851973:VHV852015 VRR851973:VRR852015 WBN851973:WBN852015 WLJ851973:WLJ852015 WVF851973:WVF852015 K917509:K917551 IT917509:IT917551 SP917509:SP917551 ACL917509:ACL917551 AMH917509:AMH917551 AWD917509:AWD917551 BFZ917509:BFZ917551 BPV917509:BPV917551 BZR917509:BZR917551 CJN917509:CJN917551 CTJ917509:CTJ917551 DDF917509:DDF917551 DNB917509:DNB917551 DWX917509:DWX917551 EGT917509:EGT917551 EQP917509:EQP917551 FAL917509:FAL917551 FKH917509:FKH917551 FUD917509:FUD917551 GDZ917509:GDZ917551 GNV917509:GNV917551 GXR917509:GXR917551 HHN917509:HHN917551 HRJ917509:HRJ917551 IBF917509:IBF917551 ILB917509:ILB917551 IUX917509:IUX917551 JET917509:JET917551 JOP917509:JOP917551 JYL917509:JYL917551 KIH917509:KIH917551 KSD917509:KSD917551 LBZ917509:LBZ917551 LLV917509:LLV917551 LVR917509:LVR917551 MFN917509:MFN917551 MPJ917509:MPJ917551 MZF917509:MZF917551 NJB917509:NJB917551 NSX917509:NSX917551 OCT917509:OCT917551 OMP917509:OMP917551 OWL917509:OWL917551 PGH917509:PGH917551 PQD917509:PQD917551 PZZ917509:PZZ917551 QJV917509:QJV917551 QTR917509:QTR917551 RDN917509:RDN917551 RNJ917509:RNJ917551 RXF917509:RXF917551 SHB917509:SHB917551 SQX917509:SQX917551 TAT917509:TAT917551 TKP917509:TKP917551 TUL917509:TUL917551 UEH917509:UEH917551 UOD917509:UOD917551 UXZ917509:UXZ917551 VHV917509:VHV917551 VRR917509:VRR917551 WBN917509:WBN917551 WLJ917509:WLJ917551 WVF917509:WVF917551 K983045:K983087 IT983045:IT983087 SP983045:SP983087 ACL983045:ACL983087 AMH983045:AMH983087 AWD983045:AWD983087 BFZ983045:BFZ983087 BPV983045:BPV983087 BZR983045:BZR983087 CJN983045:CJN983087 CTJ983045:CTJ983087 DDF983045:DDF983087 DNB983045:DNB983087 DWX983045:DWX983087 EGT983045:EGT983087 EQP983045:EQP983087 FAL983045:FAL983087 FKH983045:FKH983087 FUD983045:FUD983087 GDZ983045:GDZ983087 GNV983045:GNV983087 GXR983045:GXR983087 HHN983045:HHN983087 HRJ983045:HRJ983087 IBF983045:IBF983087 ILB983045:ILB983087 IUX983045:IUX983087 JET983045:JET983087 JOP983045:JOP983087 JYL983045:JYL983087 KIH983045:KIH983087 KSD983045:KSD983087 LBZ983045:LBZ983087 LLV983045:LLV983087 LVR983045:LVR983087 MFN983045:MFN983087 MPJ983045:MPJ983087 MZF983045:MZF983087 NJB983045:NJB983087 NSX983045:NSX983087 OCT983045:OCT983087 OMP983045:OMP983087 OWL983045:OWL983087 PGH983045:PGH983087 PQD983045:PQD983087 PZZ983045:PZZ983087 QJV983045:QJV983087 QTR983045:QTR983087 RDN983045:RDN983087 RNJ983045:RNJ983087 RXF983045:RXF983087 SHB983045:SHB983087 SQX983045:SQX983087 TAT983045:TAT983087 TKP983045:TKP983087 TUL983045:TUL983087 UEH983045:UEH983087 UOD983045:UOD983087 UXZ983045:UXZ983087 VHV983045:VHV983087 VRR983045:VRR983087 WBN983045:WBN983087 WLJ983045:WLJ983087">
      <formula1>0</formula1>
      <formula2>40</formula2>
    </dataValidation>
    <dataValidation type="decimal" allowBlank="1" showInputMessage="1" showErrorMessage="1" error="bitte Stundenzahl eingeben!" sqref="IV5:IY47 SR5:SU47 ACN5:ACQ47 AMJ5:AMM47 AWF5:AWI47 BGB5:BGE47 BPX5:BQA47 BZT5:BZW47 CJP5:CJS47 CTL5:CTO47 DDH5:DDK47 DND5:DNG47 DWZ5:DXC47 EGV5:EGY47 EQR5:EQU47 FAN5:FAQ47 FKJ5:FKM47 FUF5:FUI47 GEB5:GEE47 GNX5:GOA47 GXT5:GXW47 HHP5:HHS47 HRL5:HRO47 IBH5:IBK47 ILD5:ILG47 IUZ5:IVC47 JEV5:JEY47 JOR5:JOU47 JYN5:JYQ47 KIJ5:KIM47 KSF5:KSI47 LCB5:LCE47 LLX5:LMA47 LVT5:LVW47 MFP5:MFS47 MPL5:MPO47 MZH5:MZK47 NJD5:NJG47 NSZ5:NTC47 OCV5:OCY47 OMR5:OMU47 OWN5:OWQ47 PGJ5:PGM47 PQF5:PQI47 QAB5:QAE47 QJX5:QKA47 QTT5:QTW47 RDP5:RDS47 RNL5:RNO47 RXH5:RXK47 SHD5:SHG47 SQZ5:SRC47 TAV5:TAY47 TKR5:TKU47 TUN5:TUQ47 UEJ5:UEM47 UOF5:UOI47 UYB5:UYE47 VHX5:VIA47 VRT5:VRW47 WBP5:WBS47 WLL5:WLO47 WVH5:WVK47 IV65541:IY65583 SR65541:SU65583 ACN65541:ACQ65583 AMJ65541:AMM65583 AWF65541:AWI65583 BGB65541:BGE65583 BPX65541:BQA65583 BZT65541:BZW65583 CJP65541:CJS65583 CTL65541:CTO65583 DDH65541:DDK65583 DND65541:DNG65583 DWZ65541:DXC65583 EGV65541:EGY65583 EQR65541:EQU65583 FAN65541:FAQ65583 FKJ65541:FKM65583 FUF65541:FUI65583 GEB65541:GEE65583 GNX65541:GOA65583 GXT65541:GXW65583 HHP65541:HHS65583 HRL65541:HRO65583 IBH65541:IBK65583 ILD65541:ILG65583 IUZ65541:IVC65583 JEV65541:JEY65583 JOR65541:JOU65583 JYN65541:JYQ65583 KIJ65541:KIM65583 KSF65541:KSI65583 LCB65541:LCE65583 LLX65541:LMA65583 LVT65541:LVW65583 MFP65541:MFS65583 MPL65541:MPO65583 MZH65541:MZK65583 NJD65541:NJG65583 NSZ65541:NTC65583 OCV65541:OCY65583 OMR65541:OMU65583 OWN65541:OWQ65583 PGJ65541:PGM65583 PQF65541:PQI65583 QAB65541:QAE65583 QJX65541:QKA65583 QTT65541:QTW65583 RDP65541:RDS65583 RNL65541:RNO65583 RXH65541:RXK65583 SHD65541:SHG65583 SQZ65541:SRC65583 TAV65541:TAY65583 TKR65541:TKU65583 TUN65541:TUQ65583 UEJ65541:UEM65583 UOF65541:UOI65583 UYB65541:UYE65583 VHX65541:VIA65583 VRT65541:VRW65583 WBP65541:WBS65583 WLL65541:WLO65583 WVH65541:WVK65583 IV131077:IY131119 SR131077:SU131119 ACN131077:ACQ131119 AMJ131077:AMM131119 AWF131077:AWI131119 BGB131077:BGE131119 BPX131077:BQA131119 BZT131077:BZW131119 CJP131077:CJS131119 CTL131077:CTO131119 DDH131077:DDK131119 DND131077:DNG131119 DWZ131077:DXC131119 EGV131077:EGY131119 EQR131077:EQU131119 FAN131077:FAQ131119 FKJ131077:FKM131119 FUF131077:FUI131119 GEB131077:GEE131119 GNX131077:GOA131119 GXT131077:GXW131119 HHP131077:HHS131119 HRL131077:HRO131119 IBH131077:IBK131119 ILD131077:ILG131119 IUZ131077:IVC131119 JEV131077:JEY131119 JOR131077:JOU131119 JYN131077:JYQ131119 KIJ131077:KIM131119 KSF131077:KSI131119 LCB131077:LCE131119 LLX131077:LMA131119 LVT131077:LVW131119 MFP131077:MFS131119 MPL131077:MPO131119 MZH131077:MZK131119 NJD131077:NJG131119 NSZ131077:NTC131119 OCV131077:OCY131119 OMR131077:OMU131119 OWN131077:OWQ131119 PGJ131077:PGM131119 PQF131077:PQI131119 QAB131077:QAE131119 QJX131077:QKA131119 QTT131077:QTW131119 RDP131077:RDS131119 RNL131077:RNO131119 RXH131077:RXK131119 SHD131077:SHG131119 SQZ131077:SRC131119 TAV131077:TAY131119 TKR131077:TKU131119 TUN131077:TUQ131119 UEJ131077:UEM131119 UOF131077:UOI131119 UYB131077:UYE131119 VHX131077:VIA131119 VRT131077:VRW131119 WBP131077:WBS131119 WLL131077:WLO131119 WVH131077:WVK131119 IV196613:IY196655 SR196613:SU196655 ACN196613:ACQ196655 AMJ196613:AMM196655 AWF196613:AWI196655 BGB196613:BGE196655 BPX196613:BQA196655 BZT196613:BZW196655 CJP196613:CJS196655 CTL196613:CTO196655 DDH196613:DDK196655 DND196613:DNG196655 DWZ196613:DXC196655 EGV196613:EGY196655 EQR196613:EQU196655 FAN196613:FAQ196655 FKJ196613:FKM196655 FUF196613:FUI196655 GEB196613:GEE196655 GNX196613:GOA196655 GXT196613:GXW196655 HHP196613:HHS196655 HRL196613:HRO196655 IBH196613:IBK196655 ILD196613:ILG196655 IUZ196613:IVC196655 JEV196613:JEY196655 JOR196613:JOU196655 JYN196613:JYQ196655 KIJ196613:KIM196655 KSF196613:KSI196655 LCB196613:LCE196655 LLX196613:LMA196655 LVT196613:LVW196655 MFP196613:MFS196655 MPL196613:MPO196655 MZH196613:MZK196655 NJD196613:NJG196655 NSZ196613:NTC196655 OCV196613:OCY196655 OMR196613:OMU196655 OWN196613:OWQ196655 PGJ196613:PGM196655 PQF196613:PQI196655 QAB196613:QAE196655 QJX196613:QKA196655 QTT196613:QTW196655 RDP196613:RDS196655 RNL196613:RNO196655 RXH196613:RXK196655 SHD196613:SHG196655 SQZ196613:SRC196655 TAV196613:TAY196655 TKR196613:TKU196655 TUN196613:TUQ196655 UEJ196613:UEM196655 UOF196613:UOI196655 UYB196613:UYE196655 VHX196613:VIA196655 VRT196613:VRW196655 WBP196613:WBS196655 WLL196613:WLO196655 WVH196613:WVK196655 IV262149:IY262191 SR262149:SU262191 ACN262149:ACQ262191 AMJ262149:AMM262191 AWF262149:AWI262191 BGB262149:BGE262191 BPX262149:BQA262191 BZT262149:BZW262191 CJP262149:CJS262191 CTL262149:CTO262191 DDH262149:DDK262191 DND262149:DNG262191 DWZ262149:DXC262191 EGV262149:EGY262191 EQR262149:EQU262191 FAN262149:FAQ262191 FKJ262149:FKM262191 FUF262149:FUI262191 GEB262149:GEE262191 GNX262149:GOA262191 GXT262149:GXW262191 HHP262149:HHS262191 HRL262149:HRO262191 IBH262149:IBK262191 ILD262149:ILG262191 IUZ262149:IVC262191 JEV262149:JEY262191 JOR262149:JOU262191 JYN262149:JYQ262191 KIJ262149:KIM262191 KSF262149:KSI262191 LCB262149:LCE262191 LLX262149:LMA262191 LVT262149:LVW262191 MFP262149:MFS262191 MPL262149:MPO262191 MZH262149:MZK262191 NJD262149:NJG262191 NSZ262149:NTC262191 OCV262149:OCY262191 OMR262149:OMU262191 OWN262149:OWQ262191 PGJ262149:PGM262191 PQF262149:PQI262191 QAB262149:QAE262191 QJX262149:QKA262191 QTT262149:QTW262191 RDP262149:RDS262191 RNL262149:RNO262191 RXH262149:RXK262191 SHD262149:SHG262191 SQZ262149:SRC262191 TAV262149:TAY262191 TKR262149:TKU262191 TUN262149:TUQ262191 UEJ262149:UEM262191 UOF262149:UOI262191 UYB262149:UYE262191 VHX262149:VIA262191 VRT262149:VRW262191 WBP262149:WBS262191 WLL262149:WLO262191 WVH262149:WVK262191 IV327685:IY327727 SR327685:SU327727 ACN327685:ACQ327727 AMJ327685:AMM327727 AWF327685:AWI327727 BGB327685:BGE327727 BPX327685:BQA327727 BZT327685:BZW327727 CJP327685:CJS327727 CTL327685:CTO327727 DDH327685:DDK327727 DND327685:DNG327727 DWZ327685:DXC327727 EGV327685:EGY327727 EQR327685:EQU327727 FAN327685:FAQ327727 FKJ327685:FKM327727 FUF327685:FUI327727 GEB327685:GEE327727 GNX327685:GOA327727 GXT327685:GXW327727 HHP327685:HHS327727 HRL327685:HRO327727 IBH327685:IBK327727 ILD327685:ILG327727 IUZ327685:IVC327727 JEV327685:JEY327727 JOR327685:JOU327727 JYN327685:JYQ327727 KIJ327685:KIM327727 KSF327685:KSI327727 LCB327685:LCE327727 LLX327685:LMA327727 LVT327685:LVW327727 MFP327685:MFS327727 MPL327685:MPO327727 MZH327685:MZK327727 NJD327685:NJG327727 NSZ327685:NTC327727 OCV327685:OCY327727 OMR327685:OMU327727 OWN327685:OWQ327727 PGJ327685:PGM327727 PQF327685:PQI327727 QAB327685:QAE327727 QJX327685:QKA327727 QTT327685:QTW327727 RDP327685:RDS327727 RNL327685:RNO327727 RXH327685:RXK327727 SHD327685:SHG327727 SQZ327685:SRC327727 TAV327685:TAY327727 TKR327685:TKU327727 TUN327685:TUQ327727 UEJ327685:UEM327727 UOF327685:UOI327727 UYB327685:UYE327727 VHX327685:VIA327727 VRT327685:VRW327727 WBP327685:WBS327727 WLL327685:WLO327727 WVH327685:WVK327727 IV393221:IY393263 SR393221:SU393263 ACN393221:ACQ393263 AMJ393221:AMM393263 AWF393221:AWI393263 BGB393221:BGE393263 BPX393221:BQA393263 BZT393221:BZW393263 CJP393221:CJS393263 CTL393221:CTO393263 DDH393221:DDK393263 DND393221:DNG393263 DWZ393221:DXC393263 EGV393221:EGY393263 EQR393221:EQU393263 FAN393221:FAQ393263 FKJ393221:FKM393263 FUF393221:FUI393263 GEB393221:GEE393263 GNX393221:GOA393263 GXT393221:GXW393263 HHP393221:HHS393263 HRL393221:HRO393263 IBH393221:IBK393263 ILD393221:ILG393263 IUZ393221:IVC393263 JEV393221:JEY393263 JOR393221:JOU393263 JYN393221:JYQ393263 KIJ393221:KIM393263 KSF393221:KSI393263 LCB393221:LCE393263 LLX393221:LMA393263 LVT393221:LVW393263 MFP393221:MFS393263 MPL393221:MPO393263 MZH393221:MZK393263 NJD393221:NJG393263 NSZ393221:NTC393263 OCV393221:OCY393263 OMR393221:OMU393263 OWN393221:OWQ393263 PGJ393221:PGM393263 PQF393221:PQI393263 QAB393221:QAE393263 QJX393221:QKA393263 QTT393221:QTW393263 RDP393221:RDS393263 RNL393221:RNO393263 RXH393221:RXK393263 SHD393221:SHG393263 SQZ393221:SRC393263 TAV393221:TAY393263 TKR393221:TKU393263 TUN393221:TUQ393263 UEJ393221:UEM393263 UOF393221:UOI393263 UYB393221:UYE393263 VHX393221:VIA393263 VRT393221:VRW393263 WBP393221:WBS393263 WLL393221:WLO393263 WVH393221:WVK393263 IV458757:IY458799 SR458757:SU458799 ACN458757:ACQ458799 AMJ458757:AMM458799 AWF458757:AWI458799 BGB458757:BGE458799 BPX458757:BQA458799 BZT458757:BZW458799 CJP458757:CJS458799 CTL458757:CTO458799 DDH458757:DDK458799 DND458757:DNG458799 DWZ458757:DXC458799 EGV458757:EGY458799 EQR458757:EQU458799 FAN458757:FAQ458799 FKJ458757:FKM458799 FUF458757:FUI458799 GEB458757:GEE458799 GNX458757:GOA458799 GXT458757:GXW458799 HHP458757:HHS458799 HRL458757:HRO458799 IBH458757:IBK458799 ILD458757:ILG458799 IUZ458757:IVC458799 JEV458757:JEY458799 JOR458757:JOU458799 JYN458757:JYQ458799 KIJ458757:KIM458799 KSF458757:KSI458799 LCB458757:LCE458799 LLX458757:LMA458799 LVT458757:LVW458799 MFP458757:MFS458799 MPL458757:MPO458799 MZH458757:MZK458799 NJD458757:NJG458799 NSZ458757:NTC458799 OCV458757:OCY458799 OMR458757:OMU458799 OWN458757:OWQ458799 PGJ458757:PGM458799 PQF458757:PQI458799 QAB458757:QAE458799 QJX458757:QKA458799 QTT458757:QTW458799 RDP458757:RDS458799 RNL458757:RNO458799 RXH458757:RXK458799 SHD458757:SHG458799 SQZ458757:SRC458799 TAV458757:TAY458799 TKR458757:TKU458799 TUN458757:TUQ458799 UEJ458757:UEM458799 UOF458757:UOI458799 UYB458757:UYE458799 VHX458757:VIA458799 VRT458757:VRW458799 WBP458757:WBS458799 WLL458757:WLO458799 WVH458757:WVK458799 IV524293:IY524335 SR524293:SU524335 ACN524293:ACQ524335 AMJ524293:AMM524335 AWF524293:AWI524335 BGB524293:BGE524335 BPX524293:BQA524335 BZT524293:BZW524335 CJP524293:CJS524335 CTL524293:CTO524335 DDH524293:DDK524335 DND524293:DNG524335 DWZ524293:DXC524335 EGV524293:EGY524335 EQR524293:EQU524335 FAN524293:FAQ524335 FKJ524293:FKM524335 FUF524293:FUI524335 GEB524293:GEE524335 GNX524293:GOA524335 GXT524293:GXW524335 HHP524293:HHS524335 HRL524293:HRO524335 IBH524293:IBK524335 ILD524293:ILG524335 IUZ524293:IVC524335 JEV524293:JEY524335 JOR524293:JOU524335 JYN524293:JYQ524335 KIJ524293:KIM524335 KSF524293:KSI524335 LCB524293:LCE524335 LLX524293:LMA524335 LVT524293:LVW524335 MFP524293:MFS524335 MPL524293:MPO524335 MZH524293:MZK524335 NJD524293:NJG524335 NSZ524293:NTC524335 OCV524293:OCY524335 OMR524293:OMU524335 OWN524293:OWQ524335 PGJ524293:PGM524335 PQF524293:PQI524335 QAB524293:QAE524335 QJX524293:QKA524335 QTT524293:QTW524335 RDP524293:RDS524335 RNL524293:RNO524335 RXH524293:RXK524335 SHD524293:SHG524335 SQZ524293:SRC524335 TAV524293:TAY524335 TKR524293:TKU524335 TUN524293:TUQ524335 UEJ524293:UEM524335 UOF524293:UOI524335 UYB524293:UYE524335 VHX524293:VIA524335 VRT524293:VRW524335 WBP524293:WBS524335 WLL524293:WLO524335 WVH524293:WVK524335 IV589829:IY589871 SR589829:SU589871 ACN589829:ACQ589871 AMJ589829:AMM589871 AWF589829:AWI589871 BGB589829:BGE589871 BPX589829:BQA589871 BZT589829:BZW589871 CJP589829:CJS589871 CTL589829:CTO589871 DDH589829:DDK589871 DND589829:DNG589871 DWZ589829:DXC589871 EGV589829:EGY589871 EQR589829:EQU589871 FAN589829:FAQ589871 FKJ589829:FKM589871 FUF589829:FUI589871 GEB589829:GEE589871 GNX589829:GOA589871 GXT589829:GXW589871 HHP589829:HHS589871 HRL589829:HRO589871 IBH589829:IBK589871 ILD589829:ILG589871 IUZ589829:IVC589871 JEV589829:JEY589871 JOR589829:JOU589871 JYN589829:JYQ589871 KIJ589829:KIM589871 KSF589829:KSI589871 LCB589829:LCE589871 LLX589829:LMA589871 LVT589829:LVW589871 MFP589829:MFS589871 MPL589829:MPO589871 MZH589829:MZK589871 NJD589829:NJG589871 NSZ589829:NTC589871 OCV589829:OCY589871 OMR589829:OMU589871 OWN589829:OWQ589871 PGJ589829:PGM589871 PQF589829:PQI589871 QAB589829:QAE589871 QJX589829:QKA589871 QTT589829:QTW589871 RDP589829:RDS589871 RNL589829:RNO589871 RXH589829:RXK589871 SHD589829:SHG589871 SQZ589829:SRC589871 TAV589829:TAY589871 TKR589829:TKU589871 TUN589829:TUQ589871 UEJ589829:UEM589871 UOF589829:UOI589871 UYB589829:UYE589871 VHX589829:VIA589871 VRT589829:VRW589871 WBP589829:WBS589871 WLL589829:WLO589871 WVH589829:WVK589871 IV655365:IY655407 SR655365:SU655407 ACN655365:ACQ655407 AMJ655365:AMM655407 AWF655365:AWI655407 BGB655365:BGE655407 BPX655365:BQA655407 BZT655365:BZW655407 CJP655365:CJS655407 CTL655365:CTO655407 DDH655365:DDK655407 DND655365:DNG655407 DWZ655365:DXC655407 EGV655365:EGY655407 EQR655365:EQU655407 FAN655365:FAQ655407 FKJ655365:FKM655407 FUF655365:FUI655407 GEB655365:GEE655407 GNX655365:GOA655407 GXT655365:GXW655407 HHP655365:HHS655407 HRL655365:HRO655407 IBH655365:IBK655407 ILD655365:ILG655407 IUZ655365:IVC655407 JEV655365:JEY655407 JOR655365:JOU655407 JYN655365:JYQ655407 KIJ655365:KIM655407 KSF655365:KSI655407 LCB655365:LCE655407 LLX655365:LMA655407 LVT655365:LVW655407 MFP655365:MFS655407 MPL655365:MPO655407 MZH655365:MZK655407 NJD655365:NJG655407 NSZ655365:NTC655407 OCV655365:OCY655407 OMR655365:OMU655407 OWN655365:OWQ655407 PGJ655365:PGM655407 PQF655365:PQI655407 QAB655365:QAE655407 QJX655365:QKA655407 QTT655365:QTW655407 RDP655365:RDS655407 RNL655365:RNO655407 RXH655365:RXK655407 SHD655365:SHG655407 SQZ655365:SRC655407 TAV655365:TAY655407 TKR655365:TKU655407 TUN655365:TUQ655407 UEJ655365:UEM655407 UOF655365:UOI655407 UYB655365:UYE655407 VHX655365:VIA655407 VRT655365:VRW655407 WBP655365:WBS655407 WLL655365:WLO655407 WVH655365:WVK655407 IV720901:IY720943 SR720901:SU720943 ACN720901:ACQ720943 AMJ720901:AMM720943 AWF720901:AWI720943 BGB720901:BGE720943 BPX720901:BQA720943 BZT720901:BZW720943 CJP720901:CJS720943 CTL720901:CTO720943 DDH720901:DDK720943 DND720901:DNG720943 DWZ720901:DXC720943 EGV720901:EGY720943 EQR720901:EQU720943 FAN720901:FAQ720943 FKJ720901:FKM720943 FUF720901:FUI720943 GEB720901:GEE720943 GNX720901:GOA720943 GXT720901:GXW720943 HHP720901:HHS720943 HRL720901:HRO720943 IBH720901:IBK720943 ILD720901:ILG720943 IUZ720901:IVC720943 JEV720901:JEY720943 JOR720901:JOU720943 JYN720901:JYQ720943 KIJ720901:KIM720943 KSF720901:KSI720943 LCB720901:LCE720943 LLX720901:LMA720943 LVT720901:LVW720943 MFP720901:MFS720943 MPL720901:MPO720943 MZH720901:MZK720943 NJD720901:NJG720943 NSZ720901:NTC720943 OCV720901:OCY720943 OMR720901:OMU720943 OWN720901:OWQ720943 PGJ720901:PGM720943 PQF720901:PQI720943 QAB720901:QAE720943 QJX720901:QKA720943 QTT720901:QTW720943 RDP720901:RDS720943 RNL720901:RNO720943 RXH720901:RXK720943 SHD720901:SHG720943 SQZ720901:SRC720943 TAV720901:TAY720943 TKR720901:TKU720943 TUN720901:TUQ720943 UEJ720901:UEM720943 UOF720901:UOI720943 UYB720901:UYE720943 VHX720901:VIA720943 VRT720901:VRW720943 WBP720901:WBS720943 WLL720901:WLO720943 WVH720901:WVK720943 IV786437:IY786479 SR786437:SU786479 ACN786437:ACQ786479 AMJ786437:AMM786479 AWF786437:AWI786479 BGB786437:BGE786479 BPX786437:BQA786479 BZT786437:BZW786479 CJP786437:CJS786479 CTL786437:CTO786479 DDH786437:DDK786479 DND786437:DNG786479 DWZ786437:DXC786479 EGV786437:EGY786479 EQR786437:EQU786479 FAN786437:FAQ786479 FKJ786437:FKM786479 FUF786437:FUI786479 GEB786437:GEE786479 GNX786437:GOA786479 GXT786437:GXW786479 HHP786437:HHS786479 HRL786437:HRO786479 IBH786437:IBK786479 ILD786437:ILG786479 IUZ786437:IVC786479 JEV786437:JEY786479 JOR786437:JOU786479 JYN786437:JYQ786479 KIJ786437:KIM786479 KSF786437:KSI786479 LCB786437:LCE786479 LLX786437:LMA786479 LVT786437:LVW786479 MFP786437:MFS786479 MPL786437:MPO786479 MZH786437:MZK786479 NJD786437:NJG786479 NSZ786437:NTC786479 OCV786437:OCY786479 OMR786437:OMU786479 OWN786437:OWQ786479 PGJ786437:PGM786479 PQF786437:PQI786479 QAB786437:QAE786479 QJX786437:QKA786479 QTT786437:QTW786479 RDP786437:RDS786479 RNL786437:RNO786479 RXH786437:RXK786479 SHD786437:SHG786479 SQZ786437:SRC786479 TAV786437:TAY786479 TKR786437:TKU786479 TUN786437:TUQ786479 UEJ786437:UEM786479 UOF786437:UOI786479 UYB786437:UYE786479 VHX786437:VIA786479 VRT786437:VRW786479 WBP786437:WBS786479 WLL786437:WLO786479 WVH786437:WVK786479 IV851973:IY852015 SR851973:SU852015 ACN851973:ACQ852015 AMJ851973:AMM852015 AWF851973:AWI852015 BGB851973:BGE852015 BPX851973:BQA852015 BZT851973:BZW852015 CJP851973:CJS852015 CTL851973:CTO852015 DDH851973:DDK852015 DND851973:DNG852015 DWZ851973:DXC852015 EGV851973:EGY852015 EQR851973:EQU852015 FAN851973:FAQ852015 FKJ851973:FKM852015 FUF851973:FUI852015 GEB851973:GEE852015 GNX851973:GOA852015 GXT851973:GXW852015 HHP851973:HHS852015 HRL851973:HRO852015 IBH851973:IBK852015 ILD851973:ILG852015 IUZ851973:IVC852015 JEV851973:JEY852015 JOR851973:JOU852015 JYN851973:JYQ852015 KIJ851973:KIM852015 KSF851973:KSI852015 LCB851973:LCE852015 LLX851973:LMA852015 LVT851973:LVW852015 MFP851973:MFS852015 MPL851973:MPO852015 MZH851973:MZK852015 NJD851973:NJG852015 NSZ851973:NTC852015 OCV851973:OCY852015 OMR851973:OMU852015 OWN851973:OWQ852015 PGJ851973:PGM852015 PQF851973:PQI852015 QAB851973:QAE852015 QJX851973:QKA852015 QTT851973:QTW852015 RDP851973:RDS852015 RNL851973:RNO852015 RXH851973:RXK852015 SHD851973:SHG852015 SQZ851973:SRC852015 TAV851973:TAY852015 TKR851973:TKU852015 TUN851973:TUQ852015 UEJ851973:UEM852015 UOF851973:UOI852015 UYB851973:UYE852015 VHX851973:VIA852015 VRT851973:VRW852015 WBP851973:WBS852015 WLL851973:WLO852015 WVH851973:WVK852015 IV917509:IY917551 SR917509:SU917551 ACN917509:ACQ917551 AMJ917509:AMM917551 AWF917509:AWI917551 BGB917509:BGE917551 BPX917509:BQA917551 BZT917509:BZW917551 CJP917509:CJS917551 CTL917509:CTO917551 DDH917509:DDK917551 DND917509:DNG917551 DWZ917509:DXC917551 EGV917509:EGY917551 EQR917509:EQU917551 FAN917509:FAQ917551 FKJ917509:FKM917551 FUF917509:FUI917551 GEB917509:GEE917551 GNX917509:GOA917551 GXT917509:GXW917551 HHP917509:HHS917551 HRL917509:HRO917551 IBH917509:IBK917551 ILD917509:ILG917551 IUZ917509:IVC917551 JEV917509:JEY917551 JOR917509:JOU917551 JYN917509:JYQ917551 KIJ917509:KIM917551 KSF917509:KSI917551 LCB917509:LCE917551 LLX917509:LMA917551 LVT917509:LVW917551 MFP917509:MFS917551 MPL917509:MPO917551 MZH917509:MZK917551 NJD917509:NJG917551 NSZ917509:NTC917551 OCV917509:OCY917551 OMR917509:OMU917551 OWN917509:OWQ917551 PGJ917509:PGM917551 PQF917509:PQI917551 QAB917509:QAE917551 QJX917509:QKA917551 QTT917509:QTW917551 RDP917509:RDS917551 RNL917509:RNO917551 RXH917509:RXK917551 SHD917509:SHG917551 SQZ917509:SRC917551 TAV917509:TAY917551 TKR917509:TKU917551 TUN917509:TUQ917551 UEJ917509:UEM917551 UOF917509:UOI917551 UYB917509:UYE917551 VHX917509:VIA917551 VRT917509:VRW917551 WBP917509:WBS917551 WLL917509:WLO917551 WVH917509:WVK917551 WVH983045:WVK983087 IV983045:IY983087 SR983045:SU983087 ACN983045:ACQ983087 AMJ983045:AMM983087 AWF983045:AWI983087 BGB983045:BGE983087 BPX983045:BQA983087 BZT983045:BZW983087 CJP983045:CJS983087 CTL983045:CTO983087 DDH983045:DDK983087 DND983045:DNG983087 DWZ983045:DXC983087 EGV983045:EGY983087 EQR983045:EQU983087 FAN983045:FAQ983087 FKJ983045:FKM983087 FUF983045:FUI983087 GEB983045:GEE983087 GNX983045:GOA983087 GXT983045:GXW983087 HHP983045:HHS983087 HRL983045:HRO983087 IBH983045:IBK983087 ILD983045:ILG983087 IUZ983045:IVC983087 JEV983045:JEY983087 JOR983045:JOU983087 JYN983045:JYQ983087 KIJ983045:KIM983087 KSF983045:KSI983087 LCB983045:LCE983087 LLX983045:LMA983087 LVT983045:LVW983087 MFP983045:MFS983087 MPL983045:MPO983087 MZH983045:MZK983087 NJD983045:NJG983087 NSZ983045:NTC983087 OCV983045:OCY983087 OMR983045:OMU983087 OWN983045:OWQ983087 PGJ983045:PGM983087 PQF983045:PQI983087 QAB983045:QAE983087 QJX983045:QKA983087 QTT983045:QTW983087 RDP983045:RDS983087 RNL983045:RNO983087 RXH983045:RXK983087 SHD983045:SHG983087 SQZ983045:SRC983087 TAV983045:TAY983087 TKR983045:TKU983087 TUN983045:TUQ983087 UEJ983045:UEM983087 UOF983045:UOI983087 UYB983045:UYE983087 VHX983045:VIA983087 VRT983045:VRW983087 WBP983045:WBS983087 WLL983045:WLO983087 N131077:N131119 H131077:J131119 N196613:N196655 H196613:J196655 N262149:N262191 H262149:J262191 N327685:N327727 H327685:J327727 N393221:N393263 H393221:J393263 N458757:N458799 H458757:J458799 N524293:N524335 H524293:J524335 N589829:N589871 H589829:J589871 N655365:N655407 H655365:J655407 N720901:N720943 H720901:J720943 N786437:N786479 H786437:J786479 N851973:N852015 H851973:J852015 N917509:N917551 H917509:J917551 N983045:N983087 H983045:J983087 N65541:N65583 H65541:J65583">
      <formula1>0</formula1>
      <formula2>33</formula2>
    </dataValidation>
    <dataValidation type="decimal" allowBlank="1" showInputMessage="1" showErrorMessage="1" sqref="WVM983045:WVN983087 JA5:JB47 SW5:SX47 ACS5:ACT47 AMO5:AMP47 AWK5:AWL47 BGG5:BGH47 BQC5:BQD47 BZY5:BZZ47 CJU5:CJV47 CTQ5:CTR47 DDM5:DDN47 DNI5:DNJ47 DXE5:DXF47 EHA5:EHB47 EQW5:EQX47 FAS5:FAT47 FKO5:FKP47 FUK5:FUL47 GEG5:GEH47 GOC5:GOD47 GXY5:GXZ47 HHU5:HHV47 HRQ5:HRR47 IBM5:IBN47 ILI5:ILJ47 IVE5:IVF47 JFA5:JFB47 JOW5:JOX47 JYS5:JYT47 KIO5:KIP47 KSK5:KSL47 LCG5:LCH47 LMC5:LMD47 LVY5:LVZ47 MFU5:MFV47 MPQ5:MPR47 MZM5:MZN47 NJI5:NJJ47 NTE5:NTF47 ODA5:ODB47 OMW5:OMX47 OWS5:OWT47 PGO5:PGP47 PQK5:PQL47 QAG5:QAH47 QKC5:QKD47 QTY5:QTZ47 RDU5:RDV47 RNQ5:RNR47 RXM5:RXN47 SHI5:SHJ47 SRE5:SRF47 TBA5:TBB47 TKW5:TKX47 TUS5:TUT47 UEO5:UEP47 UOK5:UOL47 UYG5:UYH47 VIC5:VID47 VRY5:VRZ47 WBU5:WBV47 WLQ5:WLR47 WVM5:WVN47 JA65541:JB65583 SW65541:SX65583 ACS65541:ACT65583 AMO65541:AMP65583 AWK65541:AWL65583 BGG65541:BGH65583 BQC65541:BQD65583 BZY65541:BZZ65583 CJU65541:CJV65583 CTQ65541:CTR65583 DDM65541:DDN65583 DNI65541:DNJ65583 DXE65541:DXF65583 EHA65541:EHB65583 EQW65541:EQX65583 FAS65541:FAT65583 FKO65541:FKP65583 FUK65541:FUL65583 GEG65541:GEH65583 GOC65541:GOD65583 GXY65541:GXZ65583 HHU65541:HHV65583 HRQ65541:HRR65583 IBM65541:IBN65583 ILI65541:ILJ65583 IVE65541:IVF65583 JFA65541:JFB65583 JOW65541:JOX65583 JYS65541:JYT65583 KIO65541:KIP65583 KSK65541:KSL65583 LCG65541:LCH65583 LMC65541:LMD65583 LVY65541:LVZ65583 MFU65541:MFV65583 MPQ65541:MPR65583 MZM65541:MZN65583 NJI65541:NJJ65583 NTE65541:NTF65583 ODA65541:ODB65583 OMW65541:OMX65583 OWS65541:OWT65583 PGO65541:PGP65583 PQK65541:PQL65583 QAG65541:QAH65583 QKC65541:QKD65583 QTY65541:QTZ65583 RDU65541:RDV65583 RNQ65541:RNR65583 RXM65541:RXN65583 SHI65541:SHJ65583 SRE65541:SRF65583 TBA65541:TBB65583 TKW65541:TKX65583 TUS65541:TUT65583 UEO65541:UEP65583 UOK65541:UOL65583 UYG65541:UYH65583 VIC65541:VID65583 VRY65541:VRZ65583 WBU65541:WBV65583 WLQ65541:WLR65583 WVM65541:WVN65583 JA131077:JB131119 SW131077:SX131119 ACS131077:ACT131119 AMO131077:AMP131119 AWK131077:AWL131119 BGG131077:BGH131119 BQC131077:BQD131119 BZY131077:BZZ131119 CJU131077:CJV131119 CTQ131077:CTR131119 DDM131077:DDN131119 DNI131077:DNJ131119 DXE131077:DXF131119 EHA131077:EHB131119 EQW131077:EQX131119 FAS131077:FAT131119 FKO131077:FKP131119 FUK131077:FUL131119 GEG131077:GEH131119 GOC131077:GOD131119 GXY131077:GXZ131119 HHU131077:HHV131119 HRQ131077:HRR131119 IBM131077:IBN131119 ILI131077:ILJ131119 IVE131077:IVF131119 JFA131077:JFB131119 JOW131077:JOX131119 JYS131077:JYT131119 KIO131077:KIP131119 KSK131077:KSL131119 LCG131077:LCH131119 LMC131077:LMD131119 LVY131077:LVZ131119 MFU131077:MFV131119 MPQ131077:MPR131119 MZM131077:MZN131119 NJI131077:NJJ131119 NTE131077:NTF131119 ODA131077:ODB131119 OMW131077:OMX131119 OWS131077:OWT131119 PGO131077:PGP131119 PQK131077:PQL131119 QAG131077:QAH131119 QKC131077:QKD131119 QTY131077:QTZ131119 RDU131077:RDV131119 RNQ131077:RNR131119 RXM131077:RXN131119 SHI131077:SHJ131119 SRE131077:SRF131119 TBA131077:TBB131119 TKW131077:TKX131119 TUS131077:TUT131119 UEO131077:UEP131119 UOK131077:UOL131119 UYG131077:UYH131119 VIC131077:VID131119 VRY131077:VRZ131119 WBU131077:WBV131119 WLQ131077:WLR131119 WVM131077:WVN131119 JA196613:JB196655 SW196613:SX196655 ACS196613:ACT196655 AMO196613:AMP196655 AWK196613:AWL196655 BGG196613:BGH196655 BQC196613:BQD196655 BZY196613:BZZ196655 CJU196613:CJV196655 CTQ196613:CTR196655 DDM196613:DDN196655 DNI196613:DNJ196655 DXE196613:DXF196655 EHA196613:EHB196655 EQW196613:EQX196655 FAS196613:FAT196655 FKO196613:FKP196655 FUK196613:FUL196655 GEG196613:GEH196655 GOC196613:GOD196655 GXY196613:GXZ196655 HHU196613:HHV196655 HRQ196613:HRR196655 IBM196613:IBN196655 ILI196613:ILJ196655 IVE196613:IVF196655 JFA196613:JFB196655 JOW196613:JOX196655 JYS196613:JYT196655 KIO196613:KIP196655 KSK196613:KSL196655 LCG196613:LCH196655 LMC196613:LMD196655 LVY196613:LVZ196655 MFU196613:MFV196655 MPQ196613:MPR196655 MZM196613:MZN196655 NJI196613:NJJ196655 NTE196613:NTF196655 ODA196613:ODB196655 OMW196613:OMX196655 OWS196613:OWT196655 PGO196613:PGP196655 PQK196613:PQL196655 QAG196613:QAH196655 QKC196613:QKD196655 QTY196613:QTZ196655 RDU196613:RDV196655 RNQ196613:RNR196655 RXM196613:RXN196655 SHI196613:SHJ196655 SRE196613:SRF196655 TBA196613:TBB196655 TKW196613:TKX196655 TUS196613:TUT196655 UEO196613:UEP196655 UOK196613:UOL196655 UYG196613:UYH196655 VIC196613:VID196655 VRY196613:VRZ196655 WBU196613:WBV196655 WLQ196613:WLR196655 WVM196613:WVN196655 JA262149:JB262191 SW262149:SX262191 ACS262149:ACT262191 AMO262149:AMP262191 AWK262149:AWL262191 BGG262149:BGH262191 BQC262149:BQD262191 BZY262149:BZZ262191 CJU262149:CJV262191 CTQ262149:CTR262191 DDM262149:DDN262191 DNI262149:DNJ262191 DXE262149:DXF262191 EHA262149:EHB262191 EQW262149:EQX262191 FAS262149:FAT262191 FKO262149:FKP262191 FUK262149:FUL262191 GEG262149:GEH262191 GOC262149:GOD262191 GXY262149:GXZ262191 HHU262149:HHV262191 HRQ262149:HRR262191 IBM262149:IBN262191 ILI262149:ILJ262191 IVE262149:IVF262191 JFA262149:JFB262191 JOW262149:JOX262191 JYS262149:JYT262191 KIO262149:KIP262191 KSK262149:KSL262191 LCG262149:LCH262191 LMC262149:LMD262191 LVY262149:LVZ262191 MFU262149:MFV262191 MPQ262149:MPR262191 MZM262149:MZN262191 NJI262149:NJJ262191 NTE262149:NTF262191 ODA262149:ODB262191 OMW262149:OMX262191 OWS262149:OWT262191 PGO262149:PGP262191 PQK262149:PQL262191 QAG262149:QAH262191 QKC262149:QKD262191 QTY262149:QTZ262191 RDU262149:RDV262191 RNQ262149:RNR262191 RXM262149:RXN262191 SHI262149:SHJ262191 SRE262149:SRF262191 TBA262149:TBB262191 TKW262149:TKX262191 TUS262149:TUT262191 UEO262149:UEP262191 UOK262149:UOL262191 UYG262149:UYH262191 VIC262149:VID262191 VRY262149:VRZ262191 WBU262149:WBV262191 WLQ262149:WLR262191 WVM262149:WVN262191 JA327685:JB327727 SW327685:SX327727 ACS327685:ACT327727 AMO327685:AMP327727 AWK327685:AWL327727 BGG327685:BGH327727 BQC327685:BQD327727 BZY327685:BZZ327727 CJU327685:CJV327727 CTQ327685:CTR327727 DDM327685:DDN327727 DNI327685:DNJ327727 DXE327685:DXF327727 EHA327685:EHB327727 EQW327685:EQX327727 FAS327685:FAT327727 FKO327685:FKP327727 FUK327685:FUL327727 GEG327685:GEH327727 GOC327685:GOD327727 GXY327685:GXZ327727 HHU327685:HHV327727 HRQ327685:HRR327727 IBM327685:IBN327727 ILI327685:ILJ327727 IVE327685:IVF327727 JFA327685:JFB327727 JOW327685:JOX327727 JYS327685:JYT327727 KIO327685:KIP327727 KSK327685:KSL327727 LCG327685:LCH327727 LMC327685:LMD327727 LVY327685:LVZ327727 MFU327685:MFV327727 MPQ327685:MPR327727 MZM327685:MZN327727 NJI327685:NJJ327727 NTE327685:NTF327727 ODA327685:ODB327727 OMW327685:OMX327727 OWS327685:OWT327727 PGO327685:PGP327727 PQK327685:PQL327727 QAG327685:QAH327727 QKC327685:QKD327727 QTY327685:QTZ327727 RDU327685:RDV327727 RNQ327685:RNR327727 RXM327685:RXN327727 SHI327685:SHJ327727 SRE327685:SRF327727 TBA327685:TBB327727 TKW327685:TKX327727 TUS327685:TUT327727 UEO327685:UEP327727 UOK327685:UOL327727 UYG327685:UYH327727 VIC327685:VID327727 VRY327685:VRZ327727 WBU327685:WBV327727 WLQ327685:WLR327727 WVM327685:WVN327727 JA393221:JB393263 SW393221:SX393263 ACS393221:ACT393263 AMO393221:AMP393263 AWK393221:AWL393263 BGG393221:BGH393263 BQC393221:BQD393263 BZY393221:BZZ393263 CJU393221:CJV393263 CTQ393221:CTR393263 DDM393221:DDN393263 DNI393221:DNJ393263 DXE393221:DXF393263 EHA393221:EHB393263 EQW393221:EQX393263 FAS393221:FAT393263 FKO393221:FKP393263 FUK393221:FUL393263 GEG393221:GEH393263 GOC393221:GOD393263 GXY393221:GXZ393263 HHU393221:HHV393263 HRQ393221:HRR393263 IBM393221:IBN393263 ILI393221:ILJ393263 IVE393221:IVF393263 JFA393221:JFB393263 JOW393221:JOX393263 JYS393221:JYT393263 KIO393221:KIP393263 KSK393221:KSL393263 LCG393221:LCH393263 LMC393221:LMD393263 LVY393221:LVZ393263 MFU393221:MFV393263 MPQ393221:MPR393263 MZM393221:MZN393263 NJI393221:NJJ393263 NTE393221:NTF393263 ODA393221:ODB393263 OMW393221:OMX393263 OWS393221:OWT393263 PGO393221:PGP393263 PQK393221:PQL393263 QAG393221:QAH393263 QKC393221:QKD393263 QTY393221:QTZ393263 RDU393221:RDV393263 RNQ393221:RNR393263 RXM393221:RXN393263 SHI393221:SHJ393263 SRE393221:SRF393263 TBA393221:TBB393263 TKW393221:TKX393263 TUS393221:TUT393263 UEO393221:UEP393263 UOK393221:UOL393263 UYG393221:UYH393263 VIC393221:VID393263 VRY393221:VRZ393263 WBU393221:WBV393263 WLQ393221:WLR393263 WVM393221:WVN393263 JA458757:JB458799 SW458757:SX458799 ACS458757:ACT458799 AMO458757:AMP458799 AWK458757:AWL458799 BGG458757:BGH458799 BQC458757:BQD458799 BZY458757:BZZ458799 CJU458757:CJV458799 CTQ458757:CTR458799 DDM458757:DDN458799 DNI458757:DNJ458799 DXE458757:DXF458799 EHA458757:EHB458799 EQW458757:EQX458799 FAS458757:FAT458799 FKO458757:FKP458799 FUK458757:FUL458799 GEG458757:GEH458799 GOC458757:GOD458799 GXY458757:GXZ458799 HHU458757:HHV458799 HRQ458757:HRR458799 IBM458757:IBN458799 ILI458757:ILJ458799 IVE458757:IVF458799 JFA458757:JFB458799 JOW458757:JOX458799 JYS458757:JYT458799 KIO458757:KIP458799 KSK458757:KSL458799 LCG458757:LCH458799 LMC458757:LMD458799 LVY458757:LVZ458799 MFU458757:MFV458799 MPQ458757:MPR458799 MZM458757:MZN458799 NJI458757:NJJ458799 NTE458757:NTF458799 ODA458757:ODB458799 OMW458757:OMX458799 OWS458757:OWT458799 PGO458757:PGP458799 PQK458757:PQL458799 QAG458757:QAH458799 QKC458757:QKD458799 QTY458757:QTZ458799 RDU458757:RDV458799 RNQ458757:RNR458799 RXM458757:RXN458799 SHI458757:SHJ458799 SRE458757:SRF458799 TBA458757:TBB458799 TKW458757:TKX458799 TUS458757:TUT458799 UEO458757:UEP458799 UOK458757:UOL458799 UYG458757:UYH458799 VIC458757:VID458799 VRY458757:VRZ458799 WBU458757:WBV458799 WLQ458757:WLR458799 WVM458757:WVN458799 JA524293:JB524335 SW524293:SX524335 ACS524293:ACT524335 AMO524293:AMP524335 AWK524293:AWL524335 BGG524293:BGH524335 BQC524293:BQD524335 BZY524293:BZZ524335 CJU524293:CJV524335 CTQ524293:CTR524335 DDM524293:DDN524335 DNI524293:DNJ524335 DXE524293:DXF524335 EHA524293:EHB524335 EQW524293:EQX524335 FAS524293:FAT524335 FKO524293:FKP524335 FUK524293:FUL524335 GEG524293:GEH524335 GOC524293:GOD524335 GXY524293:GXZ524335 HHU524293:HHV524335 HRQ524293:HRR524335 IBM524293:IBN524335 ILI524293:ILJ524335 IVE524293:IVF524335 JFA524293:JFB524335 JOW524293:JOX524335 JYS524293:JYT524335 KIO524293:KIP524335 KSK524293:KSL524335 LCG524293:LCH524335 LMC524293:LMD524335 LVY524293:LVZ524335 MFU524293:MFV524335 MPQ524293:MPR524335 MZM524293:MZN524335 NJI524293:NJJ524335 NTE524293:NTF524335 ODA524293:ODB524335 OMW524293:OMX524335 OWS524293:OWT524335 PGO524293:PGP524335 PQK524293:PQL524335 QAG524293:QAH524335 QKC524293:QKD524335 QTY524293:QTZ524335 RDU524293:RDV524335 RNQ524293:RNR524335 RXM524293:RXN524335 SHI524293:SHJ524335 SRE524293:SRF524335 TBA524293:TBB524335 TKW524293:TKX524335 TUS524293:TUT524335 UEO524293:UEP524335 UOK524293:UOL524335 UYG524293:UYH524335 VIC524293:VID524335 VRY524293:VRZ524335 WBU524293:WBV524335 WLQ524293:WLR524335 WVM524293:WVN524335 JA589829:JB589871 SW589829:SX589871 ACS589829:ACT589871 AMO589829:AMP589871 AWK589829:AWL589871 BGG589829:BGH589871 BQC589829:BQD589871 BZY589829:BZZ589871 CJU589829:CJV589871 CTQ589829:CTR589871 DDM589829:DDN589871 DNI589829:DNJ589871 DXE589829:DXF589871 EHA589829:EHB589871 EQW589829:EQX589871 FAS589829:FAT589871 FKO589829:FKP589871 FUK589829:FUL589871 GEG589829:GEH589871 GOC589829:GOD589871 GXY589829:GXZ589871 HHU589829:HHV589871 HRQ589829:HRR589871 IBM589829:IBN589871 ILI589829:ILJ589871 IVE589829:IVF589871 JFA589829:JFB589871 JOW589829:JOX589871 JYS589829:JYT589871 KIO589829:KIP589871 KSK589829:KSL589871 LCG589829:LCH589871 LMC589829:LMD589871 LVY589829:LVZ589871 MFU589829:MFV589871 MPQ589829:MPR589871 MZM589829:MZN589871 NJI589829:NJJ589871 NTE589829:NTF589871 ODA589829:ODB589871 OMW589829:OMX589871 OWS589829:OWT589871 PGO589829:PGP589871 PQK589829:PQL589871 QAG589829:QAH589871 QKC589829:QKD589871 QTY589829:QTZ589871 RDU589829:RDV589871 RNQ589829:RNR589871 RXM589829:RXN589871 SHI589829:SHJ589871 SRE589829:SRF589871 TBA589829:TBB589871 TKW589829:TKX589871 TUS589829:TUT589871 UEO589829:UEP589871 UOK589829:UOL589871 UYG589829:UYH589871 VIC589829:VID589871 VRY589829:VRZ589871 WBU589829:WBV589871 WLQ589829:WLR589871 WVM589829:WVN589871 JA655365:JB655407 SW655365:SX655407 ACS655365:ACT655407 AMO655365:AMP655407 AWK655365:AWL655407 BGG655365:BGH655407 BQC655365:BQD655407 BZY655365:BZZ655407 CJU655365:CJV655407 CTQ655365:CTR655407 DDM655365:DDN655407 DNI655365:DNJ655407 DXE655365:DXF655407 EHA655365:EHB655407 EQW655365:EQX655407 FAS655365:FAT655407 FKO655365:FKP655407 FUK655365:FUL655407 GEG655365:GEH655407 GOC655365:GOD655407 GXY655365:GXZ655407 HHU655365:HHV655407 HRQ655365:HRR655407 IBM655365:IBN655407 ILI655365:ILJ655407 IVE655365:IVF655407 JFA655365:JFB655407 JOW655365:JOX655407 JYS655365:JYT655407 KIO655365:KIP655407 KSK655365:KSL655407 LCG655365:LCH655407 LMC655365:LMD655407 LVY655365:LVZ655407 MFU655365:MFV655407 MPQ655365:MPR655407 MZM655365:MZN655407 NJI655365:NJJ655407 NTE655365:NTF655407 ODA655365:ODB655407 OMW655365:OMX655407 OWS655365:OWT655407 PGO655365:PGP655407 PQK655365:PQL655407 QAG655365:QAH655407 QKC655365:QKD655407 QTY655365:QTZ655407 RDU655365:RDV655407 RNQ655365:RNR655407 RXM655365:RXN655407 SHI655365:SHJ655407 SRE655365:SRF655407 TBA655365:TBB655407 TKW655365:TKX655407 TUS655365:TUT655407 UEO655365:UEP655407 UOK655365:UOL655407 UYG655365:UYH655407 VIC655365:VID655407 VRY655365:VRZ655407 WBU655365:WBV655407 WLQ655365:WLR655407 WVM655365:WVN655407 JA720901:JB720943 SW720901:SX720943 ACS720901:ACT720943 AMO720901:AMP720943 AWK720901:AWL720943 BGG720901:BGH720943 BQC720901:BQD720943 BZY720901:BZZ720943 CJU720901:CJV720943 CTQ720901:CTR720943 DDM720901:DDN720943 DNI720901:DNJ720943 DXE720901:DXF720943 EHA720901:EHB720943 EQW720901:EQX720943 FAS720901:FAT720943 FKO720901:FKP720943 FUK720901:FUL720943 GEG720901:GEH720943 GOC720901:GOD720943 GXY720901:GXZ720943 HHU720901:HHV720943 HRQ720901:HRR720943 IBM720901:IBN720943 ILI720901:ILJ720943 IVE720901:IVF720943 JFA720901:JFB720943 JOW720901:JOX720943 JYS720901:JYT720943 KIO720901:KIP720943 KSK720901:KSL720943 LCG720901:LCH720943 LMC720901:LMD720943 LVY720901:LVZ720943 MFU720901:MFV720943 MPQ720901:MPR720943 MZM720901:MZN720943 NJI720901:NJJ720943 NTE720901:NTF720943 ODA720901:ODB720943 OMW720901:OMX720943 OWS720901:OWT720943 PGO720901:PGP720943 PQK720901:PQL720943 QAG720901:QAH720943 QKC720901:QKD720943 QTY720901:QTZ720943 RDU720901:RDV720943 RNQ720901:RNR720943 RXM720901:RXN720943 SHI720901:SHJ720943 SRE720901:SRF720943 TBA720901:TBB720943 TKW720901:TKX720943 TUS720901:TUT720943 UEO720901:UEP720943 UOK720901:UOL720943 UYG720901:UYH720943 VIC720901:VID720943 VRY720901:VRZ720943 WBU720901:WBV720943 WLQ720901:WLR720943 WVM720901:WVN720943 JA786437:JB786479 SW786437:SX786479 ACS786437:ACT786479 AMO786437:AMP786479 AWK786437:AWL786479 BGG786437:BGH786479 BQC786437:BQD786479 BZY786437:BZZ786479 CJU786437:CJV786479 CTQ786437:CTR786479 DDM786437:DDN786479 DNI786437:DNJ786479 DXE786437:DXF786479 EHA786437:EHB786479 EQW786437:EQX786479 FAS786437:FAT786479 FKO786437:FKP786479 FUK786437:FUL786479 GEG786437:GEH786479 GOC786437:GOD786479 GXY786437:GXZ786479 HHU786437:HHV786479 HRQ786437:HRR786479 IBM786437:IBN786479 ILI786437:ILJ786479 IVE786437:IVF786479 JFA786437:JFB786479 JOW786437:JOX786479 JYS786437:JYT786479 KIO786437:KIP786479 KSK786437:KSL786479 LCG786437:LCH786479 LMC786437:LMD786479 LVY786437:LVZ786479 MFU786437:MFV786479 MPQ786437:MPR786479 MZM786437:MZN786479 NJI786437:NJJ786479 NTE786437:NTF786479 ODA786437:ODB786479 OMW786437:OMX786479 OWS786437:OWT786479 PGO786437:PGP786479 PQK786437:PQL786479 QAG786437:QAH786479 QKC786437:QKD786479 QTY786437:QTZ786479 RDU786437:RDV786479 RNQ786437:RNR786479 RXM786437:RXN786479 SHI786437:SHJ786479 SRE786437:SRF786479 TBA786437:TBB786479 TKW786437:TKX786479 TUS786437:TUT786479 UEO786437:UEP786479 UOK786437:UOL786479 UYG786437:UYH786479 VIC786437:VID786479 VRY786437:VRZ786479 WBU786437:WBV786479 WLQ786437:WLR786479 WVM786437:WVN786479 JA851973:JB852015 SW851973:SX852015 ACS851973:ACT852015 AMO851973:AMP852015 AWK851973:AWL852015 BGG851973:BGH852015 BQC851973:BQD852015 BZY851973:BZZ852015 CJU851973:CJV852015 CTQ851973:CTR852015 DDM851973:DDN852015 DNI851973:DNJ852015 DXE851973:DXF852015 EHA851973:EHB852015 EQW851973:EQX852015 FAS851973:FAT852015 FKO851973:FKP852015 FUK851973:FUL852015 GEG851973:GEH852015 GOC851973:GOD852015 GXY851973:GXZ852015 HHU851973:HHV852015 HRQ851973:HRR852015 IBM851973:IBN852015 ILI851973:ILJ852015 IVE851973:IVF852015 JFA851973:JFB852015 JOW851973:JOX852015 JYS851973:JYT852015 KIO851973:KIP852015 KSK851973:KSL852015 LCG851973:LCH852015 LMC851973:LMD852015 LVY851973:LVZ852015 MFU851973:MFV852015 MPQ851973:MPR852015 MZM851973:MZN852015 NJI851973:NJJ852015 NTE851973:NTF852015 ODA851973:ODB852015 OMW851973:OMX852015 OWS851973:OWT852015 PGO851973:PGP852015 PQK851973:PQL852015 QAG851973:QAH852015 QKC851973:QKD852015 QTY851973:QTZ852015 RDU851973:RDV852015 RNQ851973:RNR852015 RXM851973:RXN852015 SHI851973:SHJ852015 SRE851973:SRF852015 TBA851973:TBB852015 TKW851973:TKX852015 TUS851973:TUT852015 UEO851973:UEP852015 UOK851973:UOL852015 UYG851973:UYH852015 VIC851973:VID852015 VRY851973:VRZ852015 WBU851973:WBV852015 WLQ851973:WLR852015 WVM851973:WVN852015 JA917509:JB917551 SW917509:SX917551 ACS917509:ACT917551 AMO917509:AMP917551 AWK917509:AWL917551 BGG917509:BGH917551 BQC917509:BQD917551 BZY917509:BZZ917551 CJU917509:CJV917551 CTQ917509:CTR917551 DDM917509:DDN917551 DNI917509:DNJ917551 DXE917509:DXF917551 EHA917509:EHB917551 EQW917509:EQX917551 FAS917509:FAT917551 FKO917509:FKP917551 FUK917509:FUL917551 GEG917509:GEH917551 GOC917509:GOD917551 GXY917509:GXZ917551 HHU917509:HHV917551 HRQ917509:HRR917551 IBM917509:IBN917551 ILI917509:ILJ917551 IVE917509:IVF917551 JFA917509:JFB917551 JOW917509:JOX917551 JYS917509:JYT917551 KIO917509:KIP917551 KSK917509:KSL917551 LCG917509:LCH917551 LMC917509:LMD917551 LVY917509:LVZ917551 MFU917509:MFV917551 MPQ917509:MPR917551 MZM917509:MZN917551 NJI917509:NJJ917551 NTE917509:NTF917551 ODA917509:ODB917551 OMW917509:OMX917551 OWS917509:OWT917551 PGO917509:PGP917551 PQK917509:PQL917551 QAG917509:QAH917551 QKC917509:QKD917551 QTY917509:QTZ917551 RDU917509:RDV917551 RNQ917509:RNR917551 RXM917509:RXN917551 SHI917509:SHJ917551 SRE917509:SRF917551 TBA917509:TBB917551 TKW917509:TKX917551 TUS917509:TUT917551 UEO917509:UEP917551 UOK917509:UOL917551 UYG917509:UYH917551 VIC917509:VID917551 VRY917509:VRZ917551 WBU917509:WBV917551 WLQ917509:WLR917551 WVM917509:WVN917551 JA983045:JB983087 SW983045:SX983087 ACS983045:ACT983087 AMO983045:AMP983087 AWK983045:AWL983087 BGG983045:BGH983087 BQC983045:BQD983087 BZY983045:BZZ983087 CJU983045:CJV983087 CTQ983045:CTR983087 DDM983045:DDN983087 DNI983045:DNJ983087 DXE983045:DXF983087 EHA983045:EHB983087 EQW983045:EQX983087 FAS983045:FAT983087 FKO983045:FKP983087 FUK983045:FUL983087 GEG983045:GEH983087 GOC983045:GOD983087 GXY983045:GXZ983087 HHU983045:HHV983087 HRQ983045:HRR983087 IBM983045:IBN983087 ILI983045:ILJ983087 IVE983045:IVF983087 JFA983045:JFB983087 JOW983045:JOX983087 JYS983045:JYT983087 KIO983045:KIP983087 KSK983045:KSL983087 LCG983045:LCH983087 LMC983045:LMD983087 LVY983045:LVZ983087 MFU983045:MFV983087 MPQ983045:MPR983087 MZM983045:MZN983087 NJI983045:NJJ983087 NTE983045:NTF983087 ODA983045:ODB983087 OMW983045:OMX983087 OWS983045:OWT983087 PGO983045:PGP983087 PQK983045:PQL983087 QAG983045:QAH983087 QKC983045:QKD983087 QTY983045:QTZ983087 RDU983045:RDV983087 RNQ983045:RNR983087 RXM983045:RXN983087 SHI983045:SHJ983087 SRE983045:SRF983087 TBA983045:TBB983087 TKW983045:TKX983087 TUS983045:TUT983087 UEO983045:UEP983087 UOK983045:UOL983087 UYG983045:UYH983087 VIC983045:VID983087 VRY983045:VRZ983087 WBU983045:WBV983087 WLQ983045:WLR983087 L65541:M65583 L983045:M983087 L917509:M917551 L851973:M852015 L786437:M786479 L720901:M720943 L655365:M655407 L589829:M589871 L524293:M524335 L458757:M458799 L393221:M393263 L327685:M327727 L262149:M262191 L196613:M196655 L131077:M131119">
      <formula1>0</formula1>
      <formula2>33</formula2>
    </dataValidation>
    <dataValidation allowBlank="1" showInputMessage="1" showErrorMessage="1" promptTitle="Leitung" prompt="Hier bitte den Namen der Leitung eingeben." sqref="A5:B5"/>
  </dataValidations>
  <printOptions horizontalCentered="1" gridLinesSet="0"/>
  <pageMargins left="0.39370078740157483" right="0.27559055118110237" top="0.47244094488188981" bottom="0.47244094488188981" header="0.31496062992125984" footer="0.35433070866141736"/>
  <pageSetup paperSize="9" scale="59"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BasisV</vt:lpstr>
      <vt:lpstr>Konti_VS</vt:lpstr>
      <vt:lpstr>GTS</vt:lpstr>
      <vt:lpstr>Assistenz</vt:lpstr>
      <vt:lpstr>Religion</vt:lpstr>
      <vt:lpstr>Erstsprache</vt:lpstr>
      <vt:lpstr>Lehrpersonen</vt:lpstr>
      <vt:lpstr>Bedarf</vt:lpstr>
      <vt:lpstr>Assistenz!Druckbereich</vt:lpstr>
      <vt:lpstr>BasisV!Druckbereich</vt:lpstr>
      <vt:lpstr>Bedarf!Druckbereich</vt:lpstr>
      <vt:lpstr>CI!Druckbereich</vt:lpstr>
      <vt:lpstr>GTS!Druckbereich</vt:lpstr>
      <vt:lpstr>Konti_VS!Druckbereich</vt:lpstr>
      <vt:lpstr>Lehrpersonen!Druckbereich</vt:lpstr>
      <vt:lpstr>LP_intern!Druckbereich</vt:lpstr>
      <vt:lpstr>Religion!Druckbereich</vt:lpstr>
      <vt:lpstr>Konti_VS!Drucktitel</vt:lpstr>
      <vt:lpstr>Lehrpersonen!Drucktitel</vt:lpstr>
      <vt:lpstr>LP_intern!Drucktitel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Präs/3</dc:creator>
  <cp:lastModifiedBy>Grabher Markus</cp:lastModifiedBy>
  <cp:lastPrinted>2024-02-27T10:20:11Z</cp:lastPrinted>
  <dcterms:created xsi:type="dcterms:W3CDTF">2022-01-26T08:31:30Z</dcterms:created>
  <dcterms:modified xsi:type="dcterms:W3CDTF">2024-03-13T08:27:08Z</dcterms:modified>
</cp:coreProperties>
</file>