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abt2a\Ressourcen\Stundenberech_Excel\2023'24\"/>
    </mc:Choice>
  </mc:AlternateContent>
  <bookViews>
    <workbookView xWindow="4455" yWindow="405" windowWidth="18450" windowHeight="19020" firstSheet="1" activeTab="1"/>
  </bookViews>
  <sheets>
    <sheet name="CI" sheetId="12" state="veryHidden" r:id="rId1"/>
    <sheet name="BasisP" sheetId="3" r:id="rId2"/>
    <sheet name="Konti_PTS" sheetId="1" r:id="rId3"/>
    <sheet name="GTS" sheetId="13" r:id="rId4"/>
    <sheet name="Assistenz" sheetId="5" r:id="rId5"/>
    <sheet name="Lehrpersonen" sheetId="8" r:id="rId6"/>
    <sheet name="Kontrolle" sheetId="9" r:id="rId7"/>
    <sheet name="Erklärung_Lehrpersonen" sheetId="7" r:id="rId8"/>
    <sheet name="Kontingent" sheetId="10" state="veryHidden" r:id="rId9"/>
    <sheet name="Konti" sheetId="11" state="veryHidden" r:id="rId10"/>
    <sheet name="Beschreib" sheetId="6" state="veryHidden" r:id="rId11"/>
  </sheets>
  <definedNames>
    <definedName name="_xlnm._FilterDatabase" localSheetId="0" hidden="1">CI!$A$2:$N$14</definedName>
    <definedName name="_xlnm.Print_Area" localSheetId="4">Assistenz!$A$1:$M$69</definedName>
    <definedName name="_xlnm.Print_Area" localSheetId="1">BasisP!$B:$P</definedName>
    <definedName name="_xlnm.Print_Area" localSheetId="0">CI!$B$1:$G$14</definedName>
    <definedName name="_xlnm.Print_Area" localSheetId="7">Erklärung_Lehrpersonen!$A$1:$M$85</definedName>
    <definedName name="_xlnm.Print_Area" localSheetId="3">GTS!$A$1:$AF$46</definedName>
    <definedName name="_xlnm.Print_Area" localSheetId="2">Konti_PTS!$B:$J</definedName>
    <definedName name="_xlnm.Print_Area" localSheetId="8">Kontingent!$A$1:$F$28</definedName>
    <definedName name="_xlnm.Print_Area" localSheetId="5">Lehrpersonen!$A$1:$N$84</definedName>
    <definedName name="_xlnm.Print_Titles" localSheetId="2">Konti_PTS!$7:$8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9" i="5" l="1"/>
  <c r="B82" i="8" l="1"/>
  <c r="I11" i="9" l="1"/>
  <c r="AF1" i="13" l="1"/>
  <c r="F4" i="8" l="1"/>
  <c r="K1"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B14" i="13"/>
  <c r="I60" i="5"/>
  <c r="M1" i="5" l="1"/>
  <c r="L50" i="1" l="1"/>
  <c r="M50" i="1" s="1"/>
  <c r="U8" i="9" l="1"/>
  <c r="F1" i="10" l="1"/>
  <c r="E3" i="10" l="1"/>
  <c r="C1" i="10"/>
  <c r="M15" i="9"/>
  <c r="M14" i="9"/>
  <c r="R14" i="9" l="1"/>
  <c r="N20" i="9"/>
  <c r="O17" i="9" l="1"/>
  <c r="N17" i="9"/>
  <c r="K8" i="9"/>
  <c r="H1" i="1" l="1"/>
  <c r="I15" i="9" l="1"/>
  <c r="I17" i="9"/>
  <c r="I16" i="9"/>
  <c r="E2" i="10"/>
  <c r="A20" i="10"/>
  <c r="I18" i="9"/>
  <c r="A82" i="8" l="1"/>
  <c r="J4" i="9" s="1"/>
  <c r="AS45" i="13"/>
  <c r="AS40" i="13"/>
  <c r="AR40" i="13"/>
  <c r="AQ40" i="13"/>
  <c r="AP40" i="13"/>
  <c r="AO40" i="13"/>
  <c r="AN40" i="13"/>
  <c r="AM40" i="13"/>
  <c r="AL40" i="13"/>
  <c r="AK40" i="13"/>
  <c r="AJ40" i="13"/>
  <c r="D40" i="13"/>
  <c r="AS39" i="13"/>
  <c r="AR39" i="13"/>
  <c r="AQ39" i="13"/>
  <c r="AP39" i="13"/>
  <c r="AO39" i="13"/>
  <c r="AN39" i="13"/>
  <c r="AM39" i="13"/>
  <c r="AL39" i="13"/>
  <c r="AK39" i="13"/>
  <c r="AJ39" i="13"/>
  <c r="AS38" i="13"/>
  <c r="AR38" i="13"/>
  <c r="AQ38" i="13"/>
  <c r="AP38" i="13"/>
  <c r="AO38" i="13"/>
  <c r="AN38" i="13"/>
  <c r="AM38" i="13"/>
  <c r="AL38" i="13"/>
  <c r="AK38" i="13"/>
  <c r="AJ38" i="13"/>
  <c r="AS37" i="13"/>
  <c r="AR37" i="13"/>
  <c r="AQ37" i="13"/>
  <c r="AP37" i="13"/>
  <c r="AO37" i="13"/>
  <c r="AN37" i="13"/>
  <c r="AM37" i="13"/>
  <c r="AL37" i="13"/>
  <c r="AK37" i="13"/>
  <c r="AJ37" i="13"/>
  <c r="AS36" i="13"/>
  <c r="AR36" i="13"/>
  <c r="AQ36" i="13"/>
  <c r="AP36" i="13"/>
  <c r="AO36" i="13"/>
  <c r="AN36" i="13"/>
  <c r="AM36" i="13"/>
  <c r="AL36" i="13"/>
  <c r="AK36" i="13"/>
  <c r="AJ36" i="13"/>
  <c r="AS35" i="13"/>
  <c r="AR35" i="13"/>
  <c r="AQ35" i="13"/>
  <c r="AP35" i="13"/>
  <c r="AO35" i="13"/>
  <c r="AN35" i="13"/>
  <c r="AM35" i="13"/>
  <c r="AL35" i="13"/>
  <c r="AK35" i="13"/>
  <c r="AJ35" i="13"/>
  <c r="AS34" i="13"/>
  <c r="AR34" i="13"/>
  <c r="AQ34" i="13"/>
  <c r="AP34" i="13"/>
  <c r="AO34" i="13"/>
  <c r="AN34" i="13"/>
  <c r="AM34" i="13"/>
  <c r="AL34" i="13"/>
  <c r="AK34" i="13"/>
  <c r="AJ34" i="13"/>
  <c r="AS33" i="13"/>
  <c r="AR33" i="13"/>
  <c r="AQ33" i="13"/>
  <c r="AP33" i="13"/>
  <c r="AO33" i="13"/>
  <c r="AN33" i="13"/>
  <c r="AK33" i="13"/>
  <c r="AS32" i="13"/>
  <c r="AR32" i="13"/>
  <c r="AQ32" i="13"/>
  <c r="AP32" i="13"/>
  <c r="AK32" i="13"/>
  <c r="AS31" i="13"/>
  <c r="AR31" i="13"/>
  <c r="AQ31" i="13"/>
  <c r="AP31" i="13"/>
  <c r="AO31" i="13"/>
  <c r="AN31" i="13"/>
  <c r="AM31" i="13"/>
  <c r="AK31" i="13"/>
  <c r="AK29" i="13" s="1"/>
  <c r="L31" i="13"/>
  <c r="A40" i="13"/>
  <c r="I31" i="13"/>
  <c r="G31" i="13"/>
  <c r="BD28" i="13"/>
  <c r="AD28" i="13"/>
  <c r="AD25" i="13"/>
  <c r="AC25" i="13"/>
  <c r="AD26" i="13" s="1"/>
  <c r="X25" i="13"/>
  <c r="W25" i="13"/>
  <c r="X26" i="13" s="1"/>
  <c r="R25" i="13"/>
  <c r="Q25" i="13"/>
  <c r="R26" i="13" s="1"/>
  <c r="L25" i="13"/>
  <c r="AK25" i="13" s="1"/>
  <c r="K25" i="13"/>
  <c r="F25" i="13"/>
  <c r="E25" i="13"/>
  <c r="BG23" i="13"/>
  <c r="BC23" i="13"/>
  <c r="AF23" i="13" s="1"/>
  <c r="BM23" i="13" s="1"/>
  <c r="BB23" i="13"/>
  <c r="BA23" i="13"/>
  <c r="Z23" i="13" s="1"/>
  <c r="BK23" i="13" s="1"/>
  <c r="AZ23" i="13"/>
  <c r="AY23" i="13"/>
  <c r="T23" i="13" s="1"/>
  <c r="BI23" i="13" s="1"/>
  <c r="AX23" i="13"/>
  <c r="AW23" i="13"/>
  <c r="N23" i="13" s="1"/>
  <c r="AV23" i="13"/>
  <c r="AU23" i="13"/>
  <c r="H23" i="13" s="1"/>
  <c r="BE23" i="13" s="1"/>
  <c r="AT23" i="13"/>
  <c r="AE23" i="13"/>
  <c r="Y23" i="13"/>
  <c r="BJ23" i="13" s="1"/>
  <c r="S23" i="13"/>
  <c r="M23" i="13"/>
  <c r="BF23" i="13" s="1"/>
  <c r="G23" i="13"/>
  <c r="BC22" i="13"/>
  <c r="BB22" i="13"/>
  <c r="AE22" i="13" s="1"/>
  <c r="BA22" i="13"/>
  <c r="AZ22" i="13"/>
  <c r="Y22" i="13" s="1"/>
  <c r="AY22" i="13"/>
  <c r="AX22" i="13"/>
  <c r="S22" i="13" s="1"/>
  <c r="AW22" i="13"/>
  <c r="AV22" i="13"/>
  <c r="M22" i="13" s="1"/>
  <c r="AU22" i="13"/>
  <c r="AT22" i="13"/>
  <c r="G22" i="13" s="1"/>
  <c r="AF22" i="13"/>
  <c r="BM22" i="13" s="1"/>
  <c r="Z22" i="13"/>
  <c r="BK22" i="13" s="1"/>
  <c r="T22" i="13"/>
  <c r="BI22" i="13" s="1"/>
  <c r="N22" i="13"/>
  <c r="BG22" i="13" s="1"/>
  <c r="H22" i="13"/>
  <c r="BE22" i="13" s="1"/>
  <c r="BC21" i="13"/>
  <c r="BB21" i="13"/>
  <c r="AE21" i="13" s="1"/>
  <c r="BA21" i="13"/>
  <c r="AZ21" i="13"/>
  <c r="Y21" i="13" s="1"/>
  <c r="AY21" i="13"/>
  <c r="AX21" i="13"/>
  <c r="S21" i="13" s="1"/>
  <c r="AW21" i="13"/>
  <c r="AV21" i="13"/>
  <c r="M21" i="13" s="1"/>
  <c r="AU21" i="13"/>
  <c r="AT21" i="13"/>
  <c r="G21" i="13" s="1"/>
  <c r="AF21" i="13"/>
  <c r="BM21" i="13" s="1"/>
  <c r="Z21" i="13"/>
  <c r="BK21" i="13" s="1"/>
  <c r="T21" i="13"/>
  <c r="BI21" i="13" s="1"/>
  <c r="N21" i="13"/>
  <c r="BG21" i="13" s="1"/>
  <c r="H21" i="13"/>
  <c r="BE21" i="13" s="1"/>
  <c r="BC20" i="13"/>
  <c r="BB20" i="13"/>
  <c r="AE20" i="13" s="1"/>
  <c r="BA20" i="13"/>
  <c r="AZ20" i="13"/>
  <c r="Y20" i="13" s="1"/>
  <c r="AY20" i="13"/>
  <c r="AX20" i="13"/>
  <c r="S20" i="13" s="1"/>
  <c r="AW20" i="13"/>
  <c r="AV20" i="13"/>
  <c r="M20" i="13" s="1"/>
  <c r="AU20" i="13"/>
  <c r="AT20" i="13"/>
  <c r="G20" i="13" s="1"/>
  <c r="AF20" i="13"/>
  <c r="BM20" i="13" s="1"/>
  <c r="Z20" i="13"/>
  <c r="BK20" i="13" s="1"/>
  <c r="T20" i="13"/>
  <c r="BI20" i="13" s="1"/>
  <c r="N20" i="13"/>
  <c r="BG20" i="13" s="1"/>
  <c r="H20" i="13"/>
  <c r="BE20" i="13" s="1"/>
  <c r="BC19" i="13"/>
  <c r="BB19" i="13"/>
  <c r="AE19" i="13" s="1"/>
  <c r="BA19" i="13"/>
  <c r="AZ19" i="13"/>
  <c r="Y19" i="13" s="1"/>
  <c r="AY19" i="13"/>
  <c r="AX19" i="13"/>
  <c r="S19" i="13" s="1"/>
  <c r="AW19" i="13"/>
  <c r="AV19" i="13"/>
  <c r="M19" i="13" s="1"/>
  <c r="AU19" i="13"/>
  <c r="AT19" i="13"/>
  <c r="G19" i="13" s="1"/>
  <c r="AF19" i="13"/>
  <c r="BM19" i="13" s="1"/>
  <c r="Z19" i="13"/>
  <c r="BK19" i="13" s="1"/>
  <c r="T19" i="13"/>
  <c r="BI19" i="13" s="1"/>
  <c r="N19" i="13"/>
  <c r="BG19" i="13" s="1"/>
  <c r="H19" i="13"/>
  <c r="BE19" i="13" s="1"/>
  <c r="BC18" i="13"/>
  <c r="BB18" i="13"/>
  <c r="AE18" i="13" s="1"/>
  <c r="BA18" i="13"/>
  <c r="AZ18" i="13"/>
  <c r="Y18" i="13" s="1"/>
  <c r="AY18" i="13"/>
  <c r="AX18" i="13"/>
  <c r="S18" i="13" s="1"/>
  <c r="AW18" i="13"/>
  <c r="AV18" i="13"/>
  <c r="M18" i="13" s="1"/>
  <c r="AU18" i="13"/>
  <c r="AT18" i="13"/>
  <c r="G18" i="13" s="1"/>
  <c r="AF18" i="13"/>
  <c r="BM18" i="13" s="1"/>
  <c r="Z18" i="13"/>
  <c r="BK18" i="13" s="1"/>
  <c r="T18" i="13"/>
  <c r="BI18" i="13" s="1"/>
  <c r="N18" i="13"/>
  <c r="BG18" i="13" s="1"/>
  <c r="H18" i="13"/>
  <c r="BE18" i="13" s="1"/>
  <c r="BC17" i="13"/>
  <c r="BB17" i="13"/>
  <c r="AE17" i="13" s="1"/>
  <c r="BA17" i="13"/>
  <c r="AZ17" i="13"/>
  <c r="Y17" i="13" s="1"/>
  <c r="AY17" i="13"/>
  <c r="AX17" i="13"/>
  <c r="S17" i="13" s="1"/>
  <c r="AW17" i="13"/>
  <c r="AV17" i="13"/>
  <c r="M17" i="13" s="1"/>
  <c r="AU17" i="13"/>
  <c r="AT17" i="13"/>
  <c r="G17" i="13" s="1"/>
  <c r="AF17" i="13"/>
  <c r="BM17" i="13" s="1"/>
  <c r="Z17" i="13"/>
  <c r="BK17" i="13" s="1"/>
  <c r="T17" i="13"/>
  <c r="BI17" i="13" s="1"/>
  <c r="N17" i="13"/>
  <c r="BG17" i="13" s="1"/>
  <c r="H17" i="13"/>
  <c r="BE17" i="13" s="1"/>
  <c r="BC16" i="13"/>
  <c r="BB16" i="13"/>
  <c r="AE16" i="13" s="1"/>
  <c r="BA16" i="13"/>
  <c r="AZ16" i="13"/>
  <c r="Y16" i="13" s="1"/>
  <c r="AY16" i="13"/>
  <c r="AX16" i="13"/>
  <c r="S16" i="13" s="1"/>
  <c r="AW16" i="13"/>
  <c r="N16" i="13" s="1"/>
  <c r="AV16" i="13"/>
  <c r="M16" i="13" s="1"/>
  <c r="AU16" i="13"/>
  <c r="AT16" i="13"/>
  <c r="G16" i="13" s="1"/>
  <c r="AJ33" i="13" s="1"/>
  <c r="AF16" i="13"/>
  <c r="BM16" i="13" s="1"/>
  <c r="Z16" i="13"/>
  <c r="BK16" i="13" s="1"/>
  <c r="T16" i="13"/>
  <c r="BI16" i="13" s="1"/>
  <c r="H16" i="13"/>
  <c r="BE16" i="13" s="1"/>
  <c r="BC15" i="13"/>
  <c r="AF15" i="13" s="1"/>
  <c r="BM15" i="13" s="1"/>
  <c r="BB15" i="13"/>
  <c r="BA15" i="13"/>
  <c r="AZ15" i="13"/>
  <c r="AY15" i="13"/>
  <c r="T15" i="13" s="1"/>
  <c r="BI15" i="13" s="1"/>
  <c r="AX15" i="13"/>
  <c r="S15" i="13" s="1"/>
  <c r="BH15" i="13" s="1"/>
  <c r="AW15" i="13"/>
  <c r="AV15" i="13"/>
  <c r="AU15" i="13"/>
  <c r="H15" i="13" s="1"/>
  <c r="BE15" i="13" s="1"/>
  <c r="AT15" i="13"/>
  <c r="G15" i="13" s="1"/>
  <c r="BD15" i="13" s="1"/>
  <c r="AE15" i="13"/>
  <c r="BL15" i="13" s="1"/>
  <c r="Z15" i="13"/>
  <c r="BK15" i="13" s="1"/>
  <c r="Y15" i="13"/>
  <c r="BJ15" i="13" s="1"/>
  <c r="N15" i="13"/>
  <c r="BG15" i="13" s="1"/>
  <c r="M15" i="13"/>
  <c r="BF15" i="13" s="1"/>
  <c r="BC14" i="13"/>
  <c r="AF14" i="13" s="1"/>
  <c r="BB14" i="13"/>
  <c r="BA14" i="13"/>
  <c r="AZ14" i="13"/>
  <c r="AY14" i="13"/>
  <c r="T14" i="13" s="1"/>
  <c r="AX14" i="13"/>
  <c r="AW14" i="13"/>
  <c r="AV14" i="13"/>
  <c r="AU14" i="13"/>
  <c r="AT26" i="13" s="1"/>
  <c r="AT14" i="13"/>
  <c r="G14" i="13" s="1"/>
  <c r="AJ31" i="13" s="1"/>
  <c r="AE14" i="13"/>
  <c r="Z14" i="13"/>
  <c r="AQ44" i="13" s="1"/>
  <c r="Y14" i="13"/>
  <c r="S14" i="13"/>
  <c r="N14" i="13"/>
  <c r="M14" i="13"/>
  <c r="C14" i="13"/>
  <c r="AL31" i="13" s="1"/>
  <c r="C6" i="13"/>
  <c r="AO7" i="13" s="1"/>
  <c r="S5" i="13"/>
  <c r="N5" i="13"/>
  <c r="AO3" i="13"/>
  <c r="AO8" i="13" s="1"/>
  <c r="M1" i="9"/>
  <c r="D6" i="10" s="1"/>
  <c r="A1" i="11"/>
  <c r="F1" i="12"/>
  <c r="D1" i="12"/>
  <c r="D22" i="10"/>
  <c r="D21" i="10"/>
  <c r="D20" i="10"/>
  <c r="D18" i="10"/>
  <c r="I4" i="10"/>
  <c r="I3" i="10"/>
  <c r="H5" i="10"/>
  <c r="AQ29" i="13" l="1"/>
  <c r="AS29" i="13"/>
  <c r="AE26" i="13" s="1"/>
  <c r="AR29" i="13"/>
  <c r="BG16" i="13"/>
  <c r="N25" i="13"/>
  <c r="AJ32" i="13"/>
  <c r="AJ29" i="13" s="1"/>
  <c r="I40" i="1"/>
  <c r="AP7" i="13"/>
  <c r="AP29" i="13"/>
  <c r="Y26" i="13" s="1"/>
  <c r="AQ28" i="13"/>
  <c r="BN14" i="13"/>
  <c r="D14" i="13"/>
  <c r="A15" i="13"/>
  <c r="B15" i="13" s="1"/>
  <c r="F6" i="10"/>
  <c r="D5" i="10"/>
  <c r="E6" i="10"/>
  <c r="H7" i="10" s="1"/>
  <c r="E1" i="10"/>
  <c r="K6" i="9"/>
  <c r="J6" i="9"/>
  <c r="AO10" i="13"/>
  <c r="AO11" i="13"/>
  <c r="AO9" i="13"/>
  <c r="T25" i="13"/>
  <c r="BI14" i="13"/>
  <c r="BI25" i="13" s="1"/>
  <c r="AS44" i="13"/>
  <c r="AF25" i="13"/>
  <c r="BM14" i="13"/>
  <c r="BM25" i="13" s="1"/>
  <c r="BF16" i="13"/>
  <c r="BJ16" i="13"/>
  <c r="BF18" i="13"/>
  <c r="BJ18" i="13"/>
  <c r="BF20" i="13"/>
  <c r="BJ20" i="13"/>
  <c r="BF22" i="13"/>
  <c r="BJ22" i="13"/>
  <c r="T7" i="13"/>
  <c r="R7" i="13"/>
  <c r="V6" i="13"/>
  <c r="S6" i="13"/>
  <c r="Q6" i="13"/>
  <c r="S7" i="13"/>
  <c r="Q7" i="13"/>
  <c r="T6" i="13"/>
  <c r="R6" i="13"/>
  <c r="P6" i="13"/>
  <c r="BF17" i="13"/>
  <c r="BJ17" i="13"/>
  <c r="BF19" i="13"/>
  <c r="BJ19" i="13"/>
  <c r="BF21" i="13"/>
  <c r="BJ21" i="13"/>
  <c r="G24" i="13"/>
  <c r="AJ43" i="13"/>
  <c r="G25" i="13"/>
  <c r="S24" i="13"/>
  <c r="U14" i="13"/>
  <c r="AE24" i="13"/>
  <c r="AR43" i="13"/>
  <c r="AE25" i="13"/>
  <c r="AG14" i="13"/>
  <c r="AK14" i="13"/>
  <c r="AM14" i="13"/>
  <c r="AO14" i="13"/>
  <c r="AQ14" i="13"/>
  <c r="AS14" i="13"/>
  <c r="BG14" i="13"/>
  <c r="BG25" i="13" s="1"/>
  <c r="BK14" i="13"/>
  <c r="BK25" i="13" s="1"/>
  <c r="BD16" i="13"/>
  <c r="BH16" i="13"/>
  <c r="BL16" i="13"/>
  <c r="BD17" i="13"/>
  <c r="BH17" i="13"/>
  <c r="BL17" i="13"/>
  <c r="BD18" i="13"/>
  <c r="BH18" i="13"/>
  <c r="BL18" i="13"/>
  <c r="BD19" i="13"/>
  <c r="BH19" i="13"/>
  <c r="BL19" i="13"/>
  <c r="BD20" i="13"/>
  <c r="BH20" i="13"/>
  <c r="BL20" i="13"/>
  <c r="BD21" i="13"/>
  <c r="BH21" i="13"/>
  <c r="BL21" i="13"/>
  <c r="BD22" i="13"/>
  <c r="BH22" i="13"/>
  <c r="BL22" i="13"/>
  <c r="BD23" i="13"/>
  <c r="BH23" i="13"/>
  <c r="BL23" i="13"/>
  <c r="Z25" i="13"/>
  <c r="AS42" i="13"/>
  <c r="H14" i="13"/>
  <c r="M25" i="13"/>
  <c r="M24" i="13"/>
  <c r="O14" i="13"/>
  <c r="AP43" i="13"/>
  <c r="Y25" i="13"/>
  <c r="AA14" i="13"/>
  <c r="AJ14" i="13"/>
  <c r="AL14" i="13"/>
  <c r="AN14" i="13"/>
  <c r="AP14" i="13"/>
  <c r="AR14" i="13"/>
  <c r="AT25" i="13"/>
  <c r="BD14" i="13"/>
  <c r="BF14" i="13"/>
  <c r="BF25" i="13" s="1"/>
  <c r="BH14" i="13"/>
  <c r="BJ14" i="13"/>
  <c r="BJ25" i="13" s="1"/>
  <c r="BL14" i="13"/>
  <c r="Y24" i="13"/>
  <c r="S25" i="13"/>
  <c r="F26" i="13"/>
  <c r="AJ25" i="13"/>
  <c r="L26" i="13"/>
  <c r="E41" i="13"/>
  <c r="C41" i="13"/>
  <c r="H40" i="13"/>
  <c r="AQ42" i="13"/>
  <c r="AS28" i="13" l="1"/>
  <c r="I6" i="10"/>
  <c r="I2" i="10"/>
  <c r="H6" i="10"/>
  <c r="H21" i="10" s="1"/>
  <c r="A14" i="11" s="1"/>
  <c r="G26" i="13"/>
  <c r="AK28" i="13"/>
  <c r="AK42" i="13"/>
  <c r="I1" i="10"/>
  <c r="I8" i="10"/>
  <c r="I5" i="10"/>
  <c r="I7" i="10"/>
  <c r="AK26" i="13"/>
  <c r="A16" i="13"/>
  <c r="B16" i="13" s="1"/>
  <c r="C15" i="13"/>
  <c r="BL25" i="13"/>
  <c r="BH25" i="13"/>
  <c r="BD26" i="13"/>
  <c r="BD25" i="13"/>
  <c r="AK44" i="13"/>
  <c r="H25" i="13"/>
  <c r="AM25" i="13" s="1"/>
  <c r="BE14" i="13"/>
  <c r="I14" i="13"/>
  <c r="H20" i="10"/>
  <c r="A13" i="11" s="1"/>
  <c r="H19" i="10"/>
  <c r="A12" i="11" s="1"/>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H18" i="10" l="1"/>
  <c r="A11" i="11" s="1"/>
  <c r="A25" i="13"/>
  <c r="A24" i="13"/>
  <c r="D15" i="13"/>
  <c r="AL32" i="13"/>
  <c r="AM32" i="13"/>
  <c r="AN32" i="13"/>
  <c r="AN29" i="13" s="1"/>
  <c r="AO32" i="13"/>
  <c r="AO44" i="13"/>
  <c r="AN43" i="13"/>
  <c r="BE25" i="13"/>
  <c r="BD27" i="13"/>
  <c r="BD29" i="13" s="1"/>
  <c r="BN15" i="13"/>
  <c r="AR15" i="13"/>
  <c r="AP15" i="13"/>
  <c r="AN15" i="13"/>
  <c r="AL15" i="13"/>
  <c r="AJ15" i="13"/>
  <c r="AS15" i="13"/>
  <c r="AQ15" i="13"/>
  <c r="AO15" i="13"/>
  <c r="AM15" i="13"/>
  <c r="AK15" i="13"/>
  <c r="I15" i="13"/>
  <c r="AG15" i="13"/>
  <c r="O15" i="13"/>
  <c r="U15" i="13"/>
  <c r="AA15" i="13"/>
  <c r="D28" i="13"/>
  <c r="AO42" i="13" l="1"/>
  <c r="AO29" i="13"/>
  <c r="S26" i="13" s="1"/>
  <c r="A17" i="13"/>
  <c r="B17" i="13" s="1"/>
  <c r="C16" i="13"/>
  <c r="BD31" i="13"/>
  <c r="AC40" i="13" s="1"/>
  <c r="BD30" i="13"/>
  <c r="AF43" i="13" l="1"/>
  <c r="G58" i="1"/>
  <c r="AO28" i="13"/>
  <c r="D16" i="13"/>
  <c r="AL33" i="13"/>
  <c r="AM33" i="13"/>
  <c r="AM44" i="13"/>
  <c r="AM45" i="13" s="1"/>
  <c r="AL43" i="13"/>
  <c r="AK45" i="13" s="1"/>
  <c r="S27" i="13"/>
  <c r="AB40" i="13"/>
  <c r="AF41" i="13"/>
  <c r="AS16" i="13"/>
  <c r="AQ16" i="13"/>
  <c r="AO16" i="13"/>
  <c r="AM16" i="13"/>
  <c r="AK16" i="13"/>
  <c r="BN16" i="13"/>
  <c r="AR16" i="13"/>
  <c r="AN16" i="13"/>
  <c r="AJ16" i="13"/>
  <c r="AP16" i="13"/>
  <c r="AL16" i="13"/>
  <c r="U16" i="13"/>
  <c r="O16" i="13"/>
  <c r="AA16" i="13"/>
  <c r="I16" i="13"/>
  <c r="AG16" i="13"/>
  <c r="AL29" i="13" l="1"/>
  <c r="AI27" i="13"/>
  <c r="AO45" i="13"/>
  <c r="AQ45" i="13" s="1"/>
  <c r="AR45" i="13" s="1"/>
  <c r="AM42" i="13"/>
  <c r="AJ42" i="13" s="1"/>
  <c r="AI42" i="13" s="1"/>
  <c r="AM29" i="13"/>
  <c r="A18" i="13"/>
  <c r="C17" i="13"/>
  <c r="D17" i="13" s="1"/>
  <c r="AM28" i="13" l="1"/>
  <c r="AL27" i="13" s="1"/>
  <c r="AN7" i="13" s="1"/>
  <c r="M26" i="13"/>
  <c r="AL26" i="13" s="1"/>
  <c r="AS17" i="13"/>
  <c r="AQ17" i="13"/>
  <c r="AO17" i="13"/>
  <c r="AM17" i="13"/>
  <c r="AK17" i="13"/>
  <c r="BN17" i="13"/>
  <c r="AR17" i="13"/>
  <c r="AN17" i="13"/>
  <c r="AJ17" i="13"/>
  <c r="AP17" i="13"/>
  <c r="AL17" i="13"/>
  <c r="O17" i="13"/>
  <c r="AA17" i="13"/>
  <c r="U17" i="13"/>
  <c r="I17" i="13"/>
  <c r="AG17" i="13"/>
  <c r="D18" i="13"/>
  <c r="B18" i="13"/>
  <c r="M82" i="8"/>
  <c r="L82" i="8"/>
  <c r="K82" i="8"/>
  <c r="J82" i="8"/>
  <c r="J84" i="8" s="1"/>
  <c r="I82" i="8"/>
  <c r="J14" i="9" s="1"/>
  <c r="H82" i="8"/>
  <c r="J12" i="9" s="1"/>
  <c r="G82" i="8"/>
  <c r="F82" i="8"/>
  <c r="J10" i="9" s="1"/>
  <c r="D82" i="8"/>
  <c r="J8" i="9" s="1"/>
  <c r="N81" i="8"/>
  <c r="N80" i="8"/>
  <c r="N79" i="8"/>
  <c r="N78" i="8"/>
  <c r="N77" i="8"/>
  <c r="N76" i="8"/>
  <c r="N75" i="8"/>
  <c r="N74" i="8"/>
  <c r="N73" i="8"/>
  <c r="N72" i="8"/>
  <c r="N71" i="8"/>
  <c r="N70" i="8"/>
  <c r="N69" i="8"/>
  <c r="N68" i="8"/>
  <c r="N67" i="8"/>
  <c r="N66" i="8"/>
  <c r="N30" i="8"/>
  <c r="N29" i="8"/>
  <c r="N28" i="8"/>
  <c r="N27" i="8"/>
  <c r="N26" i="8"/>
  <c r="N25" i="8"/>
  <c r="N24" i="8"/>
  <c r="N23" i="8"/>
  <c r="N22" i="8"/>
  <c r="N21" i="8"/>
  <c r="N20" i="8"/>
  <c r="N19" i="8"/>
  <c r="N18" i="8"/>
  <c r="N17" i="8"/>
  <c r="N16" i="8"/>
  <c r="N15" i="8"/>
  <c r="N14" i="8"/>
  <c r="N13" i="8"/>
  <c r="N12" i="8"/>
  <c r="N11" i="8"/>
  <c r="N10" i="8"/>
  <c r="N9" i="8"/>
  <c r="N8" i="8"/>
  <c r="G84" i="7"/>
  <c r="L82" i="7"/>
  <c r="K82" i="7"/>
  <c r="J82" i="7"/>
  <c r="I82" i="7"/>
  <c r="H82" i="7"/>
  <c r="G82" i="7"/>
  <c r="F82" i="7"/>
  <c r="E82" i="7"/>
  <c r="C82" i="7"/>
  <c r="M81" i="7"/>
  <c r="M80" i="7"/>
  <c r="M79" i="7"/>
  <c r="M78" i="7"/>
  <c r="M74"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K27" i="13" l="1"/>
  <c r="AK27" i="13"/>
  <c r="K84" i="8"/>
  <c r="J19" i="9" s="1"/>
  <c r="J18" i="9"/>
  <c r="J17" i="9"/>
  <c r="J16" i="9"/>
  <c r="A19" i="13"/>
  <c r="C18" i="13"/>
  <c r="N82" i="8"/>
  <c r="M82" i="7"/>
  <c r="O18" i="9" l="1"/>
  <c r="P18" i="9"/>
  <c r="N18" i="9"/>
  <c r="L18" i="9"/>
  <c r="P16" i="9"/>
  <c r="N16" i="9"/>
  <c r="Q16" i="9"/>
  <c r="AS18" i="13"/>
  <c r="AQ18" i="13"/>
  <c r="AO18" i="13"/>
  <c r="AM18" i="13"/>
  <c r="AK18" i="13"/>
  <c r="BN18" i="13"/>
  <c r="AR18" i="13"/>
  <c r="AN18" i="13"/>
  <c r="AJ18" i="13"/>
  <c r="AP18" i="13"/>
  <c r="AL18" i="13"/>
  <c r="U18" i="13"/>
  <c r="O18" i="13"/>
  <c r="AA18" i="13"/>
  <c r="I18" i="13"/>
  <c r="AG18" i="13"/>
  <c r="D19" i="13"/>
  <c r="B19" i="13"/>
  <c r="D4" i="5"/>
  <c r="E18" i="9" l="1"/>
  <c r="C18" i="9"/>
  <c r="A20" i="13"/>
  <c r="C19" i="13"/>
  <c r="E23" i="1"/>
  <c r="D23" i="1"/>
  <c r="H84" i="8" l="1"/>
  <c r="I12" i="9"/>
  <c r="N12" i="9" s="1"/>
  <c r="AS19" i="13"/>
  <c r="AQ19" i="13"/>
  <c r="AO19" i="13"/>
  <c r="AM19" i="13"/>
  <c r="AK19" i="13"/>
  <c r="BN19" i="13"/>
  <c r="AR19" i="13"/>
  <c r="AN19" i="13"/>
  <c r="AJ19" i="13"/>
  <c r="AP19" i="13"/>
  <c r="AL19" i="13"/>
  <c r="O19" i="13"/>
  <c r="AA19" i="13"/>
  <c r="U19" i="13"/>
  <c r="I19" i="13"/>
  <c r="AG19" i="13"/>
  <c r="D20" i="13"/>
  <c r="B20" i="13"/>
  <c r="D5" i="5"/>
  <c r="K60" i="5"/>
  <c r="M9" i="5"/>
  <c r="C6" i="5"/>
  <c r="F5" i="5"/>
  <c r="A7" i="10" l="1"/>
  <c r="D7" i="10" s="1"/>
  <c r="H9" i="10" s="1"/>
  <c r="A2" i="11" s="1"/>
  <c r="A21" i="13"/>
  <c r="C20" i="13"/>
  <c r="D6" i="5"/>
  <c r="M58" i="5"/>
  <c r="L61" i="5"/>
  <c r="M17" i="9" s="1"/>
  <c r="O16" i="9" s="1"/>
  <c r="L16" i="9" s="1"/>
  <c r="C16" i="9" s="1"/>
  <c r="U16" i="9" s="1"/>
  <c r="V16" i="9" l="1"/>
  <c r="E16" i="9" s="1"/>
  <c r="AS20" i="13"/>
  <c r="AQ20" i="13"/>
  <c r="AO20" i="13"/>
  <c r="AM20" i="13"/>
  <c r="AK20" i="13"/>
  <c r="BN20" i="13"/>
  <c r="AR20" i="13"/>
  <c r="AN20" i="13"/>
  <c r="AJ20" i="13"/>
  <c r="AP20" i="13"/>
  <c r="AL20" i="13"/>
  <c r="U20" i="13"/>
  <c r="O20" i="13"/>
  <c r="AA20" i="13"/>
  <c r="I20" i="13"/>
  <c r="AG20" i="13"/>
  <c r="D21" i="13"/>
  <c r="B21" i="13"/>
  <c r="D66" i="1"/>
  <c r="E66" i="1" s="1"/>
  <c r="K63" i="5"/>
  <c r="K62" i="5"/>
  <c r="G61" i="5"/>
  <c r="F61" i="5"/>
  <c r="I52" i="1"/>
  <c r="A22" i="13" l="1"/>
  <c r="C21" i="13"/>
  <c r="M53" i="1"/>
  <c r="AS21" i="13" l="1"/>
  <c r="AQ21" i="13"/>
  <c r="AO21" i="13"/>
  <c r="AM21" i="13"/>
  <c r="AK21" i="13"/>
  <c r="BN21" i="13"/>
  <c r="AR21" i="13"/>
  <c r="AN21" i="13"/>
  <c r="AJ21" i="13"/>
  <c r="AP21" i="13"/>
  <c r="AL21" i="13"/>
  <c r="O21" i="13"/>
  <c r="AA21" i="13"/>
  <c r="U21" i="13"/>
  <c r="I21" i="13"/>
  <c r="AG21" i="13"/>
  <c r="D22" i="13"/>
  <c r="B22" i="13"/>
  <c r="L46" i="1"/>
  <c r="F55" i="1" s="1"/>
  <c r="L55" i="1" s="1"/>
  <c r="L6" i="1"/>
  <c r="D58" i="1" l="1"/>
  <c r="C22" i="13"/>
  <c r="A23" i="13"/>
  <c r="N53" i="1"/>
  <c r="E49" i="1"/>
  <c r="D23" i="13" l="1"/>
  <c r="B23" i="13"/>
  <c r="C23" i="13" s="1"/>
  <c r="BN22" i="13"/>
  <c r="AS22" i="13"/>
  <c r="AQ22" i="13"/>
  <c r="AO22" i="13"/>
  <c r="AM22" i="13"/>
  <c r="AK22" i="13"/>
  <c r="AR22" i="13"/>
  <c r="AN22" i="13"/>
  <c r="AJ22" i="13"/>
  <c r="AP22" i="13"/>
  <c r="AL22" i="13"/>
  <c r="U22" i="13"/>
  <c r="O22" i="13"/>
  <c r="AA22" i="13"/>
  <c r="I22" i="13"/>
  <c r="AG22" i="13"/>
  <c r="BN23" i="13" l="1"/>
  <c r="BN25" i="13" s="1"/>
  <c r="U14" i="9" s="1"/>
  <c r="AR23" i="13"/>
  <c r="AP23" i="13"/>
  <c r="AN23" i="13"/>
  <c r="AL23" i="13"/>
  <c r="AJ23" i="13"/>
  <c r="AQ23" i="13"/>
  <c r="AM23" i="13"/>
  <c r="AS23" i="13"/>
  <c r="AK23" i="13"/>
  <c r="AO23" i="13"/>
  <c r="I23" i="13"/>
  <c r="I25" i="13" s="1"/>
  <c r="U23" i="13"/>
  <c r="U25" i="13" s="1"/>
  <c r="AG23" i="13"/>
  <c r="AG25" i="13" s="1"/>
  <c r="AA23" i="13"/>
  <c r="AA25" i="13" s="1"/>
  <c r="O23" i="13"/>
  <c r="O25" i="13" s="1"/>
  <c r="S14" i="9" l="1"/>
  <c r="N27" i="13"/>
  <c r="AL25" i="13"/>
  <c r="AN25" i="13" l="1"/>
  <c r="S28" i="13" l="1"/>
  <c r="X29" i="13" s="1"/>
  <c r="Q14" i="9" s="1"/>
  <c r="L27" i="13"/>
  <c r="AO25" i="13"/>
  <c r="A28" i="13" l="1"/>
  <c r="AP25" i="13"/>
  <c r="AQ25" i="13" s="1"/>
  <c r="A27" i="13"/>
  <c r="A29" i="13" l="1"/>
  <c r="AF27" i="13"/>
  <c r="A30" i="13" l="1"/>
  <c r="D30" i="13"/>
  <c r="D29" i="13"/>
  <c r="D41" i="13" l="1"/>
  <c r="E40" i="1"/>
  <c r="S40" i="13"/>
  <c r="AO27" i="13" l="1"/>
  <c r="AP27" i="13" s="1"/>
  <c r="AR27" i="13" s="1"/>
  <c r="I14" i="9"/>
  <c r="I84" i="8"/>
  <c r="J15" i="9" s="1"/>
  <c r="AQ27" i="13" l="1"/>
  <c r="N14" i="9"/>
  <c r="P14" i="9"/>
  <c r="O14" i="9"/>
  <c r="A11" i="10"/>
  <c r="D11" i="10" s="1"/>
  <c r="D12" i="10" s="1"/>
  <c r="H12" i="10" s="1"/>
  <c r="A5" i="11" s="1"/>
  <c r="M27" i="3"/>
  <c r="M28" i="3"/>
  <c r="M29" i="3"/>
  <c r="M30" i="3"/>
  <c r="M31" i="3"/>
  <c r="M32" i="3"/>
  <c r="M33" i="3"/>
  <c r="M34" i="3"/>
  <c r="M35" i="3"/>
  <c r="M36" i="3"/>
  <c r="M37" i="3"/>
  <c r="M38" i="3"/>
  <c r="M39" i="3"/>
  <c r="M40" i="3"/>
  <c r="M41" i="3"/>
  <c r="M42" i="3"/>
  <c r="M43" i="3"/>
  <c r="M44" i="3"/>
  <c r="M45" i="3"/>
  <c r="M46" i="3"/>
  <c r="M47" i="3"/>
  <c r="M48" i="3"/>
  <c r="M49" i="3"/>
  <c r="M50" i="3"/>
  <c r="M51" i="3"/>
  <c r="M26" i="3"/>
  <c r="M25" i="3"/>
  <c r="M24" i="3"/>
  <c r="L48" i="1" s="1"/>
  <c r="H50" i="1" s="1"/>
  <c r="A13" i="10" s="1"/>
  <c r="D13" i="10" s="1"/>
  <c r="H13" i="10" s="1"/>
  <c r="A6" i="11" s="1"/>
  <c r="M23" i="3"/>
  <c r="E14" i="9" l="1"/>
  <c r="L14" i="9"/>
  <c r="C14" i="9" s="1"/>
  <c r="L53" i="1"/>
  <c r="L52" i="1"/>
  <c r="F49" i="1"/>
  <c r="L49" i="1"/>
  <c r="M49" i="1" s="1"/>
  <c r="G50" i="1"/>
  <c r="D84" i="8" l="1"/>
  <c r="J9" i="9" s="1"/>
  <c r="I8" i="9"/>
  <c r="N8" i="9" s="1"/>
  <c r="I53" i="1"/>
  <c r="I50" i="1"/>
  <c r="M48" i="1"/>
  <c r="H22" i="1" s="1"/>
  <c r="F20" i="1"/>
  <c r="P8" i="9" l="1"/>
  <c r="O8" i="9"/>
  <c r="E8" i="9" s="1"/>
  <c r="H23" i="1"/>
  <c r="L25" i="1"/>
  <c r="L8" i="9" l="1"/>
  <c r="G35" i="1"/>
  <c r="E27" i="1" l="1"/>
  <c r="F27" i="1" s="1"/>
  <c r="D27" i="1"/>
  <c r="J19" i="1" l="1"/>
  <c r="G18" i="1"/>
  <c r="L40" i="1" l="1"/>
  <c r="J38" i="1"/>
  <c r="E24" i="1"/>
  <c r="L14" i="1" l="1"/>
  <c r="C16" i="1"/>
  <c r="G59" i="1" l="1"/>
  <c r="C7" i="1"/>
  <c r="R1" i="13" s="1"/>
  <c r="F1" i="8" l="1"/>
  <c r="M3" i="9"/>
  <c r="L1" i="5"/>
  <c r="G16" i="1"/>
  <c r="H16" i="1" l="1"/>
  <c r="E28" i="1" s="1"/>
  <c r="E30" i="1"/>
  <c r="F30" i="1" s="1"/>
  <c r="J3" i="3"/>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D4" i="3"/>
  <c r="L44" i="1" l="1"/>
  <c r="F18" i="1"/>
  <c r="E18" i="1"/>
  <c r="C18" i="1" l="1"/>
  <c r="I4" i="9" s="1"/>
  <c r="D19" i="1" l="1"/>
  <c r="I6" i="9" s="1"/>
  <c r="N6" i="9"/>
  <c r="A84" i="8"/>
  <c r="J5" i="9" s="1"/>
  <c r="L18" i="1"/>
  <c r="BD39" i="13" l="1"/>
  <c r="Z42" i="13" s="1"/>
  <c r="B84" i="8"/>
  <c r="J7" i="9" s="1"/>
  <c r="P6" i="9" s="1"/>
  <c r="O6" i="9"/>
  <c r="P4" i="9"/>
  <c r="O4" i="9"/>
  <c r="C59" i="1"/>
  <c r="I5" i="9"/>
  <c r="E58" i="1"/>
  <c r="G6" i="1"/>
  <c r="I58" i="1" l="1"/>
  <c r="H59" i="1"/>
  <c r="N4" i="9"/>
  <c r="K5" i="9"/>
  <c r="A19" i="10"/>
  <c r="L4" i="9"/>
  <c r="L6" i="9"/>
  <c r="L59" i="1"/>
  <c r="C19" i="1"/>
  <c r="E20" i="1"/>
  <c r="L37" i="1"/>
  <c r="D24" i="1"/>
  <c r="M12" i="9" s="1"/>
  <c r="D3" i="3"/>
  <c r="F2" i="3"/>
  <c r="F3" i="3" s="1"/>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G36" i="1" l="1"/>
  <c r="F36" i="1"/>
  <c r="F120" i="3"/>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C23" i="1" l="1"/>
  <c r="E26" i="1" s="1"/>
  <c r="E36" i="1"/>
  <c r="F37" i="1"/>
  <c r="B24" i="1" l="1"/>
  <c r="E29" i="1"/>
  <c r="E33" i="1" s="1"/>
  <c r="F84" i="8" l="1"/>
  <c r="E41" i="1"/>
  <c r="I10" i="9"/>
  <c r="N10" i="9" s="1"/>
  <c r="V10" i="9" s="1"/>
  <c r="A9" i="10" l="1"/>
  <c r="D16" i="10"/>
  <c r="D17" i="10" l="1"/>
  <c r="H16" i="10" s="1"/>
  <c r="A9" i="11" s="1"/>
  <c r="C6" i="9" l="1"/>
  <c r="U6" i="9" s="1"/>
  <c r="E6" i="9" s="1"/>
  <c r="D14" i="10" l="1"/>
  <c r="H14" i="10" s="1"/>
  <c r="A7" i="11" s="1"/>
  <c r="D15" i="10" l="1"/>
  <c r="H15" i="10" s="1"/>
  <c r="A8" i="11" s="1"/>
  <c r="C4" i="9"/>
  <c r="U4" i="9" s="1"/>
  <c r="V4" i="9" l="1"/>
  <c r="E4" i="9" s="1"/>
  <c r="D8" i="10"/>
  <c r="H10" i="10" s="1"/>
  <c r="A3" i="11" s="1"/>
  <c r="D19" i="10" l="1"/>
  <c r="H17" i="10" s="1"/>
  <c r="A10" i="11" s="1"/>
  <c r="N2" i="9" l="1"/>
  <c r="P20" i="9" s="1"/>
  <c r="O20" i="9" l="1"/>
  <c r="D9" i="10"/>
  <c r="D10" i="10" s="1"/>
  <c r="C8" i="9"/>
  <c r="L20" i="9" l="1"/>
  <c r="U20" i="9" s="1"/>
  <c r="E20" i="9" s="1"/>
  <c r="H11" i="10"/>
  <c r="A4" i="11" s="1"/>
  <c r="D24" i="10"/>
  <c r="C20" i="9" l="1"/>
  <c r="J13" i="9" l="1"/>
  <c r="O12" i="9" l="1"/>
  <c r="P12" i="9"/>
  <c r="L12" i="9" l="1"/>
  <c r="U12" i="9" s="1"/>
  <c r="E12" i="9" s="1"/>
  <c r="C12" i="9"/>
  <c r="F85" i="8"/>
  <c r="J11" i="9"/>
  <c r="P10" i="9" s="1"/>
  <c r="L10" i="9" l="1"/>
  <c r="C10" i="9"/>
  <c r="G2" i="9"/>
  <c r="L2" i="9"/>
  <c r="B22" i="9" s="1"/>
  <c r="G22" i="9" s="1"/>
  <c r="U10" i="9"/>
  <c r="E10" i="9" s="1"/>
  <c r="B2" i="9" l="1"/>
</calcChain>
</file>

<file path=xl/comments1.xml><?xml version="1.0" encoding="utf-8"?>
<comments xmlns="http://schemas.openxmlformats.org/spreadsheetml/2006/main">
  <authors>
    <author>Flatz Johannes</author>
    <author>Flatz</author>
  </authors>
  <commentList>
    <comment ref="T6" authorId="0" shapeId="0">
      <text>
        <r>
          <rPr>
            <sz val="9"/>
            <color indexed="81"/>
            <rFont val="Tahoma"/>
            <family val="2"/>
          </rPr>
          <t>Diese Abstufungen stehen im Zusammenhang mit den 
schulautonomen Gestaltungsmöglichkeiten der Schülerbetreuung</t>
        </r>
      </text>
    </comment>
    <comment ref="A40" authorId="1" shapeId="0">
      <text>
        <r>
          <rPr>
            <sz val="9"/>
            <color indexed="81"/>
            <rFont val="Segoe UI"/>
            <family val="2"/>
          </rPr>
          <t>Hier werden Stunden angezeigt, nachdem 
zuvor im Blatt "Konti VS" in den Zellen j12 
bis j16 die Klassen eingetragen wurden.
Zu beachten:  Genehmigung bei BilDi 
muss eingeholt sein/werden!</t>
        </r>
      </text>
    </comment>
  </commentList>
</comments>
</file>

<file path=xl/sharedStrings.xml><?xml version="1.0" encoding="utf-8"?>
<sst xmlns="http://schemas.openxmlformats.org/spreadsheetml/2006/main" count="575" uniqueCount="416">
  <si>
    <t>SKZ</t>
  </si>
  <si>
    <t>Schulname</t>
  </si>
  <si>
    <t>Schulstufe</t>
  </si>
  <si>
    <t>Köpfe</t>
  </si>
  <si>
    <t>ao-u</t>
  </si>
  <si>
    <t>ao-m</t>
  </si>
  <si>
    <t>SPF</t>
  </si>
  <si>
    <t>spf</t>
  </si>
  <si>
    <t xml:space="preserve">Stundenkontingente </t>
  </si>
  <si>
    <t>SuS</t>
  </si>
  <si>
    <t>= Schülerinnen und Schüler</t>
  </si>
  <si>
    <t>aus Kopfquote</t>
  </si>
  <si>
    <t>Bezeichnung aus Präs/3</t>
  </si>
  <si>
    <t>Schulkennzahl</t>
  </si>
  <si>
    <t>Sozial-Zuschlag</t>
  </si>
  <si>
    <t>Zwischensumme:</t>
  </si>
  <si>
    <t>Stundenkontingent:</t>
  </si>
  <si>
    <t>Anmerkungen der Schule:</t>
  </si>
  <si>
    <t xml:space="preserve">Klassenzahl: </t>
  </si>
  <si>
    <t xml:space="preserve">  berechnet</t>
  </si>
  <si>
    <t>Extra-Antrag im Ausmaß von..</t>
  </si>
  <si>
    <t>Autonome KL ausgleichen Einre:Unterr</t>
  </si>
  <si>
    <t>..an einer Polytechnischen Schule in Vbg</t>
  </si>
  <si>
    <t xml:space="preserve"> 0 - 30</t>
  </si>
  <si>
    <t xml:space="preserve"> 31 - 100</t>
  </si>
  <si>
    <t xml:space="preserve"> 101 - 333</t>
  </si>
  <si>
    <t xml:space="preserve">in Stufe 9. </t>
  </si>
  <si>
    <t>unter-
stufig</t>
  </si>
  <si>
    <r>
      <rPr>
        <sz val="12"/>
        <color theme="1"/>
        <rFont val="Calibri"/>
        <family val="2"/>
      </rPr>
      <t>Betrachtung und</t>
    </r>
    <r>
      <rPr>
        <b/>
        <sz val="12"/>
        <color theme="1"/>
        <rFont val="Calibri"/>
        <family val="2"/>
      </rPr>
      <t xml:space="preserve"> Berechnung für den Schulstandort:</t>
    </r>
  </si>
  <si>
    <t xml:space="preserve">  ..und auch unterstufig</t>
  </si>
  <si>
    <t>80xxxx</t>
  </si>
  <si>
    <t>PTS  . . .</t>
  </si>
  <si>
    <t>PTS Bludenz</t>
  </si>
  <si>
    <t>PTS Montafon</t>
  </si>
  <si>
    <t>PTS Thüringen</t>
  </si>
  <si>
    <t>PTS Bregenz</t>
  </si>
  <si>
    <t>PTS Bezau</t>
  </si>
  <si>
    <t>PTS Lauterach</t>
  </si>
  <si>
    <t>PTS Kleinwalsertal</t>
  </si>
  <si>
    <t>PTS Dornbirn</t>
  </si>
  <si>
    <t>PTS Rankweil</t>
  </si>
  <si>
    <t>PTS Feldkirch</t>
  </si>
  <si>
    <t xml:space="preserve"> PTS . . .</t>
  </si>
  <si>
    <t>Die Unterstufigen werden weitergezählt zu den SPF ..</t>
  </si>
  <si>
    <t>KHZ = 25,0 &gt;&gt; 23,6</t>
  </si>
  <si>
    <t>für unterstufige SuS  .. nach Sozioökonomie</t>
  </si>
  <si>
    <t xml:space="preserve"> Klassen eingerichtet</t>
  </si>
  <si>
    <t xml:space="preserve"> SuS </t>
  </si>
  <si>
    <t>Für GTS in getrennter Abfolge</t>
  </si>
  <si>
    <t>Wochenstunden ganzjährig</t>
  </si>
  <si>
    <t>WoStden für die Unterrichtserteilung</t>
  </si>
  <si>
    <t>Zuschlag:  SPF-SuS</t>
  </si>
  <si>
    <t>Nur möglich bei gemeinsamem Schulsprengel an VS oder PTS</t>
  </si>
  <si>
    <t>Zum 'Ausgleich' im gemeinsamen Sprengel:</t>
  </si>
  <si>
    <t>Alles über 6 Stden für ao-u gibt einen Zuschlag</t>
  </si>
  <si>
    <t>Übertrag aus vorstehenden Zeilen:</t>
  </si>
  <si>
    <t>Konti22</t>
  </si>
  <si>
    <t>PTS Hittisau (= KL bei MS)</t>
  </si>
  <si>
    <t>Ganztägige Schulform</t>
  </si>
  <si>
    <t xml:space="preserve">… laut SchOG   an der  </t>
  </si>
  <si>
    <t xml:space="preserve">GLZ </t>
  </si>
  <si>
    <t>ILZ &gt;&gt;*2</t>
  </si>
  <si>
    <t xml:space="preserve">… mit einer verpflichtend durchgehenden Anwesenheit der angemeldeten Schüler </t>
  </si>
  <si>
    <t>bis mindestens 16:00 Uhr  an betreuten Nachmittagen.</t>
  </si>
  <si>
    <t>siehe dazu:</t>
  </si>
  <si>
    <t>http://www2.vobs.at/ftp-pub/allgemein/formulare/GTS.PDF</t>
  </si>
  <si>
    <t xml:space="preserve">..und </t>
  </si>
  <si>
    <t xml:space="preserve">Wochentag:  </t>
  </si>
  <si>
    <t>Montag</t>
  </si>
  <si>
    <t>Dienstag</t>
  </si>
  <si>
    <t>Mittwoch</t>
  </si>
  <si>
    <t>Donnerstag</t>
  </si>
  <si>
    <t>Freitag</t>
  </si>
  <si>
    <t>Uhrzeit:</t>
  </si>
  <si>
    <t>Schülerzahl</t>
  </si>
  <si>
    <t>in</t>
  </si>
  <si>
    <t>von</t>
  </si>
  <si>
    <t>bis</t>
  </si>
  <si>
    <t>GL</t>
  </si>
  <si>
    <t>IL</t>
  </si>
  <si>
    <t>Datum</t>
  </si>
  <si>
    <t>GTS in verschränkten Klassen:</t>
  </si>
  <si>
    <t>Anmerkung:</t>
  </si>
  <si>
    <t xml:space="preserve">Gru.GL </t>
  </si>
  <si>
    <t xml:space="preserve">Gru.IL </t>
  </si>
  <si>
    <t xml:space="preserve">zus. </t>
  </si>
  <si>
    <t xml:space="preserve">1/3 </t>
  </si>
  <si>
    <r>
      <t xml:space="preserve">In Getrennter Abfolge </t>
    </r>
    <r>
      <rPr>
        <u/>
        <sz val="12"/>
        <rFont val="Calibri"/>
        <family val="2"/>
        <scheme val="minor"/>
      </rPr>
      <t>teilnehmende Schüler</t>
    </r>
    <r>
      <rPr>
        <sz val="12"/>
        <rFont val="Calibri"/>
        <family val="2"/>
        <scheme val="minor"/>
      </rPr>
      <t xml:space="preserve">: </t>
    </r>
    <r>
      <rPr>
        <sz val="2"/>
        <rFont val="Calibri"/>
        <family val="2"/>
        <scheme val="minor"/>
      </rPr>
      <t>'</t>
    </r>
  </si>
  <si>
    <r>
      <rPr>
        <sz val="12"/>
        <rFont val="Calibri"/>
        <family val="2"/>
        <scheme val="minor"/>
      </rPr>
      <t xml:space="preserve">Einteilung der </t>
    </r>
    <r>
      <rPr>
        <b/>
        <sz val="12"/>
        <rFont val="Calibri"/>
        <family val="2"/>
        <scheme val="minor"/>
      </rPr>
      <t>'</t>
    </r>
    <r>
      <rPr>
        <b/>
        <u/>
        <sz val="12"/>
        <rFont val="Calibri"/>
        <family val="2"/>
        <scheme val="minor"/>
      </rPr>
      <t>Lernzeiten' in getrennter Form</t>
    </r>
    <r>
      <rPr>
        <b/>
        <sz val="12"/>
        <rFont val="Calibri"/>
        <family val="2"/>
        <scheme val="minor"/>
      </rPr>
      <t>:</t>
    </r>
  </si>
  <si>
    <t>IT-Arbeitsplätze:</t>
  </si>
  <si>
    <t>angeschl.</t>
  </si>
  <si>
    <t>.. außer bei den angeschl.</t>
  </si>
  <si>
    <t>PTS Hittisau</t>
  </si>
  <si>
    <t>..für die Unterrichtserteilung</t>
  </si>
  <si>
    <t>Einrechnungen</t>
  </si>
  <si>
    <t>=  schulbezogene Verminderungen der Unterrichtsverpflichtung</t>
  </si>
  <si>
    <r>
      <t>Zahl der</t>
    </r>
    <r>
      <rPr>
        <b/>
        <sz val="12"/>
        <rFont val="Calibri"/>
        <family val="2"/>
        <scheme val="minor"/>
      </rPr>
      <t xml:space="preserve"> </t>
    </r>
    <r>
      <rPr>
        <b/>
        <u/>
        <sz val="12"/>
        <rFont val="Calibri"/>
        <family val="2"/>
        <scheme val="minor"/>
      </rPr>
      <t>IT-Arbeitsplätze</t>
    </r>
  </si>
  <si>
    <t xml:space="preserve"> …für die Verwendung im Unterricht</t>
  </si>
  <si>
    <t xml:space="preserve">GTS - </t>
  </si>
  <si>
    <t>..für die Lernzeiten GLZ, ILZ</t>
  </si>
  <si>
    <t>Ltg</t>
  </si>
  <si>
    <t>Altr.</t>
  </si>
  <si>
    <t>Schulleitung:</t>
  </si>
  <si>
    <t xml:space="preserve">Die Direktorin /der Direktor ..  </t>
  </si>
  <si>
    <t xml:space="preserve"> ist im Altrecht angestellt (meist L2a2)</t>
  </si>
  <si>
    <t>a</t>
  </si>
  <si>
    <t xml:space="preserve"> ist im PD-Schema eingestuft</t>
  </si>
  <si>
    <t>b</t>
  </si>
  <si>
    <t xml:space="preserve">Berechnung mit </t>
  </si>
  <si>
    <t>Leitung</t>
  </si>
  <si>
    <t xml:space="preserve"> Klassen *1,5</t>
  </si>
  <si>
    <t>GTS</t>
  </si>
  <si>
    <t>leitet diese Klassen als angeschlossene</t>
  </si>
  <si>
    <t>c</t>
  </si>
  <si>
    <t>hat anderswo ihre/seine Stammschule</t>
  </si>
  <si>
    <t xml:space="preserve">der Jahresnorm von 20: </t>
  </si>
  <si>
    <t xml:space="preserve">Berechnung für PD: </t>
  </si>
  <si>
    <t xml:space="preserve"> Erfolgt nach den Vollbeschäftigungsäquivalenten [VBÄ]</t>
  </si>
  <si>
    <t>freig. ab 10,0 VBÄ,  12 WoStd ab 5,0 VBÄ,  darunter 6 WoStd</t>
  </si>
  <si>
    <t>zum 30. September des vorangegangenen Schuljahres.</t>
  </si>
  <si>
    <t>Assistenz</t>
  </si>
  <si>
    <t>=  schulische Assistenz       ..laut gesondertem Tabellenblatt &lt;Assistenz&gt;</t>
  </si>
  <si>
    <t xml:space="preserve">Beantragt sind:  </t>
  </si>
  <si>
    <t xml:space="preserve">Weitere Einrechnung für </t>
  </si>
  <si>
    <t>Schulische Assistenz</t>
  </si>
  <si>
    <t>Anzahl WoStunden 
für die Assistenz 
im Unterricht</t>
  </si>
  <si>
    <t xml:space="preserve">Anzahl WoStunden 
für die Assistenz im 
GTS-Freizeitbereich </t>
  </si>
  <si>
    <t xml:space="preserve">pflegerische, therapeut. 
-funktionale, u. lernun- 
terstützende Assistenz </t>
  </si>
  <si>
    <t xml:space="preserve">für erzieherische und 
lernunterstützende 
Assistenz </t>
  </si>
  <si>
    <t>Anzahl</t>
  </si>
  <si>
    <t>Klasse</t>
  </si>
  <si>
    <t>der SuS
 in d. KL</t>
  </si>
  <si>
    <t>Name d. SchülerIn</t>
  </si>
  <si>
    <t>Schul-stufe</t>
  </si>
  <si>
    <t>lfd.</t>
  </si>
  <si>
    <t xml:space="preserve">  SPF</t>
  </si>
  <si>
    <t xml:space="preserve">  nein</t>
  </si>
  <si>
    <t>beantragt</t>
  </si>
  <si>
    <t xml:space="preserve">   -</t>
  </si>
  <si>
    <r>
      <t xml:space="preserve">für Assistenzleistung im </t>
    </r>
    <r>
      <rPr>
        <b/>
        <sz val="11"/>
        <rFont val="Calibri"/>
        <family val="2"/>
        <scheme val="minor"/>
      </rPr>
      <t>Unterricht</t>
    </r>
  </si>
  <si>
    <t>Wochenstunden</t>
  </si>
  <si>
    <r>
      <t xml:space="preserve">für Assistenzleistung im </t>
    </r>
    <r>
      <rPr>
        <b/>
        <sz val="11"/>
        <rFont val="Calibri"/>
        <family val="2"/>
        <scheme val="minor"/>
      </rPr>
      <t>Freizeitbereich (GTS)</t>
    </r>
  </si>
  <si>
    <t>Anmerkungen:</t>
  </si>
  <si>
    <t xml:space="preserve"> zum Beispiel: </t>
  </si>
  <si>
    <t>Apfel Arnold</t>
  </si>
  <si>
    <t>X</t>
  </si>
  <si>
    <t>Beere Berta</t>
  </si>
  <si>
    <t>Dattel Dieter</t>
  </si>
  <si>
    <t>x</t>
  </si>
  <si>
    <t>1.H</t>
  </si>
  <si>
    <t>1.D</t>
  </si>
  <si>
    <t>Religionsunterricht röm.-kath.</t>
  </si>
  <si>
    <t xml:space="preserve"> mit gesamt</t>
  </si>
  <si>
    <t>Klassen bzw Gruppen</t>
  </si>
  <si>
    <t xml:space="preserve"> .. im Rahmen der Vorgaben des Religionsunterrichtsgesetzes.</t>
  </si>
  <si>
    <t>Wochenstden  in</t>
  </si>
  <si>
    <t>ODER:</t>
  </si>
  <si>
    <t xml:space="preserve">Es wird </t>
  </si>
  <si>
    <t>KEIN  Religionsunterricht abgehalten an der Schule</t>
  </si>
  <si>
    <t>Maßgeblicher Stichtag ist der 2. Montag des Unterrichtsjahres</t>
  </si>
  <si>
    <t>. . .</t>
  </si>
  <si>
    <t>Tabellenblatt</t>
  </si>
  <si>
    <t>vor vobs-Scharfstellen der EÖ-Meldung, und wieder nach den EÖ-Meldungen, vor/mit vobs-Bedarf ..</t>
  </si>
  <si>
    <t xml:space="preserve">vor Bedarfserhebung, danach aus eingereichter BedErh, dann nach den Leiterbestellungen und nochmals </t>
  </si>
  <si>
    <t xml:space="preserve">Hier soll mehrfach jährlich der aktuelle Datenstand abgeglichen werden. </t>
  </si>
  <si>
    <t xml:space="preserve">Die Schulbezeichnungen wurden von Tobi mit Sokrates und SAP abgestimmt, </t>
  </si>
  <si>
    <t>angeschlossene KL:</t>
  </si>
  <si>
    <t>..wobei bei angeschlossenen KL keine (weitere) Einrechnung (am Standort) vorgesehen ist.</t>
  </si>
  <si>
    <t>Die Assistenzleistung im GTS-Freizeitbereich kann NIEMALS über ein Präs/3-Dienstverhältnis finanziert werden.</t>
  </si>
  <si>
    <t>..unabhängig davon, welches Personal diese Stunden abdecken wird.</t>
  </si>
  <si>
    <t xml:space="preserve">Hier sollen die notwendigen Stunden zur Gänze eingetragen werden, </t>
  </si>
  <si>
    <t>das hier ermittelte Ergebnis ist lediglich ein Schätz-/Annäherungswert!</t>
  </si>
  <si>
    <t xml:space="preserve"> ..für die Leiter-Verminderung im Altrecht ist das Sokrates-Ergebnis maßgeblich,</t>
  </si>
  <si>
    <t xml:space="preserve">Die berechneten Wochenstunden für die LZ sind verbindlich, </t>
  </si>
  <si>
    <t>die in SOK (mit allen Details) ermittelten Gruppen!</t>
  </si>
  <si>
    <t>Sehr wohl verbindlich ist die hier berechnete Zahl an Wochenstunden!</t>
  </si>
  <si>
    <t xml:space="preserve">Die hier errechnete Anzahl an Gruppen kann von der Gruppenzahl in Sokrates abweichen,  ..maßgeblich sind jedenfalls </t>
  </si>
  <si>
    <t>Die möglichen Höchststunden für g.GTS sollen in unveränderter Großzügigkeit weitergeführt werden.</t>
  </si>
  <si>
    <t>..und hier angezeigt für ein komplettes GTS-Bild der Schule</t>
  </si>
  <si>
    <t>Für die verschränkte Form werden die Stunden hingegen aus dem Konti-Blatt übernommen</t>
  </si>
  <si>
    <t>In diesem Tabellenblatt werden die Stunden für die getrennte Form festgestellt - wie bisher in Aufbau und Ausmaß</t>
  </si>
  <si>
    <t>Hier kann noch beliebiger Text/Antrag/Hinweis ergänzt werden ..</t>
  </si>
  <si>
    <t xml:space="preserve"> - " -</t>
  </si>
  <si>
    <t>Hellgraue Schriftfarbe, wenn nicht in PD eingestuft</t>
  </si>
  <si>
    <t>So weit gerechnet werden kann, ist hier die Unterri.Verpflichtung angezeigt</t>
  </si>
  <si>
    <t>Es kann mit den wenigen Daten nicht immer zu-Ende-gerechnet werden, daher manchmal Fragezeigen</t>
  </si>
  <si>
    <t>Wenn Leitung in PD, dann andere Schriftfarbe und nur wenige Einträge</t>
  </si>
  <si>
    <t>Hier sollen nicht Einzel-Einrechnungen der eigenen Lehrer an anderen Schulen eingetragen werden, sondern zB IT-Regionalbetreuung, ARGE</t>
  </si>
  <si>
    <t>..wobei derartige Fälle kaum mehr vorkommen werden!?</t>
  </si>
  <si>
    <t xml:space="preserve">Die Stundenberechnung für g.GTS ist aus den bisherigen Regelungen übernommen. </t>
  </si>
  <si>
    <t>Eine autonome KL-Änderung wirkt nicht (mehr) bei gänzlicher Freistellung und nie bei PD-Leitung!</t>
  </si>
  <si>
    <t>Wo und wie zu begründen wäre, wird hier offen gelassen</t>
  </si>
  <si>
    <t>Hier wird die Zwischensumme auf 1 Kommastelle aufgerundet</t>
  </si>
  <si>
    <t>.. auch die -0,5 für IT-Erhöhung scheint hier auf</t>
  </si>
  <si>
    <t xml:space="preserve">Das Ergebnis der Kopfquote wird hier berechnet; </t>
  </si>
  <si>
    <t>Die KL-Anzahl lässt sich hier überschreiben, wenn schulautonom anders beschlossen wurde.</t>
  </si>
  <si>
    <t>..und keineswegs mit der Absicht, etwas einsparen zu wollen.</t>
  </si>
  <si>
    <t>..möglichst gleichlautend wie zuletzt bis 2021/22</t>
  </si>
  <si>
    <t>Die Berechnung der Klassen wird ausschließlich benötigt für die Leitungsverminderung im Altrecht!</t>
  </si>
  <si>
    <t>Bei Eintrag einer nicht-existenten SKZ erscheint möglicherweise der Schulname der nächstniedrigeren SKZ</t>
  </si>
  <si>
    <t>Diese Zelle soll ausgewählt sein, dann gibt's den Hilfetext zum Befüllen</t>
  </si>
  <si>
    <t>gesonderte Mappen mit geringen Abweichungen  "zur Bedarfsplanung" im Frühjahr und "zum Schulstart" im Herbst</t>
  </si>
  <si>
    <t>pro Schultyp gesondert = in vier Varianten</t>
  </si>
  <si>
    <t>Excel-Mappe für die Berechnung der Stundenressourcen pro Einzelschule, in dieser Form begonnen im Frühjahr 2022 (ab dem Schuljahr 2022/23)</t>
  </si>
  <si>
    <t>In c16 werden behördenseits die möglichen/vorgesehenen KL berechnet</t>
  </si>
  <si>
    <t>In dieser Zeile sind alle SuS anzuführen</t>
  </si>
  <si>
    <t>Alt+F11, unter Eigenschaften&gt;Visible bei verstecktem Tabellenblatt die Einstellung ändern zum Einblenden</t>
  </si>
  <si>
    <t>in Zelle G6 erscheint ein Text, wenn der Schulname anders lautet als der Eintrag aus der Tabelle &lt;BasisP&gt;</t>
  </si>
  <si>
    <t>Zum Chancen-/Sozial-Index ist vereinbart, dass gleichmäßig an alle PTS</t>
  </si>
  <si>
    <t>(stattdessen) ein Zuschlag bei "Unterstufigkeit" zugerechnet werden soll</t>
  </si>
  <si>
    <t>Eine behördlich genehmigte Änderung der KL-Zahl ..aus der Zelle K44 wird hier einbezogen</t>
  </si>
  <si>
    <t>Es wird die durchschnittliche Anzahl der SuS pro KL angezeigt</t>
  </si>
  <si>
    <t>in DFöKL 20 Stden</t>
  </si>
  <si>
    <t>Für die DFörderung sind vor Ort entsprechende Einteilungen zu treffen</t>
  </si>
  <si>
    <t>&lt;&lt;&lt;Diese Zeile darf nur von Standorten mit gemeinsamem Schulsprengel (dzt Lauterach&amp;Bregenz) eingeblendet und verwendet werden!</t>
  </si>
  <si>
    <t>rechts in j38 wird die GTS-Stundensumme angezeigt  ..nach Einträgen im Tabellenblatt &lt;GTS&gt;</t>
  </si>
  <si>
    <t>..von verschränkten GTS-Klassen wird an PTS bis auf weiteres NICHT ausgegangen!</t>
  </si>
  <si>
    <t>In der Zelle K44 darf die Schule dann eine Ganzzahl eintragen, wenn von Präs/3 genehmigt wurde</t>
  </si>
  <si>
    <t>Ab mittleren Schulgrößen = ab 2,5 kann hier um 0,1 erhöht werden. Das geht dann zulasten des Unterrichts, siehe Zeile 23</t>
  </si>
  <si>
    <t>Hier erscheint der passende Textvorschlag, sofern die Spalte P in Tabelle &lt;BasisP&gt; aktuell gewartet ist</t>
  </si>
  <si>
    <t>BasisP</t>
  </si>
  <si>
    <t>Die Pro-Kopf-Berechnung ist in den Spalten A:F festgelegt</t>
  </si>
  <si>
    <t>Für SPF ist der Stunden-Zuschlag in den Spalten H:J zu finden</t>
  </si>
  <si>
    <t>..und hier wird auch der Zuschlag für die unterstufigen SuS berechnet bzw zur/nach SPF weitergerechnet</t>
  </si>
  <si>
    <t>Die Grundsätze sind in L22:M51 hinterlegt,  orange-textgefärbt in N sind die nicht um 2% gekürzten Werte</t>
  </si>
  <si>
    <t>Aus den Einträgen in L6:L18 kann die Leitungsberechnung im Altrecht abgeleitet werden.</t>
  </si>
  <si>
    <t>die genauen Daten dafür und Relevantes für den Leiter sind festgehalten in den Zellen M6:P18</t>
  </si>
  <si>
    <t>Höherwertung von 0,3 für SuS mit SPF laut Zelle g13 bei KL-Berechnung durch die Behörde in c16</t>
  </si>
  <si>
    <t xml:space="preserve">Hintergrund: </t>
  </si>
  <si>
    <t xml:space="preserve">Was darüber hinaus für eine DFöKL benötigt wird, </t>
  </si>
  <si>
    <t xml:space="preserve">die ersten 6,0 für die DFörderung daraus abzudecken sind. </t>
  </si>
  <si>
    <t>bewirkt einen Zuschlag in der Zeile 27</t>
  </si>
  <si>
    <t xml:space="preserve">Die Kopfquote ist bei PTS bereits sehr hoch angesetzt, sodass </t>
  </si>
  <si>
    <t>..es gab zuletzt nämlich nur 1 Standort mit 1 Rel-Gruppe!</t>
  </si>
  <si>
    <t>Für Religion r.k. ist KEIN eigenes Tabellenblatt vorgesehen bei den PTS!</t>
  </si>
  <si>
    <t xml:space="preserve"> lila </t>
  </si>
  <si>
    <t>..gefärbte Tabellenblätter sollen 'versteckt'-augeblendet sein</t>
  </si>
  <si>
    <t>Berechnung der Stundenressourcen</t>
  </si>
  <si>
    <t>in J7 kann die Versions-Nr angepasst werden, falls Änderungen notwendig wurden</t>
  </si>
  <si>
    <t xml:space="preserve"> Der Schule sind aktuell Stunden genehmigt ..</t>
  </si>
  <si>
    <t>bei Änderungen/zusätzlichen Wünschen wird die Schule unten Anmerkungen zu ergänzen haben.</t>
  </si>
  <si>
    <t xml:space="preserve">Die Stunden müssten in der Region jedenfalls fertig zugewiesen sein, </t>
  </si>
  <si>
    <r>
      <t>zum "Schulstart"</t>
    </r>
    <r>
      <rPr>
        <sz val="13"/>
        <color theme="1"/>
        <rFont val="Calibri"/>
        <family val="2"/>
      </rPr>
      <t xml:space="preserve"> im Herbst</t>
    </r>
  </si>
  <si>
    <t>werden Stunden angeboten:</t>
  </si>
  <si>
    <t xml:space="preserve">für LZ (umgerechnet) bei </t>
  </si>
  <si>
    <t>Meldung zum Schulstart</t>
  </si>
  <si>
    <t xml:space="preserve">Der röm.kath. Religionsunterricht wird abgehalten .. </t>
  </si>
  <si>
    <t>StuR  = Stundenressourcen zum Schulstart</t>
  </si>
  <si>
    <t>Schule</t>
  </si>
  <si>
    <t>Schulleitung</t>
  </si>
  <si>
    <t xml:space="preserve">   Aktive Lehrpersonen</t>
  </si>
  <si>
    <t>Tätigkeiten</t>
  </si>
  <si>
    <t>Stellvertretung der Direktion</t>
  </si>
  <si>
    <t>**bitte hier überschreiben **</t>
  </si>
  <si>
    <r>
      <t>Wochenstunden an</t>
    </r>
    <r>
      <rPr>
        <b/>
        <sz val="10"/>
        <rFont val="Calibri"/>
        <family val="2"/>
        <scheme val="minor"/>
      </rPr>
      <t xml:space="preserve"> anderen Schulen</t>
    </r>
  </si>
  <si>
    <r>
      <t>Alphabet. Aufstellung</t>
    </r>
    <r>
      <rPr>
        <sz val="9"/>
        <rFont val="Arial"/>
        <family val="2"/>
      </rPr>
      <t/>
    </r>
  </si>
  <si>
    <t xml:space="preserve"> Ausmaß der Wochenstunden an dieser Schule</t>
  </si>
  <si>
    <t>Fachkoordinator Schülerberater</t>
  </si>
  <si>
    <t>KV-Ausmaß</t>
  </si>
  <si>
    <r>
      <t xml:space="preserve">LV-Einrechnung </t>
    </r>
    <r>
      <rPr>
        <sz val="8"/>
        <rFont val="Calibri"/>
        <family val="2"/>
        <scheme val="minor"/>
      </rPr>
      <t>(IT, MDM, Bibliothek, Mitverwendungen PH,...)</t>
    </r>
  </si>
  <si>
    <r>
      <rPr>
        <b/>
        <u/>
        <sz val="9"/>
        <rFont val="Calibri"/>
        <family val="2"/>
        <scheme val="minor"/>
      </rPr>
      <t>zuerst:</t>
    </r>
    <r>
      <rPr>
        <sz val="9"/>
        <rFont val="Calibri"/>
        <family val="2"/>
        <scheme val="minor"/>
      </rPr>
      <t xml:space="preserve">
    Eigene Aktive (Stammschule)
</t>
    </r>
    <r>
      <rPr>
        <b/>
        <u/>
        <sz val="9"/>
        <rFont val="Calibri"/>
        <family val="2"/>
        <scheme val="minor"/>
      </rPr>
      <t>dann:</t>
    </r>
    <r>
      <rPr>
        <sz val="9"/>
        <rFont val="Calibri"/>
        <family val="2"/>
        <scheme val="minor"/>
      </rPr>
      <t xml:space="preserve">   
Lehrpersonen von anderer Schule, 
    k.b. Religionslehrer (röm.kath.)</t>
    </r>
  </si>
  <si>
    <t>Mathe, Deutsch Leb.Fremdsprache</t>
  </si>
  <si>
    <t xml:space="preserve">GTS - Lernzeiten </t>
  </si>
  <si>
    <r>
      <t>Assistenz</t>
    </r>
    <r>
      <rPr>
        <sz val="8"/>
        <rFont val="Calibri"/>
        <family val="2"/>
        <scheme val="minor"/>
      </rPr>
      <t xml:space="preserve"> 
durch Lehrpersonen</t>
    </r>
  </si>
  <si>
    <t>r.k. Religion</t>
  </si>
  <si>
    <t>Quersumme Unterricht</t>
  </si>
  <si>
    <r>
      <t>Bspw. Klassenführung voll=</t>
    </r>
    <r>
      <rPr>
        <b/>
        <sz val="11"/>
        <color rgb="FF00B050"/>
        <rFont val="Calibri"/>
        <family val="2"/>
        <scheme val="minor"/>
      </rPr>
      <t>1</t>
    </r>
    <r>
      <rPr>
        <sz val="11"/>
        <rFont val="Calibri"/>
        <family val="2"/>
        <scheme val="minor"/>
      </rPr>
      <t xml:space="preserve"> oder halb=</t>
    </r>
    <r>
      <rPr>
        <b/>
        <sz val="11"/>
        <color rgb="FF00B050"/>
        <rFont val="Calibri"/>
        <family val="2"/>
        <scheme val="minor"/>
      </rPr>
      <t>0,5</t>
    </r>
  </si>
  <si>
    <r>
      <t xml:space="preserve">in Std - bspw. 2 IT + 1 Bib = </t>
    </r>
    <r>
      <rPr>
        <b/>
        <sz val="11"/>
        <color rgb="FF00B050"/>
        <rFont val="Calibri"/>
        <family val="2"/>
        <scheme val="minor"/>
      </rPr>
      <t>3</t>
    </r>
  </si>
  <si>
    <r>
      <rPr>
        <b/>
        <u/>
        <sz val="11"/>
        <rFont val="Calibri"/>
        <family val="2"/>
        <scheme val="minor"/>
      </rPr>
      <t>alphabetisch:</t>
    </r>
    <r>
      <rPr>
        <sz val="11"/>
        <rFont val="Calibri"/>
        <family val="2"/>
        <scheme val="minor"/>
      </rPr>
      <t xml:space="preserve">
Apfel Hans
Birne Franz
…</t>
    </r>
  </si>
  <si>
    <t>in Std</t>
  </si>
  <si>
    <r>
      <t xml:space="preserve">in Std alle </t>
    </r>
    <r>
      <rPr>
        <sz val="11"/>
        <color rgb="FF00B050"/>
        <rFont val="Calibri"/>
        <family val="2"/>
        <scheme val="minor"/>
      </rPr>
      <t>Lernzeiten (GLZ &amp; ILZ)</t>
    </r>
  </si>
  <si>
    <r>
      <t xml:space="preserve">in Std alle </t>
    </r>
    <r>
      <rPr>
        <sz val="11"/>
        <color rgb="FF00B050"/>
        <rFont val="Calibri"/>
        <family val="2"/>
        <scheme val="minor"/>
      </rPr>
      <t>Assistenzstunden durch Lehrpersonen</t>
    </r>
  </si>
  <si>
    <r>
      <t xml:space="preserve">in Std alle </t>
    </r>
    <r>
      <rPr>
        <sz val="11"/>
        <color rgb="FF00B050"/>
        <rFont val="Calibri"/>
        <family val="2"/>
        <scheme val="minor"/>
      </rPr>
      <t>r.k. Stunden an der ausfüllenden Schule</t>
    </r>
  </si>
  <si>
    <t>Wochenstunden an anderer Schule</t>
  </si>
  <si>
    <r>
      <rPr>
        <b/>
        <u/>
        <sz val="11"/>
        <rFont val="Calibri"/>
        <family val="2"/>
        <scheme val="minor"/>
      </rPr>
      <t xml:space="preserve">danach:   </t>
    </r>
    <r>
      <rPr>
        <sz val="11"/>
        <rFont val="Calibri"/>
        <family val="2"/>
        <scheme val="minor"/>
      </rPr>
      <t xml:space="preserve">
Lehrpersonen von anderer Schule, 
    k.b. Religionslehrer (röm.kath.)</t>
    </r>
  </si>
  <si>
    <t xml:space="preserve">Summen  </t>
  </si>
  <si>
    <t>*hier eintragen*</t>
  </si>
  <si>
    <t>Schulische Assistenz durch SAF Personal</t>
  </si>
  <si>
    <t>bzw. durch Lehrpersonal mit der Verwendung "Stütz- und BegleitlehrerInnen"</t>
  </si>
  <si>
    <t>ja</t>
  </si>
  <si>
    <t>nein</t>
  </si>
  <si>
    <t>Konti23</t>
  </si>
  <si>
    <t>max. eine Person pro Bereich (E, D, M)
 + eine Schülerberatung</t>
  </si>
  <si>
    <r>
      <t xml:space="preserve">rest. Gegenstände Werken, EH, </t>
    </r>
    <r>
      <rPr>
        <sz val="8"/>
        <rFont val="Calibri"/>
        <family val="2"/>
        <scheme val="minor"/>
      </rPr>
      <t>BSP,…</t>
    </r>
  </si>
  <si>
    <t>DFö Klassen/Kurs</t>
  </si>
  <si>
    <r>
      <t>Std allen anderen Gegenstände</t>
    </r>
    <r>
      <rPr>
        <sz val="8"/>
        <color rgb="FF00B050"/>
        <rFont val="Calibri"/>
        <family val="2"/>
        <scheme val="minor"/>
      </rPr>
      <t xml:space="preserve"> Werken, EH, Bewegung &amp; Sport, Förderstunden aller Art, Unverbindliche Übungen, …</t>
    </r>
  </si>
  <si>
    <t>in Stunden welche zweckgebunden für die Deutschföderkurse bzw. Klassen zur Verfügung stehen.</t>
  </si>
  <si>
    <t>Passt!</t>
  </si>
  <si>
    <t>Keine Eingabe</t>
  </si>
  <si>
    <t>Passt nicht!</t>
  </si>
  <si>
    <t>Wert aus Konti</t>
  </si>
  <si>
    <t>Kontirest aus
Lehrerblatt</t>
  </si>
  <si>
    <t>1. Prüfung</t>
  </si>
  <si>
    <t>2. Prüfung</t>
  </si>
  <si>
    <t>3. Prüfung</t>
  </si>
  <si>
    <t>4. Prüfung</t>
  </si>
  <si>
    <t>5. Prüfung</t>
  </si>
  <si>
    <t>Fachkoordination</t>
  </si>
  <si>
    <t>Basis</t>
  </si>
  <si>
    <t>Sonstiges</t>
  </si>
  <si>
    <t>BÄM OIDA! Gratuliere Bernhard! Hätte ich nicht gedacht. Schöne Grüße Mäki</t>
  </si>
  <si>
    <t>Sehr Gut.</t>
  </si>
  <si>
    <t>Gut.</t>
  </si>
  <si>
    <t>Befriedigend.</t>
  </si>
  <si>
    <t>Genügend.</t>
  </si>
  <si>
    <t>Nicht genügend.</t>
  </si>
  <si>
    <t xml:space="preserve">Stundenkontingent </t>
  </si>
  <si>
    <t>für den Import nach Sokrates</t>
  </si>
  <si>
    <t>Werte aus EöB</t>
  </si>
  <si>
    <t>Kontingent</t>
  </si>
  <si>
    <t>Konti-ID</t>
  </si>
  <si>
    <t>DFö Klasse/Kurs</t>
  </si>
  <si>
    <t>manuelle Korrektur in Wstd</t>
  </si>
  <si>
    <t>MS-LL</t>
  </si>
  <si>
    <t>Schuljahr;Schulkennzahl;Schultyp;Schule;KO_ID;Kontingent;Von;Bis;Wert;SKZ von;Kontingent von</t>
  </si>
  <si>
    <t>Basis für Konti</t>
  </si>
  <si>
    <t>manuelle Korrektur in Einzelstd</t>
  </si>
  <si>
    <t>GTS für Konti</t>
  </si>
  <si>
    <t>IT Kustos</t>
  </si>
  <si>
    <t>IT MDM pädag./fachlich</t>
  </si>
  <si>
    <t xml:space="preserve">  ..bei MS u. ASO    manuelle Korrektur in Wstd</t>
  </si>
  <si>
    <t>IT MDM technisch</t>
  </si>
  <si>
    <t xml:space="preserve">  ..bei MS               manuelle Korrektur in Wstd</t>
  </si>
  <si>
    <t>Berufsorientierung</t>
  </si>
  <si>
    <t>Bibliothek</t>
  </si>
  <si>
    <t>MS durch Bund</t>
  </si>
  <si>
    <t xml:space="preserve">  ..bei MS          manuelle Korrektur in Wstd</t>
  </si>
  <si>
    <t>SprH und sp.LeFö</t>
  </si>
  <si>
    <t>(alias Sprache) manuelle Korrektur in Wstd</t>
  </si>
  <si>
    <t>SPOOL</t>
  </si>
  <si>
    <t xml:space="preserve">  ..in Einzelstunden eingeben: </t>
  </si>
  <si>
    <t>Summe</t>
  </si>
  <si>
    <t>CI  für VS u. MS</t>
  </si>
  <si>
    <t xml:space="preserve">Untergrenze MS </t>
  </si>
  <si>
    <t>Schuljahr</t>
  </si>
  <si>
    <t>SKZ_BEZEICHNUNG</t>
  </si>
  <si>
    <t>schueler
_anzahl</t>
  </si>
  <si>
    <t>CI</t>
  </si>
  <si>
    <t>CIklasse</t>
  </si>
  <si>
    <t>schulart
_modus</t>
  </si>
  <si>
    <t>erhalter</t>
  </si>
  <si>
    <t>SART
für Konti</t>
  </si>
  <si>
    <t>Schulname
für Konti</t>
  </si>
  <si>
    <t>Bezirk</t>
  </si>
  <si>
    <t>Abzug
IT</t>
  </si>
  <si>
    <t>SB</t>
  </si>
  <si>
    <t xml:space="preserve">Faktor MS </t>
  </si>
  <si>
    <t>Kürzel</t>
  </si>
  <si>
    <t>Sachbearbeiter</t>
  </si>
  <si>
    <t>2018/19</t>
  </si>
  <si>
    <t>öffentlich</t>
  </si>
  <si>
    <t>Gr</t>
  </si>
  <si>
    <t>Markus</t>
  </si>
  <si>
    <t>Bludenz</t>
  </si>
  <si>
    <t>Le</t>
  </si>
  <si>
    <t>Beate</t>
  </si>
  <si>
    <t>LehrerInnen-
stunden</t>
  </si>
  <si>
    <t xml:space="preserve">tatsächlich eingerichtete Gruppen </t>
  </si>
  <si>
    <t>für tatsächlich eingerichtete Gruppen</t>
  </si>
  <si>
    <t>für Gruppenberechnung</t>
  </si>
  <si>
    <t>GL_MO</t>
  </si>
  <si>
    <t>IL_MO</t>
  </si>
  <si>
    <t>GL_DI</t>
  </si>
  <si>
    <t>IL_DI</t>
  </si>
  <si>
    <t>GL_MI</t>
  </si>
  <si>
    <t>IL_MI</t>
  </si>
  <si>
    <t>GL_DO</t>
  </si>
  <si>
    <t>IL_DO</t>
  </si>
  <si>
    <t>GL_FR</t>
  </si>
  <si>
    <t>IL_FR</t>
  </si>
  <si>
    <t>Einheit &lt; 25 min</t>
  </si>
  <si>
    <t>GLZ Einheiten</t>
  </si>
  <si>
    <t>Konti!S85</t>
  </si>
  <si>
    <t>ILZ Einheiten</t>
  </si>
  <si>
    <t>GLZ</t>
  </si>
  <si>
    <t>ILZ</t>
  </si>
  <si>
    <t>verschränkt</t>
  </si>
  <si>
    <t>Gruppen</t>
  </si>
  <si>
    <t>Gerundet</t>
  </si>
  <si>
    <t>Klassen</t>
  </si>
  <si>
    <t>normale Klassen</t>
  </si>
  <si>
    <t>Einrechnung</t>
  </si>
  <si>
    <t>(außer bei Mail-Einreichung:)</t>
  </si>
  <si>
    <t xml:space="preserve">   Unterschrift  [Dir.]</t>
  </si>
  <si>
    <t>zur Verfügung stehende Reststunden in dem entsp. Kontingent</t>
  </si>
  <si>
    <t>Konti für die Unterrichtserteilung laut &lt;Konti_VS&gt; Restkonti</t>
  </si>
  <si>
    <t xml:space="preserve">maßgeblicher Stichtag = Mo </t>
  </si>
  <si>
    <t>laut Genehmigung durch DM/SQM</t>
  </si>
  <si>
    <t xml:space="preserve"> Im Tabellenblatt &lt;Assistenz&gt; sind Einträge </t>
  </si>
  <si>
    <t xml:space="preserve"> vorzunehmen, damit hier Werte aufscheinen </t>
  </si>
  <si>
    <t>PTS</t>
  </si>
  <si>
    <t xml:space="preserve"> Bludenz</t>
  </si>
  <si>
    <t xml:space="preserve"> Montafon</t>
  </si>
  <si>
    <t xml:space="preserve"> Thüringen</t>
  </si>
  <si>
    <t xml:space="preserve"> Bregenz</t>
  </si>
  <si>
    <t xml:space="preserve"> Bezau</t>
  </si>
  <si>
    <t xml:space="preserve"> Lauterach</t>
  </si>
  <si>
    <t xml:space="preserve"> Kleinwalsertal</t>
  </si>
  <si>
    <t xml:space="preserve"> Hittisau</t>
  </si>
  <si>
    <t xml:space="preserve"> Dornbirn</t>
  </si>
  <si>
    <t xml:space="preserve"> Rankweil</t>
  </si>
  <si>
    <t xml:space="preserve"> Feldkirch</t>
  </si>
  <si>
    <t>Bregenz</t>
  </si>
  <si>
    <t>Dornbirn</t>
  </si>
  <si>
    <t>Feldkirch</t>
  </si>
  <si>
    <t>Für verschränkte GTS ist bei PTS hier nichts vorgesorgt!</t>
  </si>
  <si>
    <r>
      <t>Wochenstunden an</t>
    </r>
    <r>
      <rPr>
        <b/>
        <sz val="10"/>
        <rFont val="Calibri"/>
        <family val="2"/>
        <scheme val="minor"/>
      </rPr>
      <t xml:space="preserve"> anderen Schulen </t>
    </r>
    <r>
      <rPr>
        <sz val="10"/>
        <rFont val="Calibri"/>
        <family val="2"/>
        <scheme val="minor"/>
      </rPr>
      <t>inkl. Einrechnungen</t>
    </r>
  </si>
  <si>
    <t>D</t>
  </si>
  <si>
    <t>E</t>
  </si>
  <si>
    <t>M</t>
  </si>
  <si>
    <t>2. Hinweis</t>
  </si>
  <si>
    <t>1. Hinweis</t>
  </si>
  <si>
    <t>3. Hinweis</t>
  </si>
  <si>
    <t>sonst. Rel. + Erstsprachenunter.</t>
  </si>
  <si>
    <r>
      <t xml:space="preserve">in Std alle </t>
    </r>
    <r>
      <rPr>
        <sz val="11"/>
        <color rgb="FF00B050"/>
        <rFont val="Calibri"/>
        <family val="2"/>
        <scheme val="minor"/>
      </rPr>
      <t>sonstigen Religionsstunden + sonst. Rel. + Erstsprachenunter. Stunden an der ausfüllenden Schule</t>
    </r>
  </si>
  <si>
    <r>
      <rPr>
        <sz val="14"/>
        <rFont val="Calibri"/>
        <family val="2"/>
        <scheme val="minor"/>
      </rPr>
      <t>Kommentar</t>
    </r>
    <r>
      <rPr>
        <sz val="16"/>
        <rFont val="Calibri"/>
        <family val="2"/>
        <scheme val="minor"/>
      </rPr>
      <t xml:space="preserve">
</t>
    </r>
    <r>
      <rPr>
        <sz val="10"/>
        <rFont val="Calibri"/>
        <family val="2"/>
        <scheme val="minor"/>
      </rPr>
      <t>Art der Einrechnung, Spezialfunktion (Pädagogische Beratung,..), Institution der Mitverwendung,…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</si>
</sst>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General\ \K\L"/>
    <numFmt numFmtId="166" formatCode="\+\ 0.0;\-\ 0.0"/>
    <numFmt numFmtId="167" formatCode="&quot;davon &quot;0.0"/>
    <numFmt numFmtId="168" formatCode="\á\ \ 0.00"/>
    <numFmt numFmtId="169" formatCode="\+General;\-General"/>
    <numFmt numFmtId="170" formatCode="\+\ General"/>
    <numFmt numFmtId="171" formatCode="0.0%"/>
    <numFmt numFmtId="172" formatCode="General\ "/>
    <numFmt numFmtId="173" formatCode="0;\-0;;@"/>
  </numFmts>
  <fonts count="18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font>
    <font>
      <sz val="14"/>
      <color theme="1"/>
      <name val="Calibri"/>
      <family val="2"/>
    </font>
    <font>
      <sz val="11"/>
      <color theme="1"/>
      <name val="Calibri"/>
      <family val="2"/>
      <scheme val="minor"/>
    </font>
    <font>
      <sz val="11"/>
      <color rgb="FF0070C0"/>
      <name val="Calibri"/>
      <family val="2"/>
    </font>
    <font>
      <sz val="13"/>
      <color theme="1"/>
      <name val="Calibri"/>
      <family val="2"/>
    </font>
    <font>
      <sz val="16"/>
      <color theme="1"/>
      <name val="Calibri"/>
      <family val="2"/>
    </font>
    <font>
      <b/>
      <sz val="12"/>
      <color theme="1"/>
      <name val="Calibri"/>
      <family val="2"/>
    </font>
    <font>
      <sz val="11"/>
      <color rgb="FFC00000"/>
      <name val="Calibri"/>
      <family val="2"/>
    </font>
    <font>
      <sz val="10"/>
      <color rgb="FFC00000"/>
      <name val="Calibri"/>
      <family val="2"/>
    </font>
    <font>
      <sz val="11"/>
      <color theme="0" tint="-0.499984740745262"/>
      <name val="Calibri"/>
      <family val="2"/>
    </font>
    <font>
      <sz val="10"/>
      <name val="Calibri"/>
      <family val="2"/>
    </font>
    <font>
      <sz val="11"/>
      <name val="Calibri"/>
      <family val="2"/>
    </font>
    <font>
      <b/>
      <u/>
      <sz val="12"/>
      <color theme="1"/>
      <name val="Calibri"/>
      <family val="2"/>
    </font>
    <font>
      <i/>
      <sz val="10"/>
      <color theme="0" tint="-0.499984740745262"/>
      <name val="Calibri"/>
      <family val="2"/>
    </font>
    <font>
      <i/>
      <sz val="11"/>
      <color theme="1"/>
      <name val="Calibri"/>
      <family val="2"/>
    </font>
    <font>
      <b/>
      <sz val="11"/>
      <color rgb="FF0070C0"/>
      <name val="Calibri"/>
      <family val="2"/>
    </font>
    <font>
      <sz val="11"/>
      <color rgb="FF7030A0"/>
      <name val="Calibri"/>
      <family val="2"/>
    </font>
    <font>
      <sz val="20"/>
      <color theme="1"/>
      <name val="Calibri"/>
      <family val="2"/>
    </font>
    <font>
      <sz val="4"/>
      <color theme="1"/>
      <name val="Calibri"/>
      <family val="2"/>
    </font>
    <font>
      <sz val="10"/>
      <color theme="1"/>
      <name val="Calibri"/>
      <family val="2"/>
    </font>
    <font>
      <sz val="5"/>
      <color theme="0" tint="-0.499984740745262"/>
      <name val="Calibri"/>
      <family val="2"/>
    </font>
    <font>
      <b/>
      <u/>
      <sz val="11"/>
      <color theme="1"/>
      <name val="Calibri"/>
      <family val="2"/>
    </font>
    <font>
      <sz val="5"/>
      <color theme="1"/>
      <name val="Calibri"/>
      <family val="2"/>
      <scheme val="minor"/>
    </font>
    <font>
      <i/>
      <sz val="8"/>
      <color theme="1"/>
      <name val="Calibri"/>
      <family val="2"/>
    </font>
    <font>
      <i/>
      <sz val="9"/>
      <color theme="1"/>
      <name val="Calibri"/>
      <family val="2"/>
    </font>
    <font>
      <i/>
      <sz val="10"/>
      <name val="Calibri"/>
      <family val="2"/>
    </font>
    <font>
      <b/>
      <sz val="11"/>
      <color rgb="FFC00000"/>
      <name val="Calibri"/>
      <family val="2"/>
    </font>
    <font>
      <sz val="11"/>
      <color theme="0" tint="-0.499984740745262"/>
      <name val="Calibri"/>
      <family val="2"/>
      <scheme val="minor"/>
    </font>
    <font>
      <b/>
      <sz val="14"/>
      <color theme="1"/>
      <name val="Calibri"/>
      <family val="2"/>
    </font>
    <font>
      <sz val="6"/>
      <color theme="0"/>
      <name val="Calibri"/>
      <family val="2"/>
    </font>
    <font>
      <i/>
      <sz val="8"/>
      <color rgb="FF0070C0"/>
      <name val="Calibri"/>
      <family val="2"/>
    </font>
    <font>
      <sz val="11"/>
      <name val="Arial"/>
      <family val="2"/>
    </font>
    <font>
      <u/>
      <sz val="11"/>
      <color indexed="12"/>
      <name val="Arial"/>
      <family val="2"/>
    </font>
    <font>
      <sz val="9"/>
      <color indexed="81"/>
      <name val="Tahoma"/>
      <family val="2"/>
    </font>
    <font>
      <sz val="9"/>
      <color indexed="81"/>
      <name val="Segoe UI"/>
      <family val="2"/>
    </font>
    <font>
      <sz val="24"/>
      <name val="Calibri"/>
      <family val="2"/>
      <scheme val="minor"/>
    </font>
    <font>
      <sz val="11"/>
      <name val="Calibri"/>
      <family val="2"/>
      <scheme val="minor"/>
    </font>
    <font>
      <u/>
      <sz val="18"/>
      <name val="Calibri"/>
      <family val="2"/>
      <scheme val="minor"/>
    </font>
    <font>
      <sz val="8"/>
      <name val="Calibri"/>
      <family val="2"/>
      <scheme val="minor"/>
    </font>
    <font>
      <sz val="9"/>
      <name val="Calibri"/>
      <family val="2"/>
      <scheme val="minor"/>
    </font>
    <font>
      <u/>
      <sz val="8"/>
      <name val="Calibri"/>
      <family val="2"/>
      <scheme val="minor"/>
    </font>
    <font>
      <i/>
      <sz val="11"/>
      <color indexed="62"/>
      <name val="Calibri"/>
      <family val="2"/>
      <scheme val="minor"/>
    </font>
    <font>
      <sz val="10"/>
      <color rgb="FF333399"/>
      <name val="Calibri"/>
      <family val="2"/>
      <scheme val="minor"/>
    </font>
    <font>
      <sz val="11"/>
      <color indexed="62"/>
      <name val="Calibri"/>
      <family val="2"/>
      <scheme val="minor"/>
    </font>
    <font>
      <u/>
      <sz val="11"/>
      <color rgb="FF333399"/>
      <name val="Calibri"/>
      <family val="2"/>
      <scheme val="minor"/>
    </font>
    <font>
      <sz val="14"/>
      <name val="Calibri"/>
      <family val="2"/>
      <scheme val="minor"/>
    </font>
    <font>
      <sz val="12"/>
      <name val="Calibri"/>
      <family val="2"/>
      <scheme val="minor"/>
    </font>
    <font>
      <u/>
      <sz val="12"/>
      <name val="Calibri"/>
      <family val="2"/>
      <scheme val="minor"/>
    </font>
    <font>
      <sz val="2"/>
      <name val="Calibri"/>
      <family val="2"/>
      <scheme val="minor"/>
    </font>
    <font>
      <b/>
      <sz val="12"/>
      <name val="Calibri"/>
      <family val="2"/>
      <scheme val="minor"/>
    </font>
    <font>
      <b/>
      <sz val="11"/>
      <name val="Calibri"/>
      <family val="2"/>
      <scheme val="minor"/>
    </font>
    <font>
      <sz val="10"/>
      <name val="Calibri"/>
      <family val="2"/>
      <scheme val="minor"/>
    </font>
    <font>
      <sz val="8"/>
      <color indexed="12"/>
      <name val="Calibri"/>
      <family val="2"/>
      <scheme val="minor"/>
    </font>
    <font>
      <i/>
      <sz val="8"/>
      <color indexed="60"/>
      <name val="Calibri"/>
      <family val="2"/>
      <scheme val="minor"/>
    </font>
    <font>
      <b/>
      <u/>
      <sz val="12"/>
      <name val="Calibri"/>
      <family val="2"/>
      <scheme val="minor"/>
    </font>
    <font>
      <sz val="8"/>
      <color theme="2" tint="-0.249977111117893"/>
      <name val="Calibri"/>
      <family val="2"/>
      <scheme val="minor"/>
    </font>
    <font>
      <sz val="16"/>
      <name val="Calibri"/>
      <family val="2"/>
      <scheme val="minor"/>
    </font>
    <font>
      <sz val="11"/>
      <color indexed="16"/>
      <name val="Calibri"/>
      <family val="2"/>
      <scheme val="minor"/>
    </font>
    <font>
      <sz val="8"/>
      <color indexed="44"/>
      <name val="Calibri"/>
      <family val="2"/>
      <scheme val="minor"/>
    </font>
    <font>
      <sz val="8"/>
      <color theme="6" tint="0.79998168889431442"/>
      <name val="Calibri"/>
      <family val="2"/>
      <scheme val="minor"/>
    </font>
    <font>
      <sz val="11"/>
      <color indexed="17"/>
      <name val="Calibri"/>
      <family val="2"/>
      <scheme val="minor"/>
    </font>
    <font>
      <sz val="9"/>
      <color indexed="17"/>
      <name val="Calibri"/>
      <family val="2"/>
      <scheme val="minor"/>
    </font>
    <font>
      <sz val="7"/>
      <color indexed="17"/>
      <name val="Calibri"/>
      <family val="2"/>
      <scheme val="minor"/>
    </font>
    <font>
      <sz val="9"/>
      <color indexed="12"/>
      <name val="Calibri"/>
      <family val="2"/>
      <scheme val="minor"/>
    </font>
    <font>
      <sz val="9"/>
      <color indexed="16"/>
      <name val="Calibri"/>
      <family val="2"/>
      <scheme val="minor"/>
    </font>
    <font>
      <sz val="8"/>
      <color theme="0"/>
      <name val="Calibri"/>
      <family val="2"/>
      <scheme val="minor"/>
    </font>
    <font>
      <sz val="8"/>
      <color rgb="FF0070C0"/>
      <name val="Calibri"/>
      <family val="2"/>
      <scheme val="minor"/>
    </font>
    <font>
      <sz val="6"/>
      <name val="Calibri"/>
      <family val="2"/>
      <scheme val="minor"/>
    </font>
    <font>
      <b/>
      <sz val="14"/>
      <name val="Calibri"/>
      <family val="2"/>
      <scheme val="minor"/>
    </font>
    <font>
      <sz val="11"/>
      <color indexed="12"/>
      <name val="Calibri"/>
      <family val="2"/>
      <scheme val="minor"/>
    </font>
    <font>
      <b/>
      <sz val="9"/>
      <name val="Calibri"/>
      <family val="2"/>
      <scheme val="minor"/>
    </font>
    <font>
      <i/>
      <sz val="11"/>
      <name val="Calibri"/>
      <family val="2"/>
      <scheme val="minor"/>
    </font>
    <font>
      <sz val="8"/>
      <color rgb="FF0000FF"/>
      <name val="Calibri"/>
      <family val="2"/>
      <scheme val="minor"/>
    </font>
    <font>
      <sz val="11"/>
      <color rgb="FF0000FF"/>
      <name val="Calibri"/>
      <family val="2"/>
      <scheme val="minor"/>
    </font>
    <font>
      <i/>
      <sz val="6"/>
      <name val="Calibri"/>
      <family val="2"/>
      <scheme val="minor"/>
    </font>
    <font>
      <sz val="11"/>
      <color rgb="FF0070C0"/>
      <name val="Calibri"/>
      <family val="2"/>
      <scheme val="minor"/>
    </font>
    <font>
      <sz val="11"/>
      <color indexed="16"/>
      <name val="Arial"/>
      <family val="2"/>
    </font>
    <font>
      <sz val="8"/>
      <color indexed="16"/>
      <name val="Arial"/>
      <family val="2"/>
    </font>
    <font>
      <b/>
      <sz val="11"/>
      <color rgb="FF7030A0"/>
      <name val="Arial"/>
      <family val="2"/>
    </font>
    <font>
      <b/>
      <sz val="11"/>
      <name val="Arial"/>
      <family val="2"/>
    </font>
    <font>
      <sz val="14"/>
      <name val="Arial"/>
      <family val="2"/>
    </font>
    <font>
      <sz val="18"/>
      <name val="Calibri"/>
      <family val="2"/>
      <scheme val="minor"/>
    </font>
    <font>
      <u/>
      <sz val="10"/>
      <name val="Calibri"/>
      <family val="2"/>
      <scheme val="minor"/>
    </font>
    <font>
      <sz val="11"/>
      <color theme="0" tint="-0.249977111117893"/>
      <name val="Calibri"/>
      <family val="2"/>
      <scheme val="minor"/>
    </font>
    <font>
      <sz val="18"/>
      <color theme="1"/>
      <name val="Calibri"/>
      <family val="2"/>
    </font>
    <font>
      <sz val="10"/>
      <name val="Arial"/>
      <family val="2"/>
    </font>
    <font>
      <sz val="11"/>
      <color theme="4" tint="0.39997558519241921"/>
      <name val="Calibri"/>
      <family val="2"/>
      <scheme val="minor"/>
    </font>
    <font>
      <b/>
      <sz val="11"/>
      <color theme="4" tint="0.39997558519241921"/>
      <name val="Calibri"/>
      <family val="2"/>
      <scheme val="minor"/>
    </font>
    <font>
      <sz val="11"/>
      <color theme="5" tint="0.39997558519241921"/>
      <name val="Calibri"/>
      <family val="2"/>
      <scheme val="minor"/>
    </font>
    <font>
      <sz val="8"/>
      <color theme="1"/>
      <name val="Calibri"/>
      <family val="2"/>
    </font>
    <font>
      <sz val="8"/>
      <color theme="0" tint="-0.499984740745262"/>
      <name val="Calibri"/>
      <family val="2"/>
    </font>
    <font>
      <u/>
      <sz val="12"/>
      <color theme="1"/>
      <name val="Calibri"/>
      <family val="2"/>
    </font>
    <font>
      <strike/>
      <sz val="8"/>
      <color theme="0" tint="-0.499984740745262"/>
      <name val="Calibri"/>
      <family val="2"/>
    </font>
    <font>
      <i/>
      <sz val="9"/>
      <color rgb="FF0070C0"/>
      <name val="Calibri"/>
      <family val="2"/>
    </font>
    <font>
      <u/>
      <sz val="13"/>
      <color theme="1"/>
      <name val="Calibri"/>
      <family val="2"/>
    </font>
    <font>
      <sz val="5"/>
      <color theme="1"/>
      <name val="Calibri"/>
      <family val="2"/>
    </font>
    <font>
      <sz val="11"/>
      <color theme="1"/>
      <name val="Calibri"/>
      <family val="2"/>
    </font>
    <font>
      <u/>
      <sz val="20"/>
      <name val="Calibri"/>
      <family val="2"/>
      <scheme val="minor"/>
    </font>
    <font>
      <sz val="26"/>
      <name val="Calibri"/>
      <family val="2"/>
      <scheme val="minor"/>
    </font>
    <font>
      <i/>
      <sz val="8"/>
      <color rgb="FF0070C0"/>
      <name val="Calibri"/>
      <family val="2"/>
      <scheme val="minor"/>
    </font>
    <font>
      <sz val="10"/>
      <color rgb="FF0070C0"/>
      <name val="Calibri"/>
      <family val="2"/>
      <scheme val="minor"/>
    </font>
    <font>
      <sz val="24"/>
      <color theme="1"/>
      <name val="Calibri"/>
      <family val="2"/>
      <scheme val="minor"/>
    </font>
    <font>
      <sz val="9"/>
      <color rgb="FF0070C0"/>
      <name val="Calibri"/>
      <family val="2"/>
      <scheme val="minor"/>
    </font>
    <font>
      <sz val="8"/>
      <color theme="0" tint="-0.249977111117893"/>
      <name val="Calibri"/>
      <family val="2"/>
      <scheme val="minor"/>
    </font>
    <font>
      <b/>
      <sz val="13"/>
      <name val="Calibri"/>
      <family val="2"/>
      <scheme val="minor"/>
    </font>
    <font>
      <sz val="13"/>
      <name val="Calibri"/>
      <family val="2"/>
      <scheme val="minor"/>
    </font>
    <font>
      <b/>
      <u/>
      <sz val="11"/>
      <name val="Calibri"/>
      <family val="2"/>
      <scheme val="minor"/>
    </font>
    <font>
      <b/>
      <i/>
      <sz val="14"/>
      <name val="Calibri"/>
      <family val="2"/>
      <scheme val="minor"/>
    </font>
    <font>
      <sz val="6"/>
      <color theme="1"/>
      <name val="Calibri"/>
      <family val="2"/>
    </font>
    <font>
      <sz val="13"/>
      <color theme="1"/>
      <name val="Calibri"/>
      <family val="2"/>
      <scheme val="minor"/>
    </font>
    <font>
      <b/>
      <u/>
      <sz val="20"/>
      <name val="Calibri"/>
      <family val="2"/>
      <scheme val="minor"/>
    </font>
    <font>
      <sz val="20"/>
      <name val="Calibri"/>
      <family val="2"/>
      <scheme val="minor"/>
    </font>
    <font>
      <sz val="19"/>
      <color theme="1"/>
      <name val="Calibri"/>
      <family val="2"/>
    </font>
    <font>
      <strike/>
      <sz val="11"/>
      <color theme="1"/>
      <name val="Calibri"/>
      <family val="2"/>
    </font>
    <font>
      <i/>
      <sz val="12"/>
      <color theme="1"/>
      <name val="Calibri"/>
      <family val="2"/>
    </font>
    <font>
      <i/>
      <sz val="10"/>
      <color theme="1"/>
      <name val="Calibri"/>
      <family val="2"/>
    </font>
    <font>
      <i/>
      <sz val="16"/>
      <color theme="1"/>
      <name val="Calibri"/>
      <family val="2"/>
    </font>
    <font>
      <u/>
      <sz val="18"/>
      <color theme="1"/>
      <name val="Calibri"/>
      <family val="2"/>
    </font>
    <font>
      <b/>
      <sz val="11"/>
      <color theme="4" tint="-0.249977111117893"/>
      <name val="Arial"/>
      <family val="2"/>
    </font>
    <font>
      <b/>
      <sz val="16"/>
      <name val="Calibri"/>
      <family val="2"/>
      <scheme val="minor"/>
    </font>
    <font>
      <b/>
      <i/>
      <sz val="18"/>
      <name val="Calibri"/>
      <family val="2"/>
      <scheme val="minor"/>
    </font>
    <font>
      <b/>
      <sz val="10"/>
      <name val="Calibri"/>
      <family val="2"/>
      <scheme val="minor"/>
    </font>
    <font>
      <sz val="9"/>
      <name val="Arial"/>
      <family val="2"/>
    </font>
    <font>
      <b/>
      <u/>
      <sz val="9"/>
      <name val="Calibri"/>
      <family val="2"/>
      <scheme val="minor"/>
    </font>
    <font>
      <b/>
      <sz val="11"/>
      <color rgb="FF00B050"/>
      <name val="Calibri"/>
      <family val="2"/>
      <scheme val="minor"/>
    </font>
    <font>
      <sz val="11"/>
      <color rgb="FF00B050"/>
      <name val="Calibri"/>
      <family val="2"/>
      <scheme val="minor"/>
    </font>
    <font>
      <b/>
      <i/>
      <sz val="11"/>
      <name val="Calibri"/>
      <family val="2"/>
      <scheme val="minor"/>
    </font>
    <font>
      <i/>
      <sz val="10"/>
      <name val="Calibri"/>
      <family val="2"/>
      <scheme val="minor"/>
    </font>
    <font>
      <b/>
      <i/>
      <sz val="9"/>
      <name val="Calibri"/>
      <family val="2"/>
      <scheme val="minor"/>
    </font>
    <font>
      <i/>
      <sz val="9"/>
      <name val="Calibri"/>
      <family val="2"/>
      <scheme val="minor"/>
    </font>
    <font>
      <sz val="6"/>
      <color theme="0"/>
      <name val="Calibri"/>
      <family val="2"/>
      <scheme val="minor"/>
    </font>
    <font>
      <u/>
      <sz val="19"/>
      <name val="Calibri"/>
      <family val="2"/>
      <scheme val="minor"/>
    </font>
    <font>
      <sz val="7"/>
      <color rgb="FF0070C0"/>
      <name val="Calibri"/>
      <family val="2"/>
      <scheme val="minor"/>
    </font>
    <font>
      <sz val="8"/>
      <color rgb="FF00B050"/>
      <name val="Calibri"/>
      <family val="2"/>
      <scheme val="minor"/>
    </font>
    <font>
      <b/>
      <sz val="16"/>
      <color theme="1"/>
      <name val="Calibri"/>
      <family val="2"/>
    </font>
    <font>
      <b/>
      <sz val="45"/>
      <color theme="1"/>
      <name val="Calibri"/>
      <family val="2"/>
    </font>
    <font>
      <b/>
      <sz val="11"/>
      <color theme="1"/>
      <name val="Calibri"/>
      <family val="2"/>
      <scheme val="minor"/>
    </font>
    <font>
      <sz val="11"/>
      <color theme="0"/>
      <name val="Calibri"/>
      <family val="2"/>
      <scheme val="minor"/>
    </font>
    <font>
      <sz val="14"/>
      <color theme="1"/>
      <name val="Calibri"/>
      <family val="2"/>
      <scheme val="minor"/>
    </font>
    <font>
      <sz val="7"/>
      <color theme="9" tint="0.39997558519241921"/>
      <name val="Calibri"/>
      <family val="2"/>
      <scheme val="minor"/>
    </font>
    <font>
      <sz val="7"/>
      <color theme="4" tint="0.39997558519241921"/>
      <name val="Calibri"/>
      <family val="2"/>
      <scheme val="minor"/>
    </font>
    <font>
      <sz val="7"/>
      <color theme="1"/>
      <name val="Calibri"/>
      <family val="2"/>
      <scheme val="minor"/>
    </font>
    <font>
      <sz val="11"/>
      <color indexed="8"/>
      <name val="Calibri"/>
      <family val="2"/>
      <scheme val="minor"/>
    </font>
    <font>
      <sz val="6"/>
      <color indexed="8"/>
      <name val="Calibri"/>
      <family val="2"/>
      <scheme val="minor"/>
    </font>
    <font>
      <sz val="12"/>
      <color theme="1"/>
      <name val="Calibri"/>
      <family val="2"/>
      <scheme val="minor"/>
    </font>
    <font>
      <sz val="7"/>
      <color theme="9" tint="0.39997558519241921"/>
      <name val="Calibri Light"/>
      <family val="2"/>
      <scheme val="major"/>
    </font>
    <font>
      <sz val="6"/>
      <color theme="1"/>
      <name val="Calibri"/>
      <family val="2"/>
      <scheme val="minor"/>
    </font>
    <font>
      <b/>
      <sz val="11"/>
      <color indexed="8"/>
      <name val="Calibri"/>
      <family val="2"/>
    </font>
    <font>
      <b/>
      <sz val="11"/>
      <color theme="9" tint="-0.499984740745262"/>
      <name val="Calibri"/>
      <family val="2"/>
      <scheme val="minor"/>
    </font>
    <font>
      <sz val="8"/>
      <color theme="1"/>
      <name val="Calibri"/>
      <family val="2"/>
      <scheme val="minor"/>
    </font>
    <font>
      <sz val="12"/>
      <color rgb="FF1E1E1E"/>
      <name val="Segoe UI"/>
      <family val="2"/>
    </font>
    <font>
      <sz val="10"/>
      <color indexed="8"/>
      <name val="Calibri"/>
      <family val="2"/>
      <scheme val="minor"/>
    </font>
    <font>
      <i/>
      <sz val="11"/>
      <color indexed="8"/>
      <name val="Calibri"/>
      <family val="2"/>
      <scheme val="minor"/>
    </font>
    <font>
      <i/>
      <sz val="9"/>
      <color theme="1"/>
      <name val="Calibri"/>
      <family val="2"/>
      <scheme val="minor"/>
    </font>
    <font>
      <sz val="11"/>
      <color rgb="FFC00000"/>
      <name val="Calibri"/>
      <family val="2"/>
      <scheme val="minor"/>
    </font>
    <font>
      <sz val="7"/>
      <color theme="7" tint="0.39997558519241921"/>
      <name val="Calibri"/>
      <family val="2"/>
      <scheme val="minor"/>
    </font>
    <font>
      <i/>
      <sz val="10"/>
      <color indexed="8"/>
      <name val="Calibri"/>
      <family val="2"/>
      <scheme val="minor"/>
    </font>
    <font>
      <sz val="11"/>
      <color theme="9" tint="-0.499984740745262"/>
      <name val="Calibri"/>
      <family val="2"/>
      <scheme val="minor"/>
    </font>
    <font>
      <i/>
      <sz val="8"/>
      <color theme="1"/>
      <name val="Calibri"/>
      <family val="2"/>
      <scheme val="minor"/>
    </font>
    <font>
      <sz val="11"/>
      <color theme="9" tint="-0.249977111117893"/>
      <name val="Calibri"/>
      <family val="2"/>
      <scheme val="minor"/>
    </font>
    <font>
      <sz val="7"/>
      <color rgb="FF1E1E1E"/>
      <name val="Calibri Light"/>
      <family val="2"/>
      <scheme val="major"/>
    </font>
    <font>
      <b/>
      <u/>
      <sz val="14"/>
      <color rgb="FFC00000"/>
      <name val="Calibri"/>
      <family val="2"/>
      <scheme val="minor"/>
    </font>
    <font>
      <sz val="11"/>
      <color rgb="FF000000"/>
      <name val="Calibri"/>
      <family val="2"/>
    </font>
    <font>
      <b/>
      <sz val="11"/>
      <color rgb="FF000000"/>
      <name val="Calibri"/>
      <family val="2"/>
    </font>
    <font>
      <i/>
      <sz val="9"/>
      <color rgb="FF333399"/>
      <name val="Calibri"/>
      <family val="2"/>
      <scheme val="minor"/>
    </font>
    <font>
      <sz val="7"/>
      <name val="Arial"/>
      <family val="2"/>
    </font>
    <font>
      <b/>
      <sz val="9"/>
      <color theme="1"/>
      <name val="Calibri"/>
      <family val="2"/>
    </font>
    <font>
      <sz val="14"/>
      <color theme="0"/>
      <name val="Calibri"/>
      <family val="2"/>
      <scheme val="minor"/>
    </font>
    <font>
      <strike/>
      <sz val="9"/>
      <color theme="0"/>
      <name val="Calibri"/>
      <family val="2"/>
      <scheme val="minor"/>
    </font>
    <font>
      <sz val="28"/>
      <color theme="0"/>
      <name val="Calibri"/>
      <family val="2"/>
      <scheme val="minor"/>
    </font>
    <font>
      <b/>
      <sz val="11"/>
      <color theme="4" tint="-0.249977111117893"/>
      <name val="Calibri"/>
      <family val="2"/>
      <scheme val="minor"/>
    </font>
    <font>
      <i/>
      <sz val="11"/>
      <name val="Calibri"/>
      <family val="2"/>
    </font>
    <font>
      <sz val="10"/>
      <color theme="0" tint="-0.249977111117893"/>
      <name val="Calibri"/>
      <family val="2"/>
    </font>
    <font>
      <sz val="10"/>
      <color theme="5" tint="-0.249977111117893"/>
      <name val="Calibri"/>
      <family val="2"/>
    </font>
    <font>
      <b/>
      <sz val="10"/>
      <color theme="0"/>
      <name val="Arial"/>
      <family val="2"/>
    </font>
  </fonts>
  <fills count="6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gradientFill degree="180">
        <stop position="0">
          <color theme="5" tint="-0.25098422193060094"/>
        </stop>
        <stop position="1">
          <color theme="5" tint="0.80001220740379042"/>
        </stop>
      </gradient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gradientFill degree="135">
        <stop position="0">
          <color theme="0"/>
        </stop>
        <stop position="1">
          <color rgb="FFFFFFCC"/>
        </stop>
      </gradientFill>
    </fill>
    <fill>
      <patternFill patternType="solid">
        <fgColor rgb="FFFF99FF"/>
        <bgColor indexed="64"/>
      </patternFill>
    </fill>
    <fill>
      <patternFill patternType="solid">
        <fgColor rgb="FFCCFFFF"/>
        <bgColor indexed="64"/>
      </patternFill>
    </fill>
    <fill>
      <patternFill patternType="solid">
        <fgColor theme="7" tint="0.79998168889431442"/>
        <bgColor indexed="64"/>
      </patternFill>
    </fill>
    <fill>
      <patternFill patternType="solid">
        <fgColor theme="4" tint="0.59999389629810485"/>
        <bgColor indexed="64"/>
      </patternFill>
    </fill>
    <fill>
      <gradientFill degree="270">
        <stop position="0">
          <color theme="0"/>
        </stop>
        <stop position="1">
          <color rgb="FFFFFFCC"/>
        </stop>
      </gradientFill>
    </fill>
    <fill>
      <gradientFill degree="180">
        <stop position="0">
          <color theme="0"/>
        </stop>
        <stop position="1">
          <color theme="0" tint="-0.1490218817712943"/>
        </stop>
      </gradientFill>
    </fill>
    <fill>
      <gradientFill degree="180">
        <stop position="0">
          <color theme="0"/>
        </stop>
        <stop position="1">
          <color theme="4" tint="0.59999389629810485"/>
        </stop>
      </gradientFill>
    </fill>
    <fill>
      <gradientFill>
        <stop position="0">
          <color theme="0"/>
        </stop>
        <stop position="1">
          <color theme="4" tint="0.59999389629810485"/>
        </stop>
      </gradientFill>
    </fill>
    <fill>
      <patternFill patternType="solid">
        <fgColor theme="7" tint="0.39997558519241921"/>
        <bgColor indexed="64"/>
      </patternFill>
    </fill>
    <fill>
      <patternFill patternType="solid">
        <fgColor theme="4" tint="0.79998168889431442"/>
        <bgColor indexed="64"/>
      </patternFill>
    </fill>
    <fill>
      <patternFill patternType="solid">
        <fgColor rgb="FFCCFAC6"/>
        <bgColor indexed="64"/>
      </patternFill>
    </fill>
    <fill>
      <gradientFill>
        <stop position="0">
          <color theme="0"/>
        </stop>
        <stop position="1">
          <color theme="5" tint="0.40000610370189521"/>
        </stop>
      </gradientFill>
    </fill>
    <fill>
      <patternFill patternType="solid">
        <fgColor theme="5" tint="0.39997558519241921"/>
        <bgColor indexed="64"/>
      </patternFill>
    </fill>
    <fill>
      <patternFill patternType="lightHorizontal">
        <fgColor theme="0" tint="-0.34998626667073579"/>
        <bgColor theme="0" tint="-4.9989318521683403E-2"/>
      </patternFill>
    </fill>
    <fill>
      <patternFill patternType="solid">
        <fgColor rgb="FF66FFCC"/>
        <bgColor indexed="64"/>
      </patternFill>
    </fill>
    <fill>
      <patternFill patternType="solid">
        <fgColor rgb="FFFFC000"/>
        <bgColor indexed="64"/>
      </patternFill>
    </fill>
    <fill>
      <patternFill patternType="solid">
        <fgColor rgb="FF00B0F0"/>
        <bgColor indexed="64"/>
      </patternFill>
    </fill>
    <fill>
      <patternFill patternType="solid">
        <fgColor rgb="FF66FF99"/>
        <bgColor indexed="64"/>
      </patternFill>
    </fill>
    <fill>
      <patternFill patternType="solid">
        <fgColor rgb="FF7030A0"/>
        <bgColor indexed="64"/>
      </patternFill>
    </fill>
    <fill>
      <patternFill patternType="solid">
        <fgColor theme="4" tint="0.39997558519241921"/>
        <bgColor rgb="FF000000"/>
      </patternFill>
    </fill>
    <fill>
      <patternFill patternType="gray0625">
        <fgColor rgb="FFFFC000"/>
      </patternFill>
    </fill>
    <fill>
      <patternFill patternType="gray0625">
        <fgColor rgb="FF000000"/>
        <bgColor rgb="FFFFFFFF"/>
      </patternFill>
    </fill>
    <fill>
      <patternFill patternType="solid">
        <fgColor rgb="FFDB91B6"/>
        <bgColor indexed="64"/>
      </patternFill>
    </fill>
    <fill>
      <patternFill patternType="solid">
        <fgColor rgb="FF65D7FF"/>
        <bgColor indexed="64"/>
      </patternFill>
    </fill>
    <fill>
      <patternFill patternType="solid">
        <fgColor rgb="FFFF99CC"/>
        <bgColor indexed="64"/>
      </patternFill>
    </fill>
    <fill>
      <patternFill patternType="solid">
        <fgColor theme="9" tint="0.79998168889431442"/>
        <bgColor indexed="64"/>
      </patternFill>
    </fill>
    <fill>
      <patternFill patternType="gray0625">
        <fgColor rgb="FF000000"/>
        <bgColor theme="7" tint="0.79998168889431442"/>
      </patternFill>
    </fill>
    <fill>
      <patternFill patternType="gray0625">
        <fgColor rgb="FF000000"/>
        <bgColor rgb="FF65D7FF"/>
      </patternFill>
    </fill>
    <fill>
      <patternFill patternType="gray0625">
        <fgColor rgb="FF000000"/>
        <bgColor theme="4" tint="0.79998168889431442"/>
      </patternFill>
    </fill>
    <fill>
      <patternFill patternType="gray0625">
        <fgColor rgb="FF000000"/>
        <bgColor rgb="FFFF99CC"/>
      </patternFill>
    </fill>
    <fill>
      <patternFill patternType="gray0625">
        <fgColor rgb="FF000000"/>
        <bgColor theme="9" tint="0.79998168889431442"/>
      </patternFill>
    </fill>
    <fill>
      <patternFill patternType="solid">
        <fgColor rgb="FFBDD7EE"/>
        <bgColor indexed="64"/>
      </patternFill>
    </fill>
    <fill>
      <patternFill patternType="solid">
        <fgColor rgb="FFFF0000"/>
        <bgColor indexed="64"/>
      </patternFill>
    </fill>
    <fill>
      <patternFill patternType="solid">
        <fgColor rgb="FFFF7C80"/>
        <bgColor indexed="64"/>
      </patternFill>
    </fill>
    <fill>
      <gradientFill degree="180">
        <stop position="0">
          <color theme="7" tint="0.80001220740379042"/>
        </stop>
        <stop position="1">
          <color theme="0"/>
        </stop>
      </gradientFill>
    </fill>
    <fill>
      <patternFill patternType="solid">
        <fgColor theme="7" tint="0.59999389629810485"/>
        <bgColor indexed="22"/>
      </patternFill>
    </fill>
    <fill>
      <patternFill patternType="solid">
        <fgColor theme="2"/>
        <bgColor indexed="22"/>
      </patternFill>
    </fill>
    <fill>
      <gradientFill degree="180">
        <stop position="0">
          <color theme="0"/>
        </stop>
        <stop position="1">
          <color theme="9" tint="0.59999389629810485"/>
        </stop>
      </gradientFill>
    </fill>
    <fill>
      <patternFill patternType="solid">
        <fgColor theme="2"/>
        <bgColor indexed="64"/>
      </patternFill>
    </fill>
    <fill>
      <patternFill patternType="solid">
        <fgColor theme="8" tint="0.79998168889431442"/>
        <bgColor indexed="64"/>
      </patternFill>
    </fill>
    <fill>
      <patternFill patternType="gray125">
        <fgColor rgb="FF00FFCC"/>
        <bgColor theme="0"/>
      </patternFill>
    </fill>
    <fill>
      <patternFill patternType="solid">
        <fgColor rgb="FF00FFCC"/>
        <bgColor indexed="64"/>
      </patternFill>
    </fill>
    <fill>
      <gradientFill degree="90">
        <stop position="0">
          <color theme="7" tint="0.80001220740379042"/>
        </stop>
        <stop position="1">
          <color rgb="FF92D050"/>
        </stop>
      </gradientFill>
    </fill>
    <fill>
      <gradientFill degree="90">
        <stop position="0">
          <color rgb="FF65D7FF"/>
        </stop>
        <stop position="1">
          <color rgb="FF92D050"/>
        </stop>
      </gradientFill>
    </fill>
    <fill>
      <gradientFill degree="180">
        <stop position="0">
          <color theme="0"/>
        </stop>
        <stop position="1">
          <color rgb="FFDB91B6"/>
        </stop>
      </gradient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hair">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hair">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hair">
        <color indexed="64"/>
      </right>
      <top/>
      <bottom style="dashed">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bottom/>
      <diagonal/>
    </border>
    <border>
      <left/>
      <right style="hair">
        <color indexed="64"/>
      </right>
      <top/>
      <bottom/>
      <diagonal/>
    </border>
    <border>
      <left style="dashed">
        <color indexed="64"/>
      </left>
      <right style="hair">
        <color indexed="64"/>
      </right>
      <top/>
      <bottom/>
      <diagonal/>
    </border>
    <border>
      <left/>
      <right style="dashed">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dashed">
        <color indexed="64"/>
      </right>
      <top/>
      <bottom style="dashed">
        <color indexed="64"/>
      </bottom>
      <diagonal/>
    </border>
    <border>
      <left style="dashed">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right/>
      <top style="dash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hair">
        <color auto="1"/>
      </top>
      <bottom/>
      <diagonal/>
    </border>
    <border>
      <left style="hair">
        <color indexed="64"/>
      </left>
      <right style="thin">
        <color indexed="64"/>
      </right>
      <top style="hair">
        <color indexed="64"/>
      </top>
      <bottom style="hair">
        <color indexed="64"/>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top style="medium">
        <color auto="1"/>
      </top>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auto="1"/>
      </bottom>
      <diagonal/>
    </border>
    <border>
      <left/>
      <right/>
      <top/>
      <bottom style="medium">
        <color auto="1"/>
      </bottom>
      <diagonal/>
    </border>
    <border>
      <left/>
      <right/>
      <top/>
      <bottom style="thin">
        <color theme="4" tint="0.39997558519241921"/>
      </bottom>
      <diagonal/>
    </border>
    <border>
      <left style="hair">
        <color indexed="64"/>
      </left>
      <right/>
      <top style="hair">
        <color indexed="64"/>
      </top>
      <bottom style="dashed">
        <color indexed="64"/>
      </bottom>
      <diagonal/>
    </border>
    <border>
      <left style="dashed">
        <color auto="1"/>
      </left>
      <right style="hair">
        <color indexed="64"/>
      </right>
      <top style="hair">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style="thin">
        <color indexed="64"/>
      </bottom>
      <diagonal/>
    </border>
    <border>
      <left/>
      <right/>
      <top style="dotted">
        <color indexed="64"/>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right style="hair">
        <color indexed="64"/>
      </right>
      <top/>
      <bottom style="thin">
        <color indexed="64"/>
      </bottom>
      <diagonal/>
    </border>
    <border>
      <left style="hair">
        <color auto="1"/>
      </left>
      <right/>
      <top style="medium">
        <color indexed="64"/>
      </top>
      <bottom/>
      <diagonal/>
    </border>
    <border>
      <left style="hair">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diagonal/>
    </border>
    <border>
      <left/>
      <right style="dotted">
        <color indexed="64"/>
      </right>
      <top style="dotted">
        <color indexed="64"/>
      </top>
      <bottom style="dotted">
        <color indexed="64"/>
      </bottom>
      <diagonal/>
    </border>
  </borders>
  <cellStyleXfs count="14">
    <xf numFmtId="0" fontId="0" fillId="0" borderId="0"/>
    <xf numFmtId="0" fontId="10" fillId="0" borderId="0"/>
    <xf numFmtId="0" fontId="39" fillId="0" borderId="0"/>
    <xf numFmtId="0" fontId="40" fillId="0" borderId="0" applyNumberFormat="0" applyFill="0" applyBorder="0" applyAlignment="0" applyProtection="0">
      <alignment vertical="top"/>
      <protection locked="0"/>
    </xf>
    <xf numFmtId="0" fontId="39" fillId="0" borderId="0"/>
    <xf numFmtId="0" fontId="93" fillId="0" borderId="0"/>
    <xf numFmtId="0" fontId="39" fillId="0" borderId="0"/>
    <xf numFmtId="0" fontId="39" fillId="0" borderId="0"/>
    <xf numFmtId="9" fontId="104" fillId="0" borderId="0" applyFont="0" applyFill="0" applyBorder="0" applyAlignment="0" applyProtection="0"/>
    <xf numFmtId="0" fontId="6" fillId="0" borderId="0"/>
    <xf numFmtId="0" fontId="4" fillId="0" borderId="0"/>
    <xf numFmtId="0" fontId="3" fillId="0" borderId="0"/>
    <xf numFmtId="0" fontId="150" fillId="0" borderId="0"/>
    <xf numFmtId="0" fontId="3" fillId="0" borderId="0"/>
  </cellStyleXfs>
  <cellXfs count="816">
    <xf numFmtId="0" fontId="0" fillId="0" borderId="0" xfId="0"/>
    <xf numFmtId="0" fontId="0" fillId="0" borderId="0" xfId="0" quotePrefix="1"/>
    <xf numFmtId="0" fontId="0" fillId="0" borderId="0" xfId="0" applyAlignment="1">
      <alignment horizontal="center"/>
    </xf>
    <xf numFmtId="0" fontId="9" fillId="0" borderId="0" xfId="0" applyFont="1"/>
    <xf numFmtId="0" fontId="0" fillId="0" borderId="0" xfId="0" applyAlignment="1">
      <alignment vertical="center"/>
    </xf>
    <xf numFmtId="0" fontId="0" fillId="0" borderId="0" xfId="0" applyAlignment="1">
      <alignment horizontal="center" vertical="center"/>
    </xf>
    <xf numFmtId="0" fontId="10" fillId="0" borderId="0" xfId="1"/>
    <xf numFmtId="2" fontId="10" fillId="0" borderId="0" xfId="1" applyNumberFormat="1"/>
    <xf numFmtId="0" fontId="13" fillId="0" borderId="0" xfId="0" applyFont="1"/>
    <xf numFmtId="0" fontId="14" fillId="0" borderId="0" xfId="0" applyFont="1"/>
    <xf numFmtId="0" fontId="14" fillId="0" borderId="0" xfId="0" applyFont="1" applyAlignment="1">
      <alignment horizontal="left" vertical="center" indent="1"/>
    </xf>
    <xf numFmtId="0" fontId="14" fillId="0" borderId="0" xfId="0" applyFont="1" applyAlignment="1">
      <alignment vertical="top"/>
    </xf>
    <xf numFmtId="0" fontId="0" fillId="0" borderId="0" xfId="0" applyAlignment="1">
      <alignment horizontal="right" vertical="center" indent="1"/>
    </xf>
    <xf numFmtId="0" fontId="10" fillId="0" borderId="0" xfId="1" applyAlignment="1">
      <alignment horizontal="right"/>
    </xf>
    <xf numFmtId="0" fontId="16" fillId="0" borderId="0" xfId="0" applyFont="1" applyAlignment="1">
      <alignment horizontal="left" vertical="center" indent="1"/>
    </xf>
    <xf numFmtId="0" fontId="15" fillId="0" borderId="0" xfId="0" applyFont="1" applyAlignment="1">
      <alignment horizontal="right" vertical="center" indent="1"/>
    </xf>
    <xf numFmtId="0" fontId="19" fillId="0" borderId="0" xfId="0" applyFont="1" applyAlignment="1">
      <alignment horizontal="left" vertical="center" indent="1"/>
    </xf>
    <xf numFmtId="0" fontId="20" fillId="0" borderId="0" xfId="0" applyFont="1" applyAlignment="1">
      <alignment horizontal="right" vertical="center" indent="1"/>
    </xf>
    <xf numFmtId="0" fontId="11" fillId="0" borderId="0" xfId="0" applyFont="1" applyAlignment="1">
      <alignment horizontal="right" vertical="center" indent="1"/>
    </xf>
    <xf numFmtId="0" fontId="21" fillId="0" borderId="0" xfId="0" applyFont="1" applyAlignment="1">
      <alignment horizontal="right" vertical="center" indent="1"/>
    </xf>
    <xf numFmtId="0" fontId="24" fillId="0" borderId="0" xfId="0" applyFont="1" applyAlignment="1">
      <alignment horizontal="right" vertical="center" indent="1"/>
    </xf>
    <xf numFmtId="0" fontId="25" fillId="0" borderId="0" xfId="0" applyFont="1"/>
    <xf numFmtId="0" fontId="27" fillId="0" borderId="0" xfId="0" applyFont="1"/>
    <xf numFmtId="0" fontId="28" fillId="0" borderId="0" xfId="0" applyFont="1" applyAlignment="1">
      <alignment horizontal="center"/>
    </xf>
    <xf numFmtId="0" fontId="29" fillId="0" borderId="0" xfId="0" applyFont="1" applyBorder="1" applyAlignment="1">
      <alignment horizontal="right" vertical="top"/>
    </xf>
    <xf numFmtId="0" fontId="30" fillId="0" borderId="0" xfId="1" applyFont="1" applyAlignment="1">
      <alignment horizontal="center"/>
    </xf>
    <xf numFmtId="0" fontId="0" fillId="0" borderId="8" xfId="0" applyBorder="1" applyAlignment="1">
      <alignment horizontal="center"/>
    </xf>
    <xf numFmtId="164" fontId="0" fillId="0" borderId="1" xfId="0" applyNumberFormat="1" applyBorder="1" applyAlignment="1">
      <alignment horizontal="right" vertical="center" indent="1"/>
    </xf>
    <xf numFmtId="164" fontId="0" fillId="3" borderId="1" xfId="0" applyNumberFormat="1" applyFill="1" applyBorder="1" applyAlignment="1" applyProtection="1">
      <alignment horizontal="right" vertical="center" indent="1"/>
      <protection locked="0"/>
    </xf>
    <xf numFmtId="164" fontId="14" fillId="5" borderId="6" xfId="0" applyNumberFormat="1" applyFont="1" applyFill="1" applyBorder="1" applyAlignment="1">
      <alignment horizontal="right" vertical="center" indent="1"/>
    </xf>
    <xf numFmtId="0" fontId="19" fillId="0" borderId="0" xfId="0" applyFont="1" applyAlignment="1" applyProtection="1">
      <alignment horizontal="left" vertical="center" indent="1"/>
      <protection locked="0"/>
    </xf>
    <xf numFmtId="0" fontId="33" fillId="0" borderId="0" xfId="0" applyFont="1" applyAlignment="1">
      <alignment horizontal="left" vertical="center" indent="1"/>
    </xf>
    <xf numFmtId="0" fontId="28" fillId="0" borderId="0" xfId="0" applyFont="1" applyAlignment="1">
      <alignment horizontal="left"/>
    </xf>
    <xf numFmtId="164" fontId="28" fillId="0" borderId="0" xfId="0" applyNumberFormat="1" applyFont="1" applyAlignment="1">
      <alignment horizontal="left"/>
    </xf>
    <xf numFmtId="0" fontId="34" fillId="0" borderId="0" xfId="0" applyFont="1"/>
    <xf numFmtId="2" fontId="0" fillId="0" borderId="1" xfId="0" applyNumberFormat="1" applyBorder="1" applyAlignment="1">
      <alignment horizontal="right" vertical="center" indent="1"/>
    </xf>
    <xf numFmtId="2" fontId="15" fillId="0" borderId="1" xfId="0" applyNumberFormat="1" applyFont="1" applyBorder="1" applyAlignment="1">
      <alignment horizontal="right" vertical="center" indent="1"/>
    </xf>
    <xf numFmtId="0" fontId="0" fillId="6" borderId="0" xfId="0" applyFill="1"/>
    <xf numFmtId="0" fontId="10" fillId="4" borderId="0" xfId="1" applyFill="1"/>
    <xf numFmtId="164" fontId="10" fillId="0" borderId="0" xfId="1" applyNumberFormat="1"/>
    <xf numFmtId="164" fontId="10" fillId="4" borderId="0" xfId="1" applyNumberFormat="1" applyFill="1"/>
    <xf numFmtId="0" fontId="10" fillId="9" borderId="0" xfId="1" applyFill="1" applyAlignment="1">
      <alignment horizontal="center"/>
    </xf>
    <xf numFmtId="0" fontId="10" fillId="6" borderId="0" xfId="1" applyFill="1"/>
    <xf numFmtId="0" fontId="35" fillId="0" borderId="0" xfId="1" applyFont="1"/>
    <xf numFmtId="0" fontId="0" fillId="0" borderId="0" xfId="0" applyAlignment="1">
      <alignment horizontal="right" vertical="center"/>
    </xf>
    <xf numFmtId="0" fontId="0" fillId="2"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0" fillId="0" borderId="0" xfId="1" applyAlignment="1">
      <alignment horizontal="center"/>
    </xf>
    <xf numFmtId="0" fontId="10" fillId="6" borderId="0" xfId="1" applyFill="1" applyAlignment="1"/>
    <xf numFmtId="0" fontId="26" fillId="0" borderId="0" xfId="0" applyFont="1" applyAlignment="1">
      <alignment vertical="center"/>
    </xf>
    <xf numFmtId="0" fontId="27" fillId="0" borderId="0" xfId="0" applyFont="1" applyAlignment="1">
      <alignment vertical="top"/>
    </xf>
    <xf numFmtId="0" fontId="8" fillId="0" borderId="0" xfId="0" applyFont="1"/>
    <xf numFmtId="0" fontId="0" fillId="0" borderId="0" xfId="0" applyFont="1" applyAlignment="1">
      <alignment horizontal="right" vertical="center"/>
    </xf>
    <xf numFmtId="165" fontId="0" fillId="0" borderId="2" xfId="0" applyNumberFormat="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15" fillId="0" borderId="0" xfId="0" applyFont="1" applyAlignment="1">
      <alignment horizontal="right" vertical="center"/>
    </xf>
    <xf numFmtId="165" fontId="15" fillId="0" borderId="0" xfId="0" applyNumberFormat="1" applyFont="1" applyBorder="1" applyAlignment="1">
      <alignment horizontal="center" vertical="center"/>
    </xf>
    <xf numFmtId="165" fontId="27" fillId="0" borderId="5"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0" fillId="0" borderId="0" xfId="0" applyFont="1"/>
    <xf numFmtId="2" fontId="0" fillId="0" borderId="1" xfId="0" applyNumberFormat="1" applyBorder="1" applyAlignment="1">
      <alignment horizontal="center" vertical="center"/>
    </xf>
    <xf numFmtId="0" fontId="12" fillId="0" borderId="0" xfId="0" applyFont="1"/>
    <xf numFmtId="164" fontId="11" fillId="3" borderId="1" xfId="0" applyNumberFormat="1" applyFont="1" applyFill="1" applyBorder="1" applyAlignment="1" applyProtection="1">
      <alignment horizontal="right" vertical="center" indent="1"/>
      <protection locked="0"/>
    </xf>
    <xf numFmtId="164" fontId="0" fillId="0" borderId="1" xfId="0" applyNumberFormat="1" applyFill="1" applyBorder="1" applyAlignment="1">
      <alignment horizontal="left" vertical="center" indent="1"/>
    </xf>
    <xf numFmtId="0" fontId="0" fillId="0" borderId="0" xfId="0" applyFill="1" applyAlignment="1">
      <alignment horizontal="center" vertical="center"/>
    </xf>
    <xf numFmtId="0" fontId="7" fillId="0" borderId="0" xfId="0" applyFont="1" applyAlignment="1">
      <alignment horizontal="center" vertical="top"/>
    </xf>
    <xf numFmtId="164" fontId="31" fillId="0" borderId="0" xfId="0" applyNumberFormat="1" applyFont="1" applyAlignment="1">
      <alignment horizontal="left" vertical="center" indent="2"/>
    </xf>
    <xf numFmtId="0" fontId="15" fillId="0" borderId="0" xfId="0" applyFont="1" applyAlignment="1"/>
    <xf numFmtId="0" fontId="15" fillId="0" borderId="0" xfId="0" applyFont="1" applyAlignment="1">
      <alignment vertical="top"/>
    </xf>
    <xf numFmtId="0" fontId="15" fillId="0" borderId="0" xfId="0" applyFont="1" applyAlignment="1">
      <alignment horizontal="right" vertical="top"/>
    </xf>
    <xf numFmtId="0" fontId="24" fillId="0" borderId="0" xfId="0" applyFont="1" applyAlignment="1">
      <alignment vertical="center"/>
    </xf>
    <xf numFmtId="0" fontId="24" fillId="0" borderId="0" xfId="0" applyFont="1" applyAlignment="1">
      <alignment horizontal="left" indent="1"/>
    </xf>
    <xf numFmtId="0" fontId="22" fillId="0" borderId="0" xfId="0" applyFont="1" applyAlignment="1"/>
    <xf numFmtId="0" fontId="0" fillId="0" borderId="0" xfId="0" applyProtection="1"/>
    <xf numFmtId="0" fontId="24" fillId="0" borderId="0" xfId="0" applyFont="1" applyAlignment="1" applyProtection="1">
      <alignment horizontal="right" vertical="center"/>
    </xf>
    <xf numFmtId="0" fontId="18" fillId="0" borderId="0" xfId="0" applyFont="1" applyAlignment="1" applyProtection="1">
      <alignment vertical="top" wrapText="1"/>
    </xf>
    <xf numFmtId="0" fontId="0" fillId="0" borderId="0" xfId="0" applyFont="1" applyAlignment="1">
      <alignment horizontal="left" vertical="center" indent="1"/>
    </xf>
    <xf numFmtId="0" fontId="20" fillId="3" borderId="0" xfId="0" applyFont="1" applyFill="1" applyAlignment="1" applyProtection="1">
      <alignment horizontal="left" indent="1"/>
      <protection locked="0" hidden="1"/>
    </xf>
    <xf numFmtId="0" fontId="0" fillId="2" borderId="2" xfId="0" applyFill="1" applyBorder="1" applyAlignment="1" applyProtection="1">
      <alignment horizontal="center" vertical="center"/>
      <protection locked="0"/>
    </xf>
    <xf numFmtId="0" fontId="11" fillId="0" borderId="0" xfId="0" applyFont="1" applyAlignment="1" applyProtection="1">
      <alignment horizontal="left" vertical="center" indent="1"/>
      <protection locked="0" hidden="1"/>
    </xf>
    <xf numFmtId="167" fontId="0" fillId="0" borderId="1" xfId="0" applyNumberFormat="1" applyBorder="1" applyAlignment="1">
      <alignment horizontal="left" vertical="center"/>
    </xf>
    <xf numFmtId="0" fontId="11" fillId="0" borderId="0" xfId="0" applyFont="1" applyAlignment="1" applyProtection="1">
      <alignment horizontal="right" vertical="center" indent="1"/>
      <protection hidden="1"/>
    </xf>
    <xf numFmtId="2" fontId="11" fillId="0" borderId="1" xfId="0" applyNumberFormat="1" applyFont="1" applyBorder="1" applyAlignment="1" applyProtection="1">
      <alignment horizontal="right" vertical="center" indent="1"/>
      <protection hidden="1"/>
    </xf>
    <xf numFmtId="0" fontId="11" fillId="0" borderId="0" xfId="0" applyFont="1" applyAlignment="1" applyProtection="1">
      <alignment horizontal="left" vertical="center" indent="1"/>
      <protection hidden="1"/>
    </xf>
    <xf numFmtId="0" fontId="28" fillId="0" borderId="0" xfId="0" applyNumberFormat="1" applyFont="1" applyAlignment="1">
      <alignment horizontal="center" vertical="top"/>
    </xf>
    <xf numFmtId="0" fontId="0" fillId="0" borderId="0" xfId="0" applyAlignment="1" applyProtection="1">
      <alignment horizontal="right" vertical="center" indent="1"/>
      <protection hidden="1"/>
    </xf>
    <xf numFmtId="0" fontId="10" fillId="8" borderId="0" xfId="1" applyFill="1" applyAlignment="1">
      <alignment horizontal="center"/>
    </xf>
    <xf numFmtId="164" fontId="10" fillId="8" borderId="0" xfId="1" applyNumberFormat="1" applyFill="1" applyAlignment="1">
      <alignment horizontal="center"/>
    </xf>
    <xf numFmtId="0" fontId="27" fillId="0" borderId="0" xfId="0" applyFont="1" applyFill="1"/>
    <xf numFmtId="0" fontId="0" fillId="0" borderId="0" xfId="0" applyFill="1"/>
    <xf numFmtId="0" fontId="0" fillId="0" borderId="0" xfId="0" applyFont="1" applyFill="1"/>
    <xf numFmtId="0" fontId="37" fillId="0" borderId="0" xfId="0" applyFont="1"/>
    <xf numFmtId="0" fontId="19" fillId="0" borderId="0" xfId="0" applyFont="1" applyAlignment="1" applyProtection="1">
      <alignment horizontal="left" vertical="center" indent="1"/>
    </xf>
    <xf numFmtId="168" fontId="38" fillId="0" borderId="0" xfId="0" applyNumberFormat="1" applyFont="1" applyAlignment="1">
      <alignment vertical="center"/>
    </xf>
    <xf numFmtId="2" fontId="38" fillId="0" borderId="0" xfId="0" applyNumberFormat="1" applyFont="1" applyAlignment="1">
      <alignment vertical="center"/>
    </xf>
    <xf numFmtId="0" fontId="43" fillId="0" borderId="0" xfId="0" applyFont="1"/>
    <xf numFmtId="0" fontId="44" fillId="0" borderId="0" xfId="2" applyFont="1"/>
    <xf numFmtId="0" fontId="44" fillId="0" borderId="0" xfId="2" applyFont="1" applyAlignment="1">
      <alignment horizontal="right"/>
    </xf>
    <xf numFmtId="0" fontId="46" fillId="0" borderId="0" xfId="2" applyFont="1"/>
    <xf numFmtId="0" fontId="46" fillId="0" borderId="0" xfId="2" applyFont="1" applyAlignment="1">
      <alignment horizontal="left"/>
    </xf>
    <xf numFmtId="0" fontId="46" fillId="0" borderId="0" xfId="2" applyFont="1" applyAlignment="1">
      <alignment horizontal="right"/>
    </xf>
    <xf numFmtId="0" fontId="10" fillId="0" borderId="0" xfId="0" applyFont="1"/>
    <xf numFmtId="0" fontId="47" fillId="0" borderId="0" xfId="2" applyFont="1"/>
    <xf numFmtId="0" fontId="48" fillId="0" borderId="0" xfId="2" applyFont="1"/>
    <xf numFmtId="0" fontId="46" fillId="0" borderId="0" xfId="2" applyFont="1" applyAlignment="1">
      <alignment horizontal="center"/>
    </xf>
    <xf numFmtId="0" fontId="49" fillId="0" borderId="0" xfId="0" applyFont="1" applyAlignment="1">
      <alignment horizontal="right"/>
    </xf>
    <xf numFmtId="0" fontId="49" fillId="0" borderId="0" xfId="0" applyFont="1"/>
    <xf numFmtId="0" fontId="50" fillId="0" borderId="0" xfId="2" applyFont="1" applyAlignment="1">
      <alignment horizontal="left" vertical="top" indent="1"/>
    </xf>
    <xf numFmtId="0" fontId="51" fillId="0" borderId="0" xfId="2" applyFont="1"/>
    <xf numFmtId="0" fontId="52" fillId="0" borderId="0" xfId="3" applyFont="1" applyAlignment="1" applyProtection="1"/>
    <xf numFmtId="0" fontId="53" fillId="0" borderId="0" xfId="2" applyFont="1"/>
    <xf numFmtId="0" fontId="54" fillId="0" borderId="0" xfId="2" applyFont="1" applyAlignment="1">
      <alignment horizontal="right" vertical="center"/>
    </xf>
    <xf numFmtId="0" fontId="44" fillId="0" borderId="0" xfId="2" applyFont="1" applyAlignment="1">
      <alignment horizontal="right" vertical="center"/>
    </xf>
    <xf numFmtId="169" fontId="57" fillId="12" borderId="11" xfId="2" applyNumberFormat="1" applyFont="1" applyFill="1" applyBorder="1" applyAlignment="1" applyProtection="1">
      <alignment horizontal="center" vertical="center"/>
      <protection locked="0"/>
    </xf>
    <xf numFmtId="0" fontId="44" fillId="0" borderId="0" xfId="0" applyFont="1" applyAlignment="1">
      <alignment vertical="center"/>
    </xf>
    <xf numFmtId="0" fontId="58" fillId="0" borderId="0" xfId="0" applyFont="1" applyAlignment="1">
      <alignment horizontal="center" vertical="center"/>
    </xf>
    <xf numFmtId="0" fontId="46" fillId="0" borderId="0" xfId="2" applyFont="1" applyFill="1" applyBorder="1" applyAlignment="1" applyProtection="1">
      <alignment vertical="center"/>
    </xf>
    <xf numFmtId="164" fontId="44" fillId="0" borderId="12" xfId="2" applyNumberFormat="1" applyFont="1" applyBorder="1" applyAlignment="1">
      <alignment horizontal="center"/>
    </xf>
    <xf numFmtId="164" fontId="59" fillId="0" borderId="13" xfId="2" applyNumberFormat="1" applyFont="1" applyBorder="1" applyAlignment="1">
      <alignment horizontal="center"/>
    </xf>
    <xf numFmtId="164" fontId="59" fillId="0" borderId="14" xfId="2" applyNumberFormat="1" applyFont="1" applyBorder="1" applyAlignment="1">
      <alignment horizontal="center"/>
    </xf>
    <xf numFmtId="0" fontId="46" fillId="0" borderId="0" xfId="2" applyFont="1" applyAlignment="1">
      <alignment horizontal="center" vertical="top"/>
    </xf>
    <xf numFmtId="0" fontId="46" fillId="0" borderId="0" xfId="2" applyFont="1" applyAlignment="1">
      <alignment horizontal="left" vertical="top"/>
    </xf>
    <xf numFmtId="0" fontId="59" fillId="0" borderId="15" xfId="2" applyFont="1" applyBorder="1" applyAlignment="1">
      <alignment horizontal="right" vertical="center"/>
    </xf>
    <xf numFmtId="0" fontId="59" fillId="0" borderId="16" xfId="2" applyFont="1" applyBorder="1" applyAlignment="1">
      <alignment horizontal="center" vertical="center"/>
    </xf>
    <xf numFmtId="0" fontId="59" fillId="0" borderId="17" xfId="2" applyFont="1" applyBorder="1" applyAlignment="1">
      <alignment vertical="center"/>
    </xf>
    <xf numFmtId="0" fontId="60" fillId="0" borderId="0" xfId="2" applyFont="1" applyAlignment="1">
      <alignment horizontal="left"/>
    </xf>
    <xf numFmtId="0" fontId="60" fillId="0" borderId="0" xfId="2" applyFont="1"/>
    <xf numFmtId="0" fontId="61" fillId="0" borderId="0" xfId="2" applyFont="1" applyAlignment="1">
      <alignment wrapText="1"/>
    </xf>
    <xf numFmtId="0" fontId="57" fillId="0" borderId="0" xfId="2" applyFont="1"/>
    <xf numFmtId="0" fontId="63" fillId="0" borderId="0" xfId="2" applyFont="1"/>
    <xf numFmtId="164" fontId="63" fillId="0" borderId="0" xfId="2" applyNumberFormat="1" applyFont="1" applyAlignment="1">
      <alignment horizontal="left"/>
    </xf>
    <xf numFmtId="0" fontId="64" fillId="0" borderId="0" xfId="2" applyFont="1"/>
    <xf numFmtId="0" fontId="44" fillId="0" borderId="0" xfId="2" applyFont="1" applyAlignment="1">
      <alignment horizontal="right" vertical="top"/>
    </xf>
    <xf numFmtId="0" fontId="65" fillId="0" borderId="0" xfId="2" applyFont="1"/>
    <xf numFmtId="20" fontId="66" fillId="0" borderId="0" xfId="2" applyNumberFormat="1" applyFont="1"/>
    <xf numFmtId="20" fontId="66" fillId="13" borderId="0" xfId="2" applyNumberFormat="1" applyFont="1" applyFill="1"/>
    <xf numFmtId="0" fontId="65" fillId="0" borderId="26" xfId="2" applyFont="1" applyBorder="1" applyAlignment="1">
      <alignment horizontal="center"/>
    </xf>
    <xf numFmtId="0" fontId="65" fillId="0" borderId="27" xfId="2" applyFont="1" applyBorder="1" applyAlignment="1">
      <alignment horizontal="center"/>
    </xf>
    <xf numFmtId="0" fontId="65" fillId="0" borderId="0" xfId="2" applyFont="1" applyAlignment="1">
      <alignment horizontal="center"/>
    </xf>
    <xf numFmtId="0" fontId="66" fillId="0" borderId="0" xfId="2" applyFont="1"/>
    <xf numFmtId="0" fontId="67" fillId="0" borderId="0" xfId="2" applyFont="1" applyAlignment="1">
      <alignment horizontal="right" indent="1"/>
    </xf>
    <xf numFmtId="0" fontId="68" fillId="0" borderId="0" xfId="2" applyFont="1"/>
    <xf numFmtId="0" fontId="69" fillId="0" borderId="0" xfId="2" applyFont="1" applyAlignment="1">
      <alignment horizontal="left"/>
    </xf>
    <xf numFmtId="0" fontId="69" fillId="0" borderId="0" xfId="2" applyFont="1" applyAlignment="1">
      <alignment horizontal="center"/>
    </xf>
    <xf numFmtId="0" fontId="70" fillId="0" borderId="0" xfId="0" applyFont="1" applyAlignment="1">
      <alignment horizontal="center" vertical="center"/>
    </xf>
    <xf numFmtId="0" fontId="70" fillId="0" borderId="0" xfId="0" applyFont="1" applyAlignment="1">
      <alignment horizontal="left" vertical="center"/>
    </xf>
    <xf numFmtId="0" fontId="71" fillId="0" borderId="0" xfId="0" applyFont="1" applyAlignment="1">
      <alignment horizontal="right"/>
    </xf>
    <xf numFmtId="0" fontId="72" fillId="15" borderId="0" xfId="0" applyFont="1" applyFill="1" applyAlignment="1">
      <alignment horizontal="center" vertical="center"/>
    </xf>
    <xf numFmtId="0" fontId="73" fillId="0" borderId="0" xfId="0" applyFont="1" applyAlignment="1">
      <alignment horizontal="right" vertical="center"/>
    </xf>
    <xf numFmtId="0" fontId="71" fillId="0" borderId="0" xfId="0" applyFont="1" applyAlignment="1">
      <alignment horizontal="right" vertical="center"/>
    </xf>
    <xf numFmtId="0" fontId="71" fillId="0" borderId="0" xfId="0" applyFont="1" applyFill="1" applyAlignment="1">
      <alignment horizontal="right" vertical="center"/>
    </xf>
    <xf numFmtId="0" fontId="71" fillId="0" borderId="0" xfId="0" applyFont="1" applyFill="1" applyAlignment="1">
      <alignment horizontal="right" vertical="top"/>
    </xf>
    <xf numFmtId="0" fontId="71" fillId="13" borderId="0" xfId="0" applyFont="1" applyFill="1" applyAlignment="1">
      <alignment horizontal="center" vertical="top"/>
    </xf>
    <xf numFmtId="0" fontId="72" fillId="16" borderId="0" xfId="0" applyFont="1" applyFill="1" applyAlignment="1">
      <alignment horizontal="center" vertical="center"/>
    </xf>
    <xf numFmtId="0" fontId="64" fillId="0" borderId="0" xfId="0" applyFont="1"/>
    <xf numFmtId="14" fontId="57" fillId="0" borderId="0" xfId="0" applyNumberFormat="1" applyFont="1" applyAlignment="1">
      <alignment horizontal="centerContinuous"/>
    </xf>
    <xf numFmtId="0" fontId="57" fillId="0" borderId="0" xfId="0" applyFont="1" applyAlignment="1">
      <alignment horizontal="centerContinuous"/>
    </xf>
    <xf numFmtId="0" fontId="60" fillId="0" borderId="0" xfId="0" applyFont="1" applyAlignment="1">
      <alignment horizontal="left"/>
    </xf>
    <xf numFmtId="0" fontId="77" fillId="0" borderId="0" xfId="0" applyFont="1"/>
    <xf numFmtId="0" fontId="66" fillId="0" borderId="0" xfId="0" applyFont="1"/>
    <xf numFmtId="0" fontId="53" fillId="0" borderId="0" xfId="0" applyFont="1" applyAlignment="1">
      <alignment horizontal="left" vertical="center"/>
    </xf>
    <xf numFmtId="0" fontId="78" fillId="0" borderId="0" xfId="0" applyFont="1" applyAlignment="1"/>
    <xf numFmtId="0" fontId="79" fillId="3" borderId="0" xfId="0" applyFont="1" applyFill="1"/>
    <xf numFmtId="0" fontId="71" fillId="0" borderId="0" xfId="0" applyFont="1" applyAlignment="1">
      <alignment vertical="top"/>
    </xf>
    <xf numFmtId="0" fontId="46" fillId="0" borderId="0" xfId="0" applyFont="1" applyAlignment="1">
      <alignment horizontal="right" vertical="top"/>
    </xf>
    <xf numFmtId="0" fontId="78" fillId="0" borderId="0" xfId="0" applyFont="1" applyAlignment="1">
      <alignment vertical="center"/>
    </xf>
    <xf numFmtId="0" fontId="46" fillId="13" borderId="0" xfId="0" applyFont="1" applyFill="1" applyAlignment="1">
      <alignment horizontal="center"/>
    </xf>
    <xf numFmtId="0" fontId="46" fillId="18" borderId="0" xfId="0" applyFont="1" applyFill="1" applyAlignment="1">
      <alignment horizontal="center"/>
    </xf>
    <xf numFmtId="0" fontId="44" fillId="0" borderId="0" xfId="2" applyFont="1" applyAlignment="1">
      <alignment horizontal="center"/>
    </xf>
    <xf numFmtId="0" fontId="80" fillId="0" borderId="0" xfId="0" applyNumberFormat="1" applyFont="1" applyAlignment="1">
      <alignment horizontal="left"/>
    </xf>
    <xf numFmtId="0" fontId="81" fillId="0" borderId="0" xfId="0" applyNumberFormat="1" applyFont="1"/>
    <xf numFmtId="0" fontId="44" fillId="19" borderId="0" xfId="2" applyFont="1" applyFill="1"/>
    <xf numFmtId="0" fontId="80" fillId="0" borderId="0" xfId="0" applyFont="1" applyAlignment="1">
      <alignment horizontal="right"/>
    </xf>
    <xf numFmtId="16" fontId="80" fillId="0" borderId="0" xfId="0" quotePrefix="1" applyNumberFormat="1" applyFont="1" applyAlignment="1">
      <alignment horizontal="right"/>
    </xf>
    <xf numFmtId="0" fontId="80" fillId="3" borderId="0" xfId="0" applyNumberFormat="1" applyFont="1" applyFill="1" applyAlignment="1">
      <alignment horizontal="left"/>
    </xf>
    <xf numFmtId="0" fontId="75" fillId="0" borderId="38" xfId="0" applyFont="1" applyBorder="1" applyAlignment="1">
      <alignment vertical="center"/>
    </xf>
    <xf numFmtId="0" fontId="82" fillId="0" borderId="38" xfId="0" applyFont="1" applyBorder="1" applyAlignment="1">
      <alignment horizontal="right" vertical="center"/>
    </xf>
    <xf numFmtId="0" fontId="10" fillId="0" borderId="0" xfId="1" applyAlignment="1"/>
    <xf numFmtId="0" fontId="10" fillId="10" borderId="0" xfId="1" applyFill="1"/>
    <xf numFmtId="0" fontId="10" fillId="11" borderId="0" xfId="1" applyFill="1" applyAlignment="1"/>
    <xf numFmtId="0" fontId="83" fillId="11" borderId="0" xfId="1" applyFont="1" applyFill="1"/>
    <xf numFmtId="0" fontId="83" fillId="0" borderId="0" xfId="1" applyFont="1"/>
    <xf numFmtId="0" fontId="83" fillId="11" borderId="0" xfId="1" applyFont="1" applyFill="1" applyAlignment="1">
      <alignment horizontal="center"/>
    </xf>
    <xf numFmtId="0" fontId="85" fillId="0" borderId="0" xfId="2" applyFont="1" applyAlignment="1">
      <alignment horizontal="center"/>
    </xf>
    <xf numFmtId="0" fontId="86" fillId="14" borderId="30" xfId="2" applyFont="1" applyFill="1" applyBorder="1" applyAlignment="1" applyProtection="1">
      <alignment horizontal="right" indent="1"/>
      <protection locked="0"/>
    </xf>
    <xf numFmtId="0" fontId="86" fillId="14" borderId="31" xfId="2" applyFont="1" applyFill="1" applyBorder="1" applyAlignment="1" applyProtection="1">
      <alignment horizontal="right" indent="1"/>
      <protection locked="0"/>
    </xf>
    <xf numFmtId="0" fontId="88" fillId="0" borderId="0" xfId="4" applyFont="1" applyAlignment="1">
      <alignment horizontal="right" indent="1"/>
    </xf>
    <xf numFmtId="0" fontId="39" fillId="0" borderId="0" xfId="4" applyAlignment="1">
      <alignment horizontal="right" indent="1"/>
    </xf>
    <xf numFmtId="20" fontId="84" fillId="14" borderId="22" xfId="2" applyNumberFormat="1" applyFont="1" applyFill="1" applyBorder="1" applyAlignment="1" applyProtection="1">
      <alignment horizontal="center"/>
      <protection locked="0" hidden="1"/>
    </xf>
    <xf numFmtId="20" fontId="84" fillId="14" borderId="23" xfId="2" applyNumberFormat="1" applyFont="1" applyFill="1" applyBorder="1" applyAlignment="1" applyProtection="1">
      <alignment horizontal="center"/>
      <protection locked="0" hidden="1"/>
    </xf>
    <xf numFmtId="20" fontId="84" fillId="14" borderId="33" xfId="2" applyNumberFormat="1" applyFont="1" applyFill="1" applyBorder="1" applyAlignment="1" applyProtection="1">
      <alignment horizontal="center"/>
      <protection locked="0" hidden="1"/>
    </xf>
    <xf numFmtId="20" fontId="84" fillId="14" borderId="27" xfId="2" applyNumberFormat="1" applyFont="1" applyFill="1" applyBorder="1" applyAlignment="1" applyProtection="1">
      <alignment horizontal="center"/>
      <protection locked="0" hidden="1"/>
    </xf>
    <xf numFmtId="0" fontId="44" fillId="0" borderId="0" xfId="0" applyFont="1"/>
    <xf numFmtId="0" fontId="89" fillId="0" borderId="0" xfId="2" applyFont="1"/>
    <xf numFmtId="0" fontId="39" fillId="0" borderId="0" xfId="2" applyAlignment="1">
      <alignment horizontal="right"/>
    </xf>
    <xf numFmtId="0" fontId="87" fillId="0" borderId="0" xfId="2" applyFont="1" applyAlignment="1">
      <alignment horizontal="center"/>
    </xf>
    <xf numFmtId="0" fontId="39" fillId="0" borderId="0" xfId="2"/>
    <xf numFmtId="0" fontId="58" fillId="0" borderId="0" xfId="2" applyNumberFormat="1" applyFont="1" applyAlignment="1">
      <alignment horizontal="center"/>
    </xf>
    <xf numFmtId="0" fontId="54" fillId="0" borderId="0" xfId="0" applyFont="1" applyAlignment="1">
      <alignment vertical="center"/>
    </xf>
    <xf numFmtId="0" fontId="90" fillId="0" borderId="0" xfId="0" applyFont="1" applyAlignment="1">
      <alignment horizontal="left" indent="3"/>
    </xf>
    <xf numFmtId="0" fontId="47" fillId="0" borderId="0" xfId="0" applyFont="1" applyAlignment="1">
      <alignment horizontal="right" indent="1"/>
    </xf>
    <xf numFmtId="0" fontId="91" fillId="0" borderId="0" xfId="1" applyFont="1"/>
    <xf numFmtId="0" fontId="20" fillId="21" borderId="0" xfId="0" applyFont="1" applyFill="1"/>
    <xf numFmtId="0" fontId="22" fillId="21" borderId="0" xfId="0" quotePrefix="1" applyFont="1" applyFill="1"/>
    <xf numFmtId="0" fontId="9" fillId="21" borderId="0" xfId="0" applyFont="1" applyFill="1"/>
    <xf numFmtId="0" fontId="0" fillId="21" borderId="0" xfId="0" applyFill="1"/>
    <xf numFmtId="0" fontId="14" fillId="21" borderId="0" xfId="0" applyFont="1" applyFill="1" applyAlignment="1">
      <alignment vertical="center"/>
    </xf>
    <xf numFmtId="0" fontId="92" fillId="21" borderId="0" xfId="0" applyFont="1" applyFill="1"/>
    <xf numFmtId="0" fontId="22" fillId="21" borderId="0" xfId="0" applyFont="1" applyFill="1" applyAlignment="1">
      <alignment vertical="center"/>
    </xf>
    <xf numFmtId="0" fontId="92" fillId="0" borderId="0" xfId="0" applyFont="1"/>
    <xf numFmtId="0" fontId="8" fillId="0" borderId="0" xfId="0" applyFont="1" applyFill="1"/>
    <xf numFmtId="0" fontId="54" fillId="0" borderId="0" xfId="5" applyFont="1" applyAlignment="1">
      <alignment horizontal="right" indent="1"/>
    </xf>
    <xf numFmtId="0" fontId="57" fillId="3" borderId="1" xfId="5" applyFont="1" applyFill="1" applyBorder="1" applyAlignment="1" applyProtection="1">
      <alignment horizontal="center" vertical="center"/>
      <protection locked="0"/>
    </xf>
    <xf numFmtId="0" fontId="44" fillId="0" borderId="0" xfId="6" applyFont="1" applyAlignment="1">
      <alignment vertical="center"/>
    </xf>
    <xf numFmtId="0" fontId="59" fillId="0" borderId="0" xfId="7" applyFont="1" applyAlignment="1">
      <alignment vertical="center"/>
    </xf>
    <xf numFmtId="0" fontId="44" fillId="0" borderId="0" xfId="7" applyFont="1"/>
    <xf numFmtId="0" fontId="59" fillId="0" borderId="0" xfId="7" applyFont="1"/>
    <xf numFmtId="0" fontId="44" fillId="0" borderId="0" xfId="7" applyFont="1" applyAlignment="1">
      <alignment vertical="center"/>
    </xf>
    <xf numFmtId="0" fontId="94" fillId="0" borderId="0" xfId="5" applyFont="1" applyAlignment="1">
      <alignment horizontal="right" vertical="center"/>
    </xf>
    <xf numFmtId="0" fontId="95" fillId="11" borderId="0" xfId="5" applyFont="1" applyFill="1" applyAlignment="1">
      <alignment vertical="center"/>
    </xf>
    <xf numFmtId="0" fontId="95" fillId="23" borderId="0" xfId="5" applyFont="1" applyFill="1" applyAlignment="1">
      <alignment vertical="center"/>
    </xf>
    <xf numFmtId="0" fontId="54" fillId="0" borderId="0" xfId="5" applyFont="1"/>
    <xf numFmtId="0" fontId="59" fillId="0" borderId="0" xfId="5" applyFont="1"/>
    <xf numFmtId="0" fontId="54" fillId="0" borderId="0" xfId="5" applyFont="1" applyAlignment="1">
      <alignment horizontal="right" vertical="center"/>
    </xf>
    <xf numFmtId="0" fontId="57" fillId="0" borderId="0" xfId="5" applyFont="1" applyAlignment="1" applyProtection="1">
      <alignment horizontal="center"/>
      <protection locked="0"/>
    </xf>
    <xf numFmtId="0" fontId="0" fillId="24" borderId="0" xfId="0" applyFill="1"/>
    <xf numFmtId="0" fontId="96" fillId="0" borderId="0" xfId="1" applyFont="1" applyAlignment="1">
      <alignment horizontal="left" indent="1"/>
    </xf>
    <xf numFmtId="0" fontId="9" fillId="0" borderId="0" xfId="0" applyFont="1" applyFill="1"/>
    <xf numFmtId="0" fontId="14" fillId="25" borderId="0" xfId="0" applyFont="1" applyFill="1" applyAlignment="1">
      <alignment horizontal="right"/>
    </xf>
    <xf numFmtId="0" fontId="0" fillId="21" borderId="0" xfId="0" applyFill="1" applyAlignment="1">
      <alignment horizontal="center"/>
    </xf>
    <xf numFmtId="0" fontId="22" fillId="21" borderId="0" xfId="0" applyFont="1" applyFill="1" applyAlignment="1">
      <alignment horizontal="right"/>
    </xf>
    <xf numFmtId="166" fontId="0" fillId="0" borderId="2" xfId="0" applyNumberFormat="1" applyFill="1" applyBorder="1" applyAlignment="1" applyProtection="1">
      <alignment horizontal="right" vertical="center" indent="1"/>
    </xf>
    <xf numFmtId="0" fontId="97" fillId="0" borderId="0" xfId="0" applyFont="1" applyAlignment="1">
      <alignment horizontal="right" vertical="center"/>
    </xf>
    <xf numFmtId="164" fontId="0" fillId="0" borderId="0" xfId="0" applyNumberFormat="1" applyFont="1"/>
    <xf numFmtId="164" fontId="24" fillId="0" borderId="1" xfId="0" applyNumberFormat="1" applyFont="1" applyBorder="1" applyAlignment="1">
      <alignment horizontal="right" vertical="center" indent="1"/>
    </xf>
    <xf numFmtId="0" fontId="24" fillId="0" borderId="2" xfId="0" applyFont="1" applyFill="1" applyBorder="1" applyAlignment="1" applyProtection="1">
      <alignment horizontal="center" vertical="center"/>
    </xf>
    <xf numFmtId="0" fontId="27" fillId="0" borderId="0" xfId="0" applyFont="1" applyFill="1" applyAlignment="1">
      <alignment vertical="center"/>
    </xf>
    <xf numFmtId="0" fontId="83" fillId="0" borderId="0" xfId="1" applyFont="1" applyAlignment="1"/>
    <xf numFmtId="164" fontId="10" fillId="20" borderId="0" xfId="1" applyNumberFormat="1" applyFill="1"/>
    <xf numFmtId="0" fontId="98" fillId="0" borderId="0" xfId="0" applyFont="1" applyAlignment="1"/>
    <xf numFmtId="0" fontId="99" fillId="0" borderId="0" xfId="0" applyFont="1" applyFill="1"/>
    <xf numFmtId="0" fontId="98" fillId="0" borderId="0" xfId="0" applyFont="1"/>
    <xf numFmtId="0" fontId="0" fillId="0" borderId="0" xfId="0" applyAlignment="1">
      <alignment horizontal="left" indent="2"/>
    </xf>
    <xf numFmtId="0" fontId="0" fillId="0" borderId="0" xfId="0" applyAlignment="1">
      <alignment horizontal="left"/>
    </xf>
    <xf numFmtId="0" fontId="100" fillId="0" borderId="0" xfId="0" applyFont="1" applyFill="1"/>
    <xf numFmtId="0" fontId="0" fillId="0" borderId="0" xfId="0" applyAlignment="1">
      <alignment horizontal="right"/>
    </xf>
    <xf numFmtId="0" fontId="0" fillId="0" borderId="2" xfId="0" applyBorder="1" applyAlignment="1">
      <alignment horizontal="center"/>
    </xf>
    <xf numFmtId="0" fontId="0" fillId="0" borderId="41" xfId="0" applyBorder="1" applyAlignment="1">
      <alignment horizontal="center"/>
    </xf>
    <xf numFmtId="0" fontId="38" fillId="0" borderId="0" xfId="0" applyFont="1" applyAlignment="1">
      <alignment horizontal="center" vertical="center"/>
    </xf>
    <xf numFmtId="0" fontId="101" fillId="0" borderId="0" xfId="0" applyFont="1" applyAlignment="1">
      <alignment vertical="top"/>
    </xf>
    <xf numFmtId="0" fontId="12" fillId="0" borderId="0" xfId="0" applyFont="1" applyAlignment="1">
      <alignment horizontal="left" indent="4"/>
    </xf>
    <xf numFmtId="0" fontId="44" fillId="0" borderId="0" xfId="5" applyFont="1" applyFill="1" applyAlignment="1">
      <alignment horizontal="left" indent="1"/>
    </xf>
    <xf numFmtId="0" fontId="44" fillId="0" borderId="0" xfId="5" applyFont="1" applyAlignment="1">
      <alignment horizontal="right"/>
    </xf>
    <xf numFmtId="0" fontId="57" fillId="3" borderId="0" xfId="7" applyFont="1" applyFill="1" applyBorder="1" applyAlignment="1" applyProtection="1">
      <alignment vertical="center"/>
      <protection locked="0"/>
    </xf>
    <xf numFmtId="164" fontId="57" fillId="3" borderId="2" xfId="7" applyNumberFormat="1" applyFont="1" applyFill="1" applyBorder="1" applyAlignment="1" applyProtection="1">
      <alignment horizontal="center" vertical="center"/>
      <protection locked="0"/>
    </xf>
    <xf numFmtId="0" fontId="7" fillId="0" borderId="42" xfId="0" applyFont="1" applyBorder="1" applyAlignment="1">
      <alignment vertical="top"/>
    </xf>
    <xf numFmtId="164" fontId="59" fillId="0" borderId="0" xfId="7" applyNumberFormat="1" applyFont="1" applyAlignment="1">
      <alignment horizontal="center"/>
    </xf>
    <xf numFmtId="0" fontId="103" fillId="0" borderId="0" xfId="0" applyFont="1" applyAlignment="1">
      <alignment vertical="center"/>
    </xf>
    <xf numFmtId="0" fontId="7" fillId="0" borderId="0" xfId="0" applyFont="1" applyAlignment="1">
      <alignment horizontal="left" indent="3"/>
    </xf>
    <xf numFmtId="0" fontId="105" fillId="0" borderId="0" xfId="7" applyFont="1"/>
    <xf numFmtId="0" fontId="10" fillId="0" borderId="0" xfId="0" applyFont="1" applyBorder="1"/>
    <xf numFmtId="0" fontId="106" fillId="0" borderId="0" xfId="7" applyFont="1"/>
    <xf numFmtId="0" fontId="53" fillId="0" borderId="0" xfId="7" applyFont="1" applyAlignment="1">
      <alignment horizontal="right" vertical="center"/>
    </xf>
    <xf numFmtId="0" fontId="54" fillId="0" borderId="0" xfId="7" applyFont="1" applyAlignment="1">
      <alignment vertical="top"/>
    </xf>
    <xf numFmtId="0" fontId="64" fillId="0" borderId="0" xfId="7" applyFont="1" applyAlignment="1">
      <alignment vertical="top"/>
    </xf>
    <xf numFmtId="0" fontId="53" fillId="0" borderId="0" xfId="7" applyFont="1"/>
    <xf numFmtId="0" fontId="107" fillId="0" borderId="0" xfId="7" applyFont="1" applyAlignment="1"/>
    <xf numFmtId="0" fontId="64" fillId="0" borderId="0" xfId="7" applyFont="1"/>
    <xf numFmtId="0" fontId="44" fillId="0" borderId="43" xfId="7" applyFont="1" applyBorder="1" applyAlignment="1">
      <alignment horizontal="center"/>
    </xf>
    <xf numFmtId="0" fontId="108" fillId="0" borderId="0" xfId="7" applyFont="1" applyAlignment="1">
      <alignment vertical="center"/>
    </xf>
    <xf numFmtId="171" fontId="74" fillId="0" borderId="0" xfId="8" applyNumberFormat="1" applyFont="1" applyAlignment="1">
      <alignment horizontal="right" vertical="center"/>
    </xf>
    <xf numFmtId="0" fontId="44" fillId="0" borderId="1" xfId="7" applyFont="1" applyBorder="1" applyAlignment="1">
      <alignment horizontal="center" vertical="center"/>
    </xf>
    <xf numFmtId="0" fontId="44" fillId="0" borderId="45" xfId="7" applyFont="1" applyBorder="1" applyAlignment="1">
      <alignment horizontal="center" vertical="top" wrapText="1"/>
    </xf>
    <xf numFmtId="0" fontId="44" fillId="0" borderId="1" xfId="7" applyFont="1" applyBorder="1" applyAlignment="1">
      <alignment horizontal="left" vertical="center" indent="1"/>
    </xf>
    <xf numFmtId="0" fontId="44" fillId="0" borderId="1" xfId="7" applyFont="1" applyBorder="1"/>
    <xf numFmtId="0" fontId="44" fillId="0" borderId="1" xfId="7" applyFont="1" applyBorder="1" applyAlignment="1">
      <alignment horizontal="center" vertical="center" wrapText="1"/>
    </xf>
    <xf numFmtId="0" fontId="109" fillId="0" borderId="0" xfId="0" applyFont="1"/>
    <xf numFmtId="0" fontId="74" fillId="0" borderId="0" xfId="7" applyFont="1" applyAlignment="1">
      <alignment horizontal="right" wrapText="1"/>
    </xf>
    <xf numFmtId="0" fontId="83" fillId="0" borderId="0" xfId="7" applyFont="1"/>
    <xf numFmtId="0" fontId="44" fillId="3" borderId="2" xfId="7" applyFont="1" applyFill="1" applyBorder="1" applyAlignment="1" applyProtection="1">
      <alignment horizontal="center"/>
      <protection locked="0"/>
    </xf>
    <xf numFmtId="0" fontId="44" fillId="3" borderId="36" xfId="7" applyFont="1" applyFill="1" applyBorder="1" applyAlignment="1" applyProtection="1">
      <alignment horizontal="left" indent="1"/>
      <protection locked="0"/>
    </xf>
    <xf numFmtId="0" fontId="44" fillId="3" borderId="37" xfId="7" applyFont="1" applyFill="1" applyBorder="1"/>
    <xf numFmtId="0" fontId="44" fillId="3" borderId="2" xfId="7" applyFont="1" applyFill="1" applyBorder="1" applyAlignment="1" applyProtection="1">
      <protection locked="0"/>
    </xf>
    <xf numFmtId="0" fontId="44" fillId="27" borderId="2" xfId="7" applyFont="1" applyFill="1" applyBorder="1" applyAlignment="1" applyProtection="1">
      <alignment horizontal="center"/>
      <protection locked="0"/>
    </xf>
    <xf numFmtId="0" fontId="110" fillId="0" borderId="0" xfId="7" applyFont="1"/>
    <xf numFmtId="0" fontId="111" fillId="0" borderId="0" xfId="0" applyFont="1"/>
    <xf numFmtId="0" fontId="10" fillId="0" borderId="46" xfId="0" applyFont="1" applyBorder="1"/>
    <xf numFmtId="0" fontId="44" fillId="0" borderId="2" xfId="7" applyFont="1" applyBorder="1" applyAlignment="1" applyProtection="1">
      <alignment horizontal="center"/>
      <protection locked="0"/>
    </xf>
    <xf numFmtId="0" fontId="44" fillId="0" borderId="36" xfId="7" applyFont="1" applyBorder="1" applyAlignment="1" applyProtection="1">
      <alignment horizontal="left" indent="1"/>
      <protection locked="0"/>
    </xf>
    <xf numFmtId="0" fontId="44" fillId="0" borderId="37" xfId="7" applyFont="1" applyBorder="1"/>
    <xf numFmtId="0" fontId="44" fillId="0" borderId="2" xfId="7" applyFont="1" applyBorder="1" applyAlignment="1" applyProtection="1">
      <protection locked="0"/>
    </xf>
    <xf numFmtId="0" fontId="58" fillId="28" borderId="0" xfId="7" applyFont="1" applyFill="1"/>
    <xf numFmtId="0" fontId="112" fillId="28" borderId="0" xfId="7" applyFont="1" applyFill="1"/>
    <xf numFmtId="0" fontId="54" fillId="28" borderId="0" xfId="7" applyFont="1" applyFill="1"/>
    <xf numFmtId="0" fontId="44" fillId="28" borderId="0" xfId="7" applyFont="1" applyFill="1"/>
    <xf numFmtId="0" fontId="108" fillId="0" borderId="0" xfId="7" applyFont="1" applyAlignment="1"/>
    <xf numFmtId="0" fontId="113" fillId="0" borderId="0" xfId="7" applyFont="1"/>
    <xf numFmtId="164" fontId="44" fillId="27" borderId="1" xfId="7" applyNumberFormat="1" applyFont="1" applyFill="1" applyBorder="1" applyAlignment="1">
      <alignment horizontal="center" vertical="center"/>
    </xf>
    <xf numFmtId="0" fontId="59" fillId="0" borderId="0" xfId="7" applyFont="1" applyFill="1" applyAlignment="1">
      <alignment horizontal="center" vertical="center"/>
    </xf>
    <xf numFmtId="0" fontId="59" fillId="0" borderId="0" xfId="7" applyFont="1" applyFill="1" applyAlignment="1">
      <alignment horizontal="left" vertical="center"/>
    </xf>
    <xf numFmtId="0" fontId="79" fillId="0" borderId="0" xfId="7" applyFont="1" applyAlignment="1">
      <alignment vertical="center"/>
    </xf>
    <xf numFmtId="0" fontId="44" fillId="0" borderId="0" xfId="7" applyFont="1" applyBorder="1" applyAlignment="1">
      <alignment vertical="center"/>
    </xf>
    <xf numFmtId="0" fontId="44" fillId="0" borderId="0" xfId="7" applyFont="1" applyBorder="1" applyAlignment="1">
      <alignment horizontal="right" vertical="center"/>
    </xf>
    <xf numFmtId="0" fontId="114" fillId="0" borderId="0" xfId="7" applyFont="1" applyBorder="1" applyAlignment="1">
      <alignment vertical="center"/>
    </xf>
    <xf numFmtId="0" fontId="44" fillId="0" borderId="0" xfId="7" applyFont="1" applyBorder="1"/>
    <xf numFmtId="0" fontId="44" fillId="29" borderId="0" xfId="7" applyFont="1" applyFill="1" applyBorder="1" applyAlignment="1"/>
    <xf numFmtId="164" fontId="58" fillId="30" borderId="6" xfId="7" applyNumberFormat="1" applyFont="1" applyFill="1" applyBorder="1" applyAlignment="1">
      <alignment horizontal="center" vertical="center"/>
    </xf>
    <xf numFmtId="0" fontId="44" fillId="31" borderId="0" xfId="7" applyFont="1" applyFill="1"/>
    <xf numFmtId="0" fontId="10" fillId="31" borderId="0" xfId="0" applyFont="1" applyFill="1"/>
    <xf numFmtId="0" fontId="89" fillId="31" borderId="0" xfId="7" applyFont="1" applyFill="1"/>
    <xf numFmtId="0" fontId="115" fillId="32" borderId="0" xfId="7" applyFont="1" applyFill="1" applyAlignment="1" applyProtection="1">
      <alignment vertical="center"/>
      <protection hidden="1"/>
    </xf>
    <xf numFmtId="0" fontId="44" fillId="32" borderId="0" xfId="7" applyFont="1" applyFill="1" applyProtection="1">
      <protection hidden="1"/>
    </xf>
    <xf numFmtId="0" fontId="89" fillId="32" borderId="0" xfId="7" applyFont="1" applyFill="1" applyProtection="1">
      <protection hidden="1"/>
    </xf>
    <xf numFmtId="0" fontId="44" fillId="31" borderId="0" xfId="7" applyFont="1" applyFill="1" applyProtection="1">
      <protection hidden="1"/>
    </xf>
    <xf numFmtId="0" fontId="10" fillId="31" borderId="0" xfId="0" applyFont="1" applyFill="1" applyProtection="1">
      <protection hidden="1"/>
    </xf>
    <xf numFmtId="0" fontId="10" fillId="0" borderId="0" xfId="0" applyFont="1" applyProtection="1">
      <protection hidden="1"/>
    </xf>
    <xf numFmtId="0" fontId="44" fillId="3" borderId="2" xfId="7" applyFont="1" applyFill="1" applyBorder="1" applyAlignment="1" applyProtection="1">
      <alignment horizontal="center"/>
      <protection hidden="1"/>
    </xf>
    <xf numFmtId="0" fontId="44" fillId="3" borderId="36" xfId="7" applyFont="1" applyFill="1" applyBorder="1" applyAlignment="1" applyProtection="1">
      <alignment horizontal="left" indent="1"/>
      <protection hidden="1"/>
    </xf>
    <xf numFmtId="0" fontId="44" fillId="3" borderId="37" xfId="7" applyFont="1" applyFill="1" applyBorder="1" applyProtection="1">
      <protection hidden="1"/>
    </xf>
    <xf numFmtId="0" fontId="44" fillId="3" borderId="2" xfId="7" applyFont="1" applyFill="1" applyBorder="1" applyAlignment="1" applyProtection="1">
      <protection hidden="1"/>
    </xf>
    <xf numFmtId="0" fontId="44" fillId="27" borderId="2" xfId="7" applyFont="1" applyFill="1" applyBorder="1" applyAlignment="1" applyProtection="1">
      <alignment horizontal="center"/>
      <protection hidden="1"/>
    </xf>
    <xf numFmtId="0" fontId="44" fillId="3" borderId="36" xfId="7" applyFont="1" applyFill="1" applyBorder="1" applyAlignment="1" applyProtection="1">
      <alignment horizontal="center"/>
      <protection hidden="1"/>
    </xf>
    <xf numFmtId="0" fontId="10" fillId="31" borderId="0" xfId="0" applyFont="1" applyFill="1" applyBorder="1" applyProtection="1">
      <protection hidden="1"/>
    </xf>
    <xf numFmtId="0" fontId="10" fillId="0" borderId="46" xfId="0" applyFont="1" applyBorder="1" applyProtection="1">
      <protection hidden="1"/>
    </xf>
    <xf numFmtId="0" fontId="44" fillId="0" borderId="0" xfId="7" applyFont="1" applyProtection="1">
      <protection hidden="1"/>
    </xf>
    <xf numFmtId="0" fontId="116" fillId="0" borderId="0" xfId="0" applyFont="1" applyAlignment="1">
      <alignment vertical="top"/>
    </xf>
    <xf numFmtId="164" fontId="19" fillId="0" borderId="2" xfId="0" applyNumberFormat="1" applyFont="1" applyFill="1" applyBorder="1" applyAlignment="1">
      <alignment horizontal="right" vertical="center" indent="1"/>
    </xf>
    <xf numFmtId="0" fontId="44" fillId="0" borderId="0" xfId="7" applyFont="1" applyFill="1" applyAlignment="1">
      <alignment horizontal="left" vertical="center" indent="1"/>
    </xf>
    <xf numFmtId="0" fontId="22" fillId="8" borderId="19" xfId="0" quotePrefix="1" applyFont="1" applyFill="1" applyBorder="1" applyAlignment="1">
      <alignment horizontal="left" indent="2"/>
    </xf>
    <xf numFmtId="0" fontId="20" fillId="8" borderId="38" xfId="0" applyFont="1" applyFill="1" applyBorder="1" applyAlignment="1">
      <alignment horizontal="left"/>
    </xf>
    <xf numFmtId="0" fontId="0" fillId="8" borderId="0" xfId="0" applyFill="1"/>
    <xf numFmtId="0" fontId="22" fillId="8" borderId="0" xfId="0" applyFont="1" applyFill="1" applyAlignment="1">
      <alignment horizontal="right"/>
    </xf>
    <xf numFmtId="0" fontId="0" fillId="0" borderId="0" xfId="0" applyAlignment="1">
      <alignment horizontal="left" indent="1"/>
    </xf>
    <xf numFmtId="0" fontId="0" fillId="0" borderId="0" xfId="0" applyFill="1" applyAlignment="1">
      <alignment horizontal="left" vertical="center"/>
    </xf>
    <xf numFmtId="0" fontId="0" fillId="3" borderId="1" xfId="0" applyNumberFormat="1" applyFill="1" applyBorder="1" applyAlignment="1" applyProtection="1">
      <alignment horizontal="right" vertical="center" indent="1"/>
      <protection locked="0"/>
    </xf>
    <xf numFmtId="0" fontId="97" fillId="0" borderId="0" xfId="0" applyFont="1" applyAlignment="1">
      <alignment vertical="center"/>
    </xf>
    <xf numFmtId="0" fontId="0" fillId="31" borderId="0" xfId="0" applyFill="1"/>
    <xf numFmtId="0" fontId="27" fillId="31" borderId="0" xfId="0" applyFont="1" applyFill="1"/>
    <xf numFmtId="0" fontId="34" fillId="31" borderId="0" xfId="0" applyFont="1" applyFill="1" applyProtection="1">
      <protection locked="0"/>
    </xf>
    <xf numFmtId="0" fontId="0" fillId="0" borderId="0" xfId="0" applyFill="1" applyAlignment="1">
      <alignment horizontal="right" vertical="center"/>
    </xf>
    <xf numFmtId="0" fontId="44" fillId="3" borderId="1" xfId="7" applyFont="1" applyFill="1" applyBorder="1" applyAlignment="1" applyProtection="1">
      <alignment horizontal="center"/>
      <protection locked="0"/>
    </xf>
    <xf numFmtId="0" fontId="22" fillId="0" borderId="0" xfId="0" applyFont="1" applyAlignment="1">
      <alignment horizontal="right"/>
    </xf>
    <xf numFmtId="0" fontId="117" fillId="0" borderId="0" xfId="0" applyFont="1"/>
    <xf numFmtId="0" fontId="117" fillId="0" borderId="46" xfId="0" applyFont="1" applyBorder="1"/>
    <xf numFmtId="0" fontId="64" fillId="0" borderId="0" xfId="2" applyFont="1" applyAlignment="1">
      <alignment horizontal="right"/>
    </xf>
    <xf numFmtId="0" fontId="7" fillId="0" borderId="0" xfId="0" applyFont="1" applyAlignment="1">
      <alignment horizontal="right"/>
    </xf>
    <xf numFmtId="0" fontId="7" fillId="0" borderId="0" xfId="0" applyFont="1"/>
    <xf numFmtId="0" fontId="7" fillId="0" borderId="0" xfId="0" applyFont="1" applyAlignment="1">
      <alignment horizontal="right" vertical="top"/>
    </xf>
    <xf numFmtId="0" fontId="62" fillId="3" borderId="0" xfId="7" applyFont="1" applyFill="1" applyBorder="1" applyAlignment="1" applyProtection="1">
      <protection locked="0"/>
    </xf>
    <xf numFmtId="0" fontId="0" fillId="3" borderId="0" xfId="0" applyFill="1"/>
    <xf numFmtId="0" fontId="0" fillId="33" borderId="0" xfId="0" applyFill="1"/>
    <xf numFmtId="0" fontId="0" fillId="34" borderId="0" xfId="0" applyFill="1"/>
    <xf numFmtId="0" fontId="118" fillId="0" borderId="0" xfId="7" applyFont="1"/>
    <xf numFmtId="0" fontId="119" fillId="0" borderId="0" xfId="7" applyFont="1"/>
    <xf numFmtId="0" fontId="120" fillId="31" borderId="0" xfId="0" applyFont="1" applyFill="1"/>
    <xf numFmtId="0" fontId="0" fillId="0" borderId="0" xfId="0" applyAlignment="1">
      <alignment horizontal="right" vertical="top"/>
    </xf>
    <xf numFmtId="0" fontId="0" fillId="35" borderId="0" xfId="0" applyFill="1"/>
    <xf numFmtId="0" fontId="34" fillId="0" borderId="0" xfId="0" applyFont="1" applyAlignment="1">
      <alignment vertical="top"/>
    </xf>
    <xf numFmtId="0" fontId="37" fillId="0" borderId="0" xfId="0" applyFont="1" applyAlignment="1">
      <alignment horizontal="right"/>
    </xf>
    <xf numFmtId="0" fontId="22" fillId="0" borderId="0" xfId="0" applyFont="1"/>
    <xf numFmtId="164" fontId="7" fillId="0" borderId="0" xfId="0" applyNumberFormat="1" applyFont="1" applyBorder="1" applyAlignment="1">
      <alignment horizontal="center"/>
    </xf>
    <xf numFmtId="0" fontId="0" fillId="0" borderId="0" xfId="0" applyFill="1" applyAlignment="1">
      <alignment horizontal="right" indent="1"/>
    </xf>
    <xf numFmtId="164" fontId="17" fillId="0" borderId="3" xfId="0" applyNumberFormat="1" applyFont="1" applyBorder="1" applyAlignment="1">
      <alignment horizontal="right" vertical="center" indent="1"/>
    </xf>
    <xf numFmtId="0" fontId="121" fillId="0" borderId="0" xfId="0" applyFont="1"/>
    <xf numFmtId="0" fontId="121" fillId="0" borderId="0" xfId="0" applyFont="1" applyAlignment="1">
      <alignment vertical="top"/>
    </xf>
    <xf numFmtId="0" fontId="122" fillId="0" borderId="0" xfId="0" applyFont="1"/>
    <xf numFmtId="0" fontId="123" fillId="0" borderId="0" xfId="0" applyFont="1" applyAlignment="1">
      <alignment vertical="top"/>
    </xf>
    <xf numFmtId="0" fontId="124" fillId="36" borderId="0" xfId="0" applyFont="1" applyFill="1" applyAlignment="1">
      <alignment horizontal="right"/>
    </xf>
    <xf numFmtId="0" fontId="125" fillId="6" borderId="0" xfId="0" applyFont="1" applyFill="1"/>
    <xf numFmtId="0" fontId="22" fillId="0" borderId="0" xfId="0" applyFont="1" applyAlignment="1">
      <alignment horizontal="left" indent="2"/>
    </xf>
    <xf numFmtId="0" fontId="22" fillId="0" borderId="0" xfId="0" applyFont="1" applyAlignment="1">
      <alignment horizontal="left" vertical="top" indent="2"/>
    </xf>
    <xf numFmtId="0" fontId="126" fillId="0" borderId="0" xfId="2" applyFont="1" applyAlignment="1">
      <alignment horizontal="right" vertical="center"/>
    </xf>
    <xf numFmtId="0" fontId="102" fillId="0" borderId="0" xfId="0" applyFont="1" applyAlignment="1">
      <alignment horizontal="left" indent="4"/>
    </xf>
    <xf numFmtId="0" fontId="8" fillId="0" borderId="0" xfId="0" applyFont="1" applyAlignment="1">
      <alignment horizontal="right"/>
    </xf>
    <xf numFmtId="0" fontId="13" fillId="35" borderId="0" xfId="0" applyFont="1" applyFill="1" applyAlignment="1">
      <alignment horizontal="right" indent="2"/>
    </xf>
    <xf numFmtId="0" fontId="44" fillId="0" borderId="0" xfId="9" applyFont="1" applyFill="1" applyBorder="1" applyAlignment="1">
      <alignment vertical="center"/>
    </xf>
    <xf numFmtId="0" fontId="44" fillId="0" borderId="0" xfId="9" applyFont="1" applyFill="1" applyBorder="1" applyAlignment="1">
      <alignment horizontal="left" vertical="center"/>
    </xf>
    <xf numFmtId="0" fontId="127" fillId="0" borderId="0" xfId="9" applyFont="1" applyFill="1" applyBorder="1"/>
    <xf numFmtId="0" fontId="64" fillId="0" borderId="46" xfId="9" applyFont="1" applyFill="1" applyBorder="1" applyAlignment="1"/>
    <xf numFmtId="0" fontId="64" fillId="0" borderId="0" xfId="9" applyFont="1" applyFill="1" applyBorder="1" applyAlignment="1"/>
    <xf numFmtId="0" fontId="59" fillId="0" borderId="0" xfId="9" applyFont="1" applyFill="1" applyBorder="1" applyAlignment="1">
      <alignment horizontal="right" vertical="top"/>
    </xf>
    <xf numFmtId="0" fontId="59" fillId="0" borderId="38" xfId="9" applyFont="1" applyFill="1" applyBorder="1" applyAlignment="1">
      <alignment vertical="top"/>
    </xf>
    <xf numFmtId="0" fontId="57" fillId="2" borderId="47" xfId="9" applyFont="1" applyFill="1" applyBorder="1" applyAlignment="1">
      <alignment horizontal="left" indent="1"/>
    </xf>
    <xf numFmtId="0" fontId="44" fillId="0" borderId="18" xfId="9" applyFont="1" applyFill="1" applyBorder="1" applyAlignment="1">
      <alignment vertical="center"/>
    </xf>
    <xf numFmtId="0" fontId="54" fillId="4" borderId="41" xfId="9" applyFont="1" applyFill="1" applyBorder="1" applyAlignment="1">
      <alignment horizontal="left" indent="1"/>
    </xf>
    <xf numFmtId="0" fontId="59" fillId="0" borderId="22" xfId="6" applyFont="1" applyFill="1" applyBorder="1" applyAlignment="1">
      <alignment vertical="center"/>
    </xf>
    <xf numFmtId="0" fontId="59" fillId="0" borderId="0" xfId="6" applyFont="1" applyFill="1" applyBorder="1" applyAlignment="1">
      <alignment vertical="center"/>
    </xf>
    <xf numFmtId="0" fontId="59" fillId="0" borderId="23" xfId="6" applyFont="1" applyFill="1" applyBorder="1" applyAlignment="1">
      <alignment vertical="center"/>
    </xf>
    <xf numFmtId="0" fontId="59" fillId="0" borderId="22" xfId="6" applyFont="1" applyFill="1" applyBorder="1" applyAlignment="1">
      <alignment horizontal="center" vertical="center"/>
    </xf>
    <xf numFmtId="0" fontId="59" fillId="0" borderId="23" xfId="9" applyFont="1" applyFill="1" applyBorder="1" applyAlignment="1">
      <alignment horizontal="center" textRotation="90" wrapText="1"/>
    </xf>
    <xf numFmtId="0" fontId="47" fillId="38" borderId="23" xfId="9" applyFont="1" applyFill="1" applyBorder="1" applyAlignment="1">
      <alignment horizontal="left" vertical="center" wrapText="1" indent="1"/>
    </xf>
    <xf numFmtId="0" fontId="113" fillId="0" borderId="43" xfId="9" applyFont="1" applyFill="1" applyBorder="1" applyAlignment="1">
      <alignment horizontal="center" textRotation="90" wrapText="1"/>
    </xf>
    <xf numFmtId="0" fontId="56" fillId="10" borderId="52" xfId="9" applyFont="1" applyFill="1" applyBorder="1" applyAlignment="1">
      <alignment vertical="center"/>
    </xf>
    <xf numFmtId="0" fontId="56" fillId="10" borderId="52" xfId="9" applyFont="1" applyFill="1" applyBorder="1" applyAlignment="1">
      <alignment horizontal="left" vertical="center"/>
    </xf>
    <xf numFmtId="0" fontId="56" fillId="10" borderId="53" xfId="9" applyFont="1" applyFill="1" applyBorder="1" applyAlignment="1">
      <alignment vertical="center"/>
    </xf>
    <xf numFmtId="0" fontId="56" fillId="10" borderId="4" xfId="9" applyFont="1" applyFill="1" applyBorder="1" applyAlignment="1">
      <alignment vertical="center"/>
    </xf>
    <xf numFmtId="0" fontId="56" fillId="10" borderId="55" xfId="9" applyFont="1" applyFill="1" applyBorder="1" applyAlignment="1">
      <alignment vertical="center"/>
    </xf>
    <xf numFmtId="0" fontId="56" fillId="10" borderId="45" xfId="9" applyFont="1" applyFill="1" applyBorder="1" applyAlignment="1">
      <alignment vertical="center"/>
    </xf>
    <xf numFmtId="0" fontId="56" fillId="0" borderId="0" xfId="9" applyFont="1" applyFill="1" applyBorder="1" applyAlignment="1">
      <alignment vertical="center"/>
    </xf>
    <xf numFmtId="172" fontId="134" fillId="39" borderId="56" xfId="9" applyNumberFormat="1" applyFont="1" applyFill="1" applyBorder="1" applyAlignment="1">
      <alignment vertical="center"/>
    </xf>
    <xf numFmtId="0" fontId="44" fillId="0" borderId="30" xfId="9" applyFont="1" applyFill="1" applyBorder="1" applyAlignment="1" applyProtection="1">
      <alignment horizontal="center" vertical="center" wrapText="1"/>
      <protection locked="0"/>
    </xf>
    <xf numFmtId="0" fontId="44" fillId="0" borderId="30" xfId="9" applyFont="1" applyFill="1" applyBorder="1" applyAlignment="1" applyProtection="1">
      <alignment horizontal="left" vertical="center" wrapText="1"/>
      <protection locked="0"/>
    </xf>
    <xf numFmtId="172" fontId="44" fillId="0" borderId="57" xfId="9" applyNumberFormat="1" applyFont="1" applyFill="1" applyBorder="1" applyAlignment="1" applyProtection="1">
      <alignment vertical="center"/>
      <protection locked="0"/>
    </xf>
    <xf numFmtId="172" fontId="54" fillId="0" borderId="32" xfId="9" applyNumberFormat="1" applyFont="1" applyFill="1" applyBorder="1" applyAlignment="1" applyProtection="1">
      <alignment vertical="center"/>
      <protection locked="0"/>
    </xf>
    <xf numFmtId="0" fontId="44" fillId="0" borderId="34" xfId="9" applyFont="1" applyFill="1" applyBorder="1" applyAlignment="1" applyProtection="1">
      <alignment horizontal="center" vertical="center" wrapText="1"/>
      <protection locked="0"/>
    </xf>
    <xf numFmtId="0" fontId="44" fillId="0" borderId="34" xfId="9" applyFont="1" applyFill="1" applyBorder="1" applyAlignment="1" applyProtection="1">
      <alignment horizontal="left" vertical="center" wrapText="1"/>
      <protection locked="0"/>
    </xf>
    <xf numFmtId="172" fontId="44" fillId="0" borderId="59" xfId="9" applyNumberFormat="1" applyFont="1" applyFill="1" applyBorder="1" applyAlignment="1" applyProtection="1">
      <alignment vertical="center"/>
      <protection locked="0"/>
    </xf>
    <xf numFmtId="172" fontId="54" fillId="0" borderId="35" xfId="9" applyNumberFormat="1" applyFont="1" applyFill="1" applyBorder="1" applyAlignment="1" applyProtection="1">
      <alignment vertical="center"/>
      <protection locked="0"/>
    </xf>
    <xf numFmtId="172" fontId="135" fillId="0" borderId="3" xfId="9" applyNumberFormat="1" applyFont="1" applyFill="1" applyBorder="1" applyAlignment="1">
      <alignment horizontal="center" vertical="center"/>
    </xf>
    <xf numFmtId="172" fontId="135" fillId="0" borderId="3" xfId="9" applyNumberFormat="1" applyFont="1" applyFill="1" applyBorder="1" applyAlignment="1">
      <alignment horizontal="left" vertical="center"/>
    </xf>
    <xf numFmtId="0" fontId="76" fillId="0" borderId="40" xfId="9" applyFont="1" applyFill="1" applyBorder="1" applyAlignment="1">
      <alignment horizontal="right" vertical="center"/>
    </xf>
    <xf numFmtId="172" fontId="78" fillId="39" borderId="3" xfId="9" applyNumberFormat="1" applyFont="1" applyFill="1" applyBorder="1" applyAlignment="1">
      <alignment vertical="center"/>
    </xf>
    <xf numFmtId="172" fontId="129" fillId="39" borderId="61" xfId="9" applyNumberFormat="1" applyFont="1" applyFill="1" applyBorder="1" applyAlignment="1">
      <alignment vertical="center"/>
    </xf>
    <xf numFmtId="172" fontId="136" fillId="39" borderId="1" xfId="9" applyNumberFormat="1" applyFont="1" applyFill="1" applyBorder="1" applyAlignment="1">
      <alignment vertical="center"/>
    </xf>
    <xf numFmtId="0" fontId="44" fillId="0" borderId="8" xfId="9" applyFont="1" applyFill="1" applyBorder="1" applyAlignment="1">
      <alignment vertical="center"/>
    </xf>
    <xf numFmtId="0" fontId="44" fillId="0" borderId="23" xfId="9" applyFont="1" applyFill="1" applyBorder="1" applyAlignment="1">
      <alignment vertical="center"/>
    </xf>
    <xf numFmtId="0" fontId="64" fillId="0" borderId="0" xfId="9" applyFont="1" applyFill="1" applyBorder="1" applyAlignment="1">
      <alignment vertical="center"/>
    </xf>
    <xf numFmtId="0" fontId="64" fillId="0" borderId="0" xfId="9" applyFont="1" applyFill="1" applyBorder="1" applyAlignment="1">
      <alignment horizontal="left" vertical="center"/>
    </xf>
    <xf numFmtId="0" fontId="47" fillId="0" borderId="0" xfId="9" applyFont="1" applyFill="1" applyBorder="1" applyAlignment="1">
      <alignment horizontal="right"/>
    </xf>
    <xf numFmtId="0" fontId="137" fillId="0" borderId="0" xfId="9" applyFont="1" applyFill="1" applyBorder="1" applyAlignment="1">
      <alignment horizontal="left"/>
    </xf>
    <xf numFmtId="0" fontId="58" fillId="0" borderId="0" xfId="9" applyFont="1" applyFill="1" applyBorder="1" applyAlignment="1">
      <alignment horizontal="right" vertical="center"/>
    </xf>
    <xf numFmtId="0" fontId="44" fillId="0" borderId="63" xfId="9" applyFont="1" applyFill="1" applyBorder="1" applyAlignment="1" applyProtection="1">
      <alignment horizontal="center" vertical="center" wrapText="1"/>
      <protection locked="0"/>
    </xf>
    <xf numFmtId="172" fontId="44" fillId="0" borderId="64" xfId="9" applyNumberFormat="1" applyFont="1" applyFill="1" applyBorder="1" applyAlignment="1" applyProtection="1">
      <alignment vertical="center"/>
      <protection locked="0"/>
    </xf>
    <xf numFmtId="172" fontId="54" fillId="0" borderId="65" xfId="9" applyNumberFormat="1" applyFont="1" applyFill="1" applyBorder="1" applyAlignment="1" applyProtection="1">
      <alignment vertical="center"/>
      <protection locked="0"/>
    </xf>
    <xf numFmtId="0" fontId="44" fillId="0" borderId="66" xfId="9" applyFont="1" applyFill="1" applyBorder="1" applyAlignment="1" applyProtection="1">
      <alignment horizontal="center" vertical="center" wrapText="1"/>
      <protection locked="0"/>
    </xf>
    <xf numFmtId="0" fontId="76" fillId="0" borderId="54" xfId="9" applyFont="1" applyFill="1" applyBorder="1" applyAlignment="1">
      <alignment horizontal="right" vertical="center"/>
    </xf>
    <xf numFmtId="0" fontId="138" fillId="0" borderId="0" xfId="0" applyFont="1" applyAlignment="1">
      <alignment vertical="center"/>
    </xf>
    <xf numFmtId="0" fontId="139" fillId="40" borderId="0" xfId="7" applyFont="1" applyFill="1"/>
    <xf numFmtId="0" fontId="54" fillId="0" borderId="0" xfId="7" applyFont="1" applyAlignment="1">
      <alignment vertical="center"/>
    </xf>
    <xf numFmtId="0" fontId="140" fillId="0" borderId="0" xfId="7" applyFont="1" applyAlignment="1">
      <alignment textRotation="90"/>
    </xf>
    <xf numFmtId="0" fontId="105" fillId="40" borderId="0" xfId="7" applyFont="1" applyFill="1"/>
    <xf numFmtId="0" fontId="44" fillId="40" borderId="0" xfId="7" applyFont="1" applyFill="1"/>
    <xf numFmtId="0" fontId="47" fillId="40" borderId="0" xfId="7" applyFont="1" applyFill="1"/>
    <xf numFmtId="0" fontId="5" fillId="40" borderId="0" xfId="0" applyFont="1" applyFill="1"/>
    <xf numFmtId="0" fontId="54" fillId="40" borderId="0" xfId="7" applyFont="1" applyFill="1" applyAlignment="1">
      <alignment horizontal="right" vertical="center"/>
    </xf>
    <xf numFmtId="0" fontId="5" fillId="0" borderId="0" xfId="0" applyFont="1"/>
    <xf numFmtId="0" fontId="47" fillId="0" borderId="0" xfId="7" applyFont="1"/>
    <xf numFmtId="0" fontId="54" fillId="0" borderId="0" xfId="7" applyFont="1" applyAlignment="1">
      <alignment horizontal="right" vertical="center"/>
    </xf>
    <xf numFmtId="0" fontId="58" fillId="29" borderId="0" xfId="7" applyFont="1" applyFill="1" applyBorder="1" applyAlignment="1">
      <alignment horizontal="right"/>
    </xf>
    <xf numFmtId="164" fontId="58" fillId="3" borderId="1" xfId="7" applyNumberFormat="1" applyFont="1" applyFill="1" applyBorder="1" applyAlignment="1" applyProtection="1">
      <alignment horizontal="center" vertical="center"/>
      <protection locked="0"/>
    </xf>
    <xf numFmtId="0" fontId="59" fillId="20" borderId="2" xfId="10" applyFont="1" applyFill="1" applyBorder="1" applyAlignment="1">
      <alignment horizontal="center" textRotation="90" wrapText="1"/>
    </xf>
    <xf numFmtId="0" fontId="59" fillId="41" borderId="2" xfId="10" applyFont="1" applyFill="1" applyBorder="1" applyAlignment="1">
      <alignment horizontal="center" textRotation="90" wrapText="1"/>
    </xf>
    <xf numFmtId="0" fontId="59" fillId="27" borderId="2" xfId="10" applyFont="1" applyFill="1" applyBorder="1" applyAlignment="1">
      <alignment horizontal="center" textRotation="90" wrapText="1"/>
    </xf>
    <xf numFmtId="0" fontId="59" fillId="42" borderId="2" xfId="10" applyFont="1" applyFill="1" applyBorder="1" applyAlignment="1">
      <alignment horizontal="center" textRotation="90" wrapText="1"/>
    </xf>
    <xf numFmtId="0" fontId="59" fillId="43" borderId="2" xfId="10" applyFont="1" applyFill="1" applyBorder="1" applyAlignment="1">
      <alignment horizontal="center" textRotation="90"/>
    </xf>
    <xf numFmtId="0" fontId="56" fillId="10" borderId="34" xfId="10" applyFont="1" applyFill="1" applyBorder="1" applyAlignment="1">
      <alignment vertical="center"/>
    </xf>
    <xf numFmtId="0" fontId="56" fillId="10" borderId="58" xfId="10" applyFont="1" applyFill="1" applyBorder="1" applyAlignment="1">
      <alignment vertical="center"/>
    </xf>
    <xf numFmtId="0" fontId="56" fillId="10" borderId="67" xfId="10" applyFont="1" applyFill="1" applyBorder="1" applyAlignment="1">
      <alignment vertical="center"/>
    </xf>
    <xf numFmtId="0" fontId="56" fillId="10" borderId="45" xfId="10" applyFont="1" applyFill="1" applyBorder="1" applyAlignment="1">
      <alignment vertical="center"/>
    </xf>
    <xf numFmtId="0" fontId="44" fillId="20" borderId="30" xfId="10" applyFont="1" applyFill="1" applyBorder="1" applyAlignment="1" applyProtection="1">
      <alignment horizontal="center" vertical="center" wrapText="1"/>
      <protection locked="0"/>
    </xf>
    <xf numFmtId="172" fontId="44" fillId="20" borderId="2" xfId="10" applyNumberFormat="1" applyFont="1" applyFill="1" applyBorder="1" applyAlignment="1" applyProtection="1">
      <alignment vertical="center"/>
      <protection locked="0"/>
    </xf>
    <xf numFmtId="172" fontId="44" fillId="41" borderId="36" xfId="10" applyNumberFormat="1" applyFont="1" applyFill="1" applyBorder="1" applyAlignment="1" applyProtection="1">
      <alignment vertical="center"/>
      <protection locked="0"/>
    </xf>
    <xf numFmtId="172" fontId="44" fillId="27" borderId="57" xfId="10" applyNumberFormat="1" applyFont="1" applyFill="1" applyBorder="1" applyAlignment="1" applyProtection="1">
      <alignment vertical="center"/>
      <protection locked="0"/>
    </xf>
    <xf numFmtId="172" fontId="44" fillId="42" borderId="57" xfId="10" applyNumberFormat="1" applyFont="1" applyFill="1" applyBorder="1" applyAlignment="1" applyProtection="1">
      <alignment vertical="center"/>
      <protection locked="0"/>
    </xf>
    <xf numFmtId="172" fontId="44" fillId="43" borderId="57" xfId="10" applyNumberFormat="1" applyFont="1" applyFill="1" applyBorder="1" applyAlignment="1" applyProtection="1">
      <alignment vertical="center"/>
      <protection locked="0"/>
    </xf>
    <xf numFmtId="172" fontId="78" fillId="44" borderId="60" xfId="10" applyNumberFormat="1" applyFont="1" applyFill="1" applyBorder="1" applyAlignment="1">
      <alignment vertical="center"/>
    </xf>
    <xf numFmtId="172" fontId="78" fillId="45" borderId="60" xfId="10" applyNumberFormat="1" applyFont="1" applyFill="1" applyBorder="1" applyAlignment="1">
      <alignment vertical="center"/>
    </xf>
    <xf numFmtId="172" fontId="78" fillId="46" borderId="40" xfId="10" applyNumberFormat="1" applyFont="1" applyFill="1" applyBorder="1" applyAlignment="1">
      <alignment vertical="center"/>
    </xf>
    <xf numFmtId="172" fontId="78" fillId="47" borderId="60" xfId="10" applyNumberFormat="1" applyFont="1" applyFill="1" applyBorder="1" applyAlignment="1">
      <alignment vertical="center"/>
    </xf>
    <xf numFmtId="172" fontId="78" fillId="48" borderId="60" xfId="10" applyNumberFormat="1" applyFont="1" applyFill="1" applyBorder="1" applyAlignment="1">
      <alignment vertical="center"/>
    </xf>
    <xf numFmtId="0" fontId="57" fillId="4" borderId="68" xfId="10" applyFont="1" applyFill="1" applyBorder="1" applyAlignment="1">
      <alignment horizontal="left" indent="1"/>
    </xf>
    <xf numFmtId="0" fontId="56" fillId="10" borderId="53" xfId="10" applyFont="1" applyFill="1" applyBorder="1" applyAlignment="1">
      <alignment vertical="center"/>
    </xf>
    <xf numFmtId="0" fontId="44" fillId="4" borderId="69" xfId="9" applyFont="1" applyFill="1" applyBorder="1" applyAlignment="1">
      <alignment horizontal="left" indent="1"/>
    </xf>
    <xf numFmtId="0" fontId="0" fillId="0" borderId="0" xfId="0" applyProtection="1">
      <protection hidden="1"/>
    </xf>
    <xf numFmtId="0" fontId="0" fillId="0" borderId="0" xfId="0" applyAlignment="1" applyProtection="1">
      <alignment horizontal="center"/>
      <protection hidden="1"/>
    </xf>
    <xf numFmtId="173" fontId="97" fillId="8" borderId="2" xfId="0" applyNumberFormat="1" applyFont="1" applyFill="1" applyBorder="1" applyAlignment="1" applyProtection="1">
      <alignment horizontal="center" vertical="center" textRotation="90"/>
      <protection hidden="1"/>
    </xf>
    <xf numFmtId="173" fontId="97" fillId="49" borderId="2" xfId="0" applyNumberFormat="1" applyFont="1" applyFill="1" applyBorder="1" applyAlignment="1" applyProtection="1">
      <alignment horizontal="center" vertical="center" textRotation="90"/>
      <protection hidden="1"/>
    </xf>
    <xf numFmtId="173" fontId="97" fillId="50" borderId="2" xfId="0" applyNumberFormat="1" applyFont="1" applyFill="1" applyBorder="1" applyAlignment="1" applyProtection="1">
      <alignment horizontal="center" vertical="center" textRotation="90"/>
      <protection hidden="1"/>
    </xf>
    <xf numFmtId="0" fontId="143" fillId="2" borderId="40" xfId="0" applyFont="1" applyFill="1" applyBorder="1" applyAlignment="1" applyProtection="1">
      <alignment horizontal="center" vertical="center"/>
      <protection hidden="1"/>
    </xf>
    <xf numFmtId="0" fontId="0" fillId="0" borderId="0" xfId="0" applyFill="1" applyProtection="1">
      <protection hidden="1"/>
    </xf>
    <xf numFmtId="0" fontId="97" fillId="0" borderId="41" xfId="0" applyFont="1" applyBorder="1" applyAlignment="1" applyProtection="1">
      <alignment horizontal="center" vertical="center" textRotation="90" wrapText="1"/>
      <protection hidden="1"/>
    </xf>
    <xf numFmtId="173" fontId="0" fillId="0" borderId="0" xfId="0" applyNumberFormat="1" applyFill="1" applyBorder="1" applyAlignment="1" applyProtection="1">
      <alignment horizontal="left"/>
      <protection hidden="1"/>
    </xf>
    <xf numFmtId="0" fontId="0" fillId="0" borderId="38" xfId="0" applyFont="1" applyFill="1" applyBorder="1" applyProtection="1">
      <protection hidden="1"/>
    </xf>
    <xf numFmtId="0" fontId="97" fillId="0" borderId="70" xfId="0" applyFont="1" applyBorder="1" applyAlignment="1" applyProtection="1">
      <alignment horizontal="center" vertical="center" textRotation="90" wrapText="1"/>
      <protection hidden="1"/>
    </xf>
    <xf numFmtId="173" fontId="0" fillId="0" borderId="71" xfId="0" applyNumberFormat="1" applyBorder="1" applyProtection="1">
      <protection hidden="1"/>
    </xf>
    <xf numFmtId="173" fontId="0" fillId="0" borderId="72" xfId="0" applyNumberFormat="1" applyBorder="1" applyProtection="1">
      <protection hidden="1"/>
    </xf>
    <xf numFmtId="0" fontId="0" fillId="0" borderId="26" xfId="0" applyFont="1" applyFill="1" applyBorder="1" applyProtection="1">
      <protection hidden="1"/>
    </xf>
    <xf numFmtId="0" fontId="0" fillId="0" borderId="2"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73" xfId="0" applyBorder="1" applyAlignment="1" applyProtection="1">
      <alignment horizontal="center"/>
      <protection hidden="1"/>
    </xf>
    <xf numFmtId="0" fontId="0" fillId="0" borderId="74" xfId="0" applyBorder="1" applyAlignment="1" applyProtection="1">
      <alignment horizontal="center"/>
      <protection hidden="1"/>
    </xf>
    <xf numFmtId="0" fontId="0" fillId="51" borderId="0" xfId="0" applyFill="1" applyAlignment="1" applyProtection="1">
      <alignment horizontal="center"/>
      <protection hidden="1"/>
    </xf>
    <xf numFmtId="173" fontId="97" fillId="0" borderId="75" xfId="0" applyNumberFormat="1" applyFont="1" applyFill="1" applyBorder="1" applyProtection="1">
      <protection hidden="1"/>
    </xf>
    <xf numFmtId="173" fontId="0" fillId="0" borderId="75" xfId="0" applyNumberFormat="1" applyBorder="1" applyProtection="1">
      <protection hidden="1"/>
    </xf>
    <xf numFmtId="0" fontId="0" fillId="0" borderId="31" xfId="0" applyFont="1" applyFill="1" applyBorder="1" applyAlignment="1" applyProtection="1">
      <alignment horizontal="center" vertical="center"/>
      <protection hidden="1"/>
    </xf>
    <xf numFmtId="0" fontId="0" fillId="0" borderId="76" xfId="0" applyFill="1" applyBorder="1" applyAlignment="1" applyProtection="1">
      <alignment horizontal="center"/>
      <protection hidden="1"/>
    </xf>
    <xf numFmtId="4" fontId="0" fillId="0" borderId="77" xfId="0" applyNumberFormat="1" applyFill="1" applyBorder="1" applyAlignment="1" applyProtection="1">
      <alignment horizontal="center"/>
      <protection hidden="1"/>
    </xf>
    <xf numFmtId="0" fontId="0" fillId="0" borderId="77" xfId="0" applyFill="1" applyBorder="1" applyAlignment="1" applyProtection="1">
      <alignment horizontal="center"/>
      <protection hidden="1"/>
    </xf>
    <xf numFmtId="173" fontId="0" fillId="51" borderId="78" xfId="0" applyNumberFormat="1" applyFill="1" applyBorder="1" applyAlignment="1" applyProtection="1">
      <alignment horizontal="center"/>
      <protection hidden="1"/>
    </xf>
    <xf numFmtId="173" fontId="97" fillId="0" borderId="78" xfId="0" applyNumberFormat="1" applyFont="1" applyFill="1" applyBorder="1" applyProtection="1">
      <protection hidden="1"/>
    </xf>
    <xf numFmtId="173" fontId="0" fillId="0" borderId="78" xfId="0" applyNumberFormat="1" applyFill="1" applyBorder="1" applyProtection="1">
      <protection hidden="1"/>
    </xf>
    <xf numFmtId="173" fontId="0" fillId="0" borderId="78" xfId="0" applyNumberFormat="1" applyBorder="1" applyProtection="1">
      <protection hidden="1"/>
    </xf>
    <xf numFmtId="1" fontId="0" fillId="0" borderId="73" xfId="0" applyNumberFormat="1" applyBorder="1" applyAlignment="1" applyProtection="1">
      <alignment horizontal="center"/>
      <protection hidden="1"/>
    </xf>
    <xf numFmtId="3" fontId="0" fillId="0" borderId="73" xfId="0" applyNumberFormat="1" applyBorder="1" applyAlignment="1" applyProtection="1">
      <alignment horizontal="center"/>
      <protection hidden="1"/>
    </xf>
    <xf numFmtId="0" fontId="0" fillId="0" borderId="0" xfId="0" applyFont="1" applyFill="1" applyBorder="1" applyProtection="1">
      <protection hidden="1"/>
    </xf>
    <xf numFmtId="173" fontId="0" fillId="51" borderId="0" xfId="0" applyNumberFormat="1" applyFill="1" applyAlignment="1" applyProtection="1">
      <alignment horizontal="center"/>
      <protection hidden="1"/>
    </xf>
    <xf numFmtId="0" fontId="0" fillId="0" borderId="0" xfId="0" applyFill="1" applyAlignment="1" applyProtection="1">
      <alignment horizontal="center"/>
      <protection hidden="1"/>
    </xf>
    <xf numFmtId="0" fontId="0" fillId="0" borderId="0" xfId="0" quotePrefix="1" applyProtection="1">
      <protection hidden="1"/>
    </xf>
    <xf numFmtId="0" fontId="143" fillId="0" borderId="0" xfId="0" applyFont="1" applyFill="1" applyBorder="1" applyAlignment="1" applyProtection="1">
      <alignment horizontal="center" vertical="center"/>
      <protection hidden="1"/>
    </xf>
    <xf numFmtId="0" fontId="146" fillId="0" borderId="0" xfId="11" applyFont="1"/>
    <xf numFmtId="0" fontId="3" fillId="0" borderId="0" xfId="11"/>
    <xf numFmtId="0" fontId="3" fillId="52" borderId="0" xfId="11" applyFill="1" applyAlignment="1">
      <alignment horizontal="right"/>
    </xf>
    <xf numFmtId="0" fontId="147" fillId="0" borderId="0" xfId="11" applyFont="1" applyAlignment="1">
      <alignment horizontal="right"/>
    </xf>
    <xf numFmtId="0" fontId="148" fillId="0" borderId="0" xfId="11" applyFont="1" applyAlignment="1">
      <alignment horizontal="left"/>
    </xf>
    <xf numFmtId="0" fontId="149" fillId="0" borderId="0" xfId="11" applyFont="1"/>
    <xf numFmtId="14" fontId="144" fillId="0" borderId="0" xfId="11" applyNumberFormat="1" applyFont="1" applyAlignment="1">
      <alignment horizontal="left"/>
    </xf>
    <xf numFmtId="14" fontId="144" fillId="0" borderId="0" xfId="11" applyNumberFormat="1" applyFont="1" applyAlignment="1">
      <alignment horizontal="center"/>
    </xf>
    <xf numFmtId="22" fontId="3" fillId="0" borderId="0" xfId="11" applyNumberFormat="1"/>
    <xf numFmtId="0" fontId="147" fillId="0" borderId="0" xfId="11" quotePrefix="1" applyFont="1" applyAlignment="1">
      <alignment horizontal="left" vertical="top"/>
    </xf>
    <xf numFmtId="0" fontId="151" fillId="0" borderId="0" xfId="12" applyFont="1" applyAlignment="1">
      <alignment horizontal="left"/>
    </xf>
    <xf numFmtId="0" fontId="3" fillId="0" borderId="0" xfId="11" applyAlignment="1">
      <alignment vertical="top"/>
    </xf>
    <xf numFmtId="0" fontId="152" fillId="0" borderId="0" xfId="11" applyFont="1"/>
    <xf numFmtId="0" fontId="108" fillId="0" borderId="0" xfId="11" applyFont="1"/>
    <xf numFmtId="0" fontId="147" fillId="0" borderId="0" xfId="11" applyFont="1" applyAlignment="1">
      <alignment horizontal="left" vertical="center"/>
    </xf>
    <xf numFmtId="0" fontId="153" fillId="0" borderId="0" xfId="11" quotePrefix="1" applyFont="1" applyAlignment="1">
      <alignment horizontal="left" vertical="center"/>
    </xf>
    <xf numFmtId="14" fontId="30" fillId="0" borderId="0" xfId="11" applyNumberFormat="1" applyFont="1"/>
    <xf numFmtId="0" fontId="154" fillId="0" borderId="0" xfId="11" applyFont="1" applyAlignment="1">
      <alignment horizontal="left"/>
    </xf>
    <xf numFmtId="49" fontId="155" fillId="53" borderId="0" xfId="12" applyNumberFormat="1" applyFont="1" applyFill="1" applyAlignment="1">
      <alignment horizontal="center" vertical="center"/>
    </xf>
    <xf numFmtId="49" fontId="155" fillId="54" borderId="36" xfId="12" applyNumberFormat="1" applyFont="1" applyFill="1" applyBorder="1" applyAlignment="1">
      <alignment horizontal="center" vertical="center"/>
    </xf>
    <xf numFmtId="1" fontId="156" fillId="2" borderId="2" xfId="11" applyNumberFormat="1" applyFont="1" applyFill="1" applyBorder="1" applyAlignment="1" applyProtection="1">
      <alignment horizontal="center" vertical="center"/>
      <protection locked="0"/>
    </xf>
    <xf numFmtId="0" fontId="3" fillId="55" borderId="0" xfId="11" applyFill="1"/>
    <xf numFmtId="0" fontId="157" fillId="0" borderId="0" xfId="11" applyFont="1"/>
    <xf numFmtId="0" fontId="158" fillId="0" borderId="0" xfId="11" applyFont="1"/>
    <xf numFmtId="49" fontId="159" fillId="0" borderId="0" xfId="12" applyNumberFormat="1" applyFont="1" applyAlignment="1">
      <alignment horizontal="right"/>
    </xf>
    <xf numFmtId="1" fontId="160" fillId="0" borderId="69" xfId="12" applyNumberFormat="1" applyFont="1" applyBorder="1" applyAlignment="1">
      <alignment horizontal="right" indent="1"/>
    </xf>
    <xf numFmtId="1" fontId="150" fillId="0" borderId="69" xfId="12" applyNumberFormat="1" applyBorder="1" applyAlignment="1" applyProtection="1">
      <alignment horizontal="right" indent="1"/>
      <protection locked="0"/>
    </xf>
    <xf numFmtId="0" fontId="161" fillId="0" borderId="0" xfId="11" applyFont="1" applyAlignment="1">
      <alignment horizontal="right"/>
    </xf>
    <xf numFmtId="2" fontId="156" fillId="2" borderId="2" xfId="11" applyNumberFormat="1" applyFont="1" applyFill="1" applyBorder="1" applyAlignment="1" applyProtection="1">
      <alignment horizontal="center" vertical="center"/>
      <protection locked="0"/>
    </xf>
    <xf numFmtId="0" fontId="108" fillId="0" borderId="0" xfId="11" applyFont="1" applyAlignment="1">
      <alignment vertical="center"/>
    </xf>
    <xf numFmtId="2" fontId="154" fillId="0" borderId="0" xfId="11" applyNumberFormat="1" applyFont="1" applyAlignment="1">
      <alignment horizontal="left"/>
    </xf>
    <xf numFmtId="1" fontId="160" fillId="56" borderId="69" xfId="12" applyNumberFormat="1" applyFont="1" applyFill="1" applyBorder="1" applyAlignment="1">
      <alignment horizontal="right" indent="1"/>
    </xf>
    <xf numFmtId="2" fontId="3" fillId="56" borderId="1" xfId="11" applyNumberFormat="1" applyFont="1" applyFill="1" applyBorder="1" applyAlignment="1" applyProtection="1">
      <alignment horizontal="right" indent="1"/>
      <protection locked="0"/>
    </xf>
    <xf numFmtId="0" fontId="162" fillId="56" borderId="0" xfId="11" applyFont="1" applyFill="1"/>
    <xf numFmtId="4" fontId="3" fillId="0" borderId="45" xfId="11" applyNumberFormat="1" applyBorder="1" applyAlignment="1" applyProtection="1">
      <alignment horizontal="right" indent="1"/>
      <protection locked="0"/>
    </xf>
    <xf numFmtId="0" fontId="163" fillId="0" borderId="0" xfId="11" applyFont="1" applyAlignment="1">
      <alignment horizontal="left" vertical="center"/>
    </xf>
    <xf numFmtId="49" fontId="164" fillId="27" borderId="0" xfId="12" applyNumberFormat="1" applyFont="1" applyFill="1" applyAlignment="1">
      <alignment horizontal="right"/>
    </xf>
    <xf numFmtId="1" fontId="160" fillId="27" borderId="69" xfId="12" applyNumberFormat="1" applyFont="1" applyFill="1" applyBorder="1" applyAlignment="1">
      <alignment horizontal="right" indent="1"/>
    </xf>
    <xf numFmtId="2" fontId="3" fillId="27" borderId="45" xfId="11" applyNumberFormat="1" applyFill="1" applyBorder="1" applyAlignment="1" applyProtection="1">
      <alignment horizontal="right" indent="1"/>
    </xf>
    <xf numFmtId="0" fontId="165" fillId="0" borderId="0" xfId="11" applyFont="1"/>
    <xf numFmtId="1" fontId="154" fillId="0" borderId="0" xfId="11" applyNumberFormat="1" applyFont="1" applyAlignment="1">
      <alignment horizontal="left"/>
    </xf>
    <xf numFmtId="0" fontId="3" fillId="0" borderId="1" xfId="11" applyBorder="1" applyAlignment="1" applyProtection="1">
      <alignment horizontal="right" indent="1"/>
      <protection locked="0"/>
    </xf>
    <xf numFmtId="2" fontId="3" fillId="0" borderId="1" xfId="11" applyNumberFormat="1" applyBorder="1" applyAlignment="1" applyProtection="1">
      <alignment horizontal="right" indent="1"/>
      <protection locked="0"/>
    </xf>
    <xf numFmtId="1" fontId="160" fillId="28" borderId="69" xfId="12" applyNumberFormat="1" applyFont="1" applyFill="1" applyBorder="1" applyAlignment="1">
      <alignment horizontal="right" indent="1"/>
    </xf>
    <xf numFmtId="2" fontId="3" fillId="28" borderId="1" xfId="11" applyNumberFormat="1" applyFill="1" applyBorder="1" applyAlignment="1" applyProtection="1">
      <alignment horizontal="right" indent="1"/>
      <protection locked="0"/>
    </xf>
    <xf numFmtId="0" fontId="166" fillId="28" borderId="0" xfId="11" applyFont="1" applyFill="1"/>
    <xf numFmtId="2" fontId="3" fillId="56" borderId="1" xfId="11" applyNumberFormat="1" applyFill="1" applyBorder="1" applyAlignment="1" applyProtection="1">
      <alignment horizontal="right" indent="1"/>
      <protection locked="0"/>
    </xf>
    <xf numFmtId="0" fontId="166" fillId="56" borderId="0" xfId="11" applyFont="1" applyFill="1"/>
    <xf numFmtId="0" fontId="3" fillId="9" borderId="0" xfId="11" quotePrefix="1" applyFill="1" applyAlignment="1">
      <alignment horizontal="right"/>
    </xf>
    <xf numFmtId="1" fontId="160" fillId="9" borderId="69" xfId="12" applyNumberFormat="1" applyFont="1" applyFill="1" applyBorder="1" applyAlignment="1">
      <alignment horizontal="right" indent="1"/>
    </xf>
    <xf numFmtId="2" fontId="3" fillId="9" borderId="1" xfId="11" applyNumberFormat="1" applyFill="1" applyBorder="1" applyAlignment="1" applyProtection="1">
      <alignment horizontal="right" indent="1"/>
      <protection locked="0"/>
    </xf>
    <xf numFmtId="0" fontId="161" fillId="9" borderId="0" xfId="11" applyFont="1" applyFill="1"/>
    <xf numFmtId="0" fontId="156" fillId="2" borderId="2" xfId="11" applyFont="1" applyFill="1" applyBorder="1" applyAlignment="1" applyProtection="1">
      <alignment horizontal="center" vertical="center"/>
      <protection locked="0"/>
    </xf>
    <xf numFmtId="0" fontId="160" fillId="0" borderId="69" xfId="12" applyFont="1" applyBorder="1" applyAlignment="1">
      <alignment horizontal="right" indent="1"/>
    </xf>
    <xf numFmtId="0" fontId="166" fillId="0" borderId="0" xfId="11" applyFont="1" applyAlignment="1">
      <alignment horizontal="right"/>
    </xf>
    <xf numFmtId="0" fontId="167" fillId="0" borderId="0" xfId="11" applyFont="1" applyAlignment="1">
      <alignment vertical="top"/>
    </xf>
    <xf numFmtId="0" fontId="3" fillId="0" borderId="1" xfId="11" applyBorder="1" applyAlignment="1">
      <alignment horizontal="right" indent="1"/>
    </xf>
    <xf numFmtId="49" fontId="150" fillId="0" borderId="0" xfId="12" applyNumberFormat="1" applyAlignment="1">
      <alignment horizontal="right"/>
    </xf>
    <xf numFmtId="1" fontId="160" fillId="0" borderId="0" xfId="12" applyNumberFormat="1" applyFont="1" applyBorder="1" applyAlignment="1">
      <alignment horizontal="right" indent="1"/>
    </xf>
    <xf numFmtId="0" fontId="3" fillId="0" borderId="0" xfId="11" applyBorder="1" applyAlignment="1">
      <alignment horizontal="right" indent="1"/>
    </xf>
    <xf numFmtId="0" fontId="3" fillId="0" borderId="0" xfId="11" applyProtection="1">
      <protection locked="0"/>
    </xf>
    <xf numFmtId="0" fontId="144" fillId="0" borderId="79" xfId="11" applyFont="1" applyBorder="1" applyAlignment="1">
      <alignment horizontal="right"/>
    </xf>
    <xf numFmtId="1" fontId="144" fillId="0" borderId="79" xfId="11" applyNumberFormat="1" applyFont="1" applyBorder="1" applyAlignment="1">
      <alignment horizontal="right"/>
    </xf>
    <xf numFmtId="0" fontId="3" fillId="0" borderId="0" xfId="11" applyAlignment="1">
      <alignment horizontal="right"/>
    </xf>
    <xf numFmtId="14" fontId="3" fillId="0" borderId="0" xfId="11" applyNumberFormat="1"/>
    <xf numFmtId="0" fontId="168" fillId="0" borderId="0" xfId="11" applyFont="1" applyAlignment="1">
      <alignment horizontal="right"/>
    </xf>
    <xf numFmtId="0" fontId="3" fillId="0" borderId="0" xfId="13"/>
    <xf numFmtId="0" fontId="169" fillId="57" borderId="0" xfId="13" applyFont="1" applyFill="1" applyAlignment="1">
      <alignment horizontal="center" vertical="top"/>
    </xf>
    <xf numFmtId="0" fontId="146" fillId="43" borderId="0" xfId="13" applyFont="1" applyFill="1" applyAlignment="1">
      <alignment horizontal="center"/>
    </xf>
    <xf numFmtId="164" fontId="170" fillId="57" borderId="0" xfId="13" applyNumberFormat="1" applyFont="1" applyFill="1" applyAlignment="1">
      <alignment horizontal="center" vertical="center"/>
    </xf>
    <xf numFmtId="0" fontId="3" fillId="0" borderId="0" xfId="13" applyAlignment="1">
      <alignment horizontal="right"/>
    </xf>
    <xf numFmtId="164" fontId="170" fillId="18" borderId="0" xfId="13" applyNumberFormat="1" applyFont="1" applyFill="1" applyAlignment="1">
      <alignment horizontal="center"/>
    </xf>
    <xf numFmtId="0" fontId="171" fillId="4" borderId="0" xfId="13" applyFont="1" applyFill="1" applyAlignment="1">
      <alignment vertical="top"/>
    </xf>
    <xf numFmtId="0" fontId="171" fillId="4" borderId="0" xfId="13" applyFont="1" applyFill="1" applyAlignment="1">
      <alignment vertical="top" wrapText="1"/>
    </xf>
    <xf numFmtId="164" fontId="171" fillId="4" borderId="0" xfId="13" applyNumberFormat="1" applyFont="1" applyFill="1" applyAlignment="1">
      <alignment horizontal="center" vertical="top"/>
    </xf>
    <xf numFmtId="0" fontId="3" fillId="0" borderId="0" xfId="13" applyAlignment="1">
      <alignment vertical="top"/>
    </xf>
    <xf numFmtId="0" fontId="3" fillId="0" borderId="0" xfId="13" applyAlignment="1">
      <alignment horizontal="right" vertical="top"/>
    </xf>
    <xf numFmtId="0" fontId="3" fillId="0" borderId="1" xfId="13" applyFill="1" applyBorder="1"/>
    <xf numFmtId="164" fontId="170" fillId="0" borderId="0" xfId="13" applyNumberFormat="1" applyFont="1"/>
    <xf numFmtId="0" fontId="3" fillId="0" borderId="0" xfId="13" applyFont="1"/>
    <xf numFmtId="0" fontId="3" fillId="0" borderId="0" xfId="13" applyNumberFormat="1"/>
    <xf numFmtId="0" fontId="3" fillId="0" borderId="0" xfId="13" applyFill="1"/>
    <xf numFmtId="0" fontId="45" fillId="0" borderId="0" xfId="2" applyFont="1" applyFill="1" applyProtection="1"/>
    <xf numFmtId="0" fontId="3" fillId="0" borderId="0" xfId="0" applyFont="1"/>
    <xf numFmtId="0" fontId="172" fillId="0" borderId="0" xfId="2" applyFont="1"/>
    <xf numFmtId="164" fontId="59" fillId="0" borderId="0" xfId="2" applyNumberFormat="1" applyFont="1" applyBorder="1" applyAlignment="1">
      <alignment horizontal="center"/>
    </xf>
    <xf numFmtId="0" fontId="59" fillId="0" borderId="0" xfId="2" applyFont="1" applyBorder="1" applyAlignment="1">
      <alignment vertical="center"/>
    </xf>
    <xf numFmtId="0" fontId="3" fillId="0" borderId="80" xfId="0" applyFont="1" applyBorder="1"/>
    <xf numFmtId="0" fontId="44" fillId="0" borderId="38" xfId="0" applyFont="1" applyBorder="1" applyAlignment="1">
      <alignment horizontal="left" vertical="top"/>
    </xf>
    <xf numFmtId="0" fontId="3" fillId="0" borderId="0" xfId="0" applyFont="1" applyAlignment="1">
      <alignment horizontal="left" vertical="top"/>
    </xf>
    <xf numFmtId="0" fontId="3" fillId="0" borderId="20" xfId="0" applyFont="1" applyBorder="1" applyAlignment="1">
      <alignment horizontal="centerContinuous"/>
    </xf>
    <xf numFmtId="0" fontId="3" fillId="0" borderId="42" xfId="0" applyFont="1" applyBorder="1" applyAlignment="1">
      <alignment horizontal="centerContinuous"/>
    </xf>
    <xf numFmtId="0" fontId="3" fillId="0" borderId="21" xfId="0" applyFont="1" applyBorder="1" applyAlignment="1">
      <alignment horizontal="centerContinuous"/>
    </xf>
    <xf numFmtId="0" fontId="46" fillId="0" borderId="24" xfId="0" applyFont="1" applyBorder="1" applyAlignment="1">
      <alignment horizontal="center"/>
    </xf>
    <xf numFmtId="0" fontId="46" fillId="0" borderId="0" xfId="0" applyFont="1" applyBorder="1" applyAlignment="1">
      <alignment horizontal="center"/>
    </xf>
    <xf numFmtId="0" fontId="46" fillId="0" borderId="25" xfId="0" applyFont="1" applyBorder="1" applyAlignment="1">
      <alignment horizontal="center"/>
    </xf>
    <xf numFmtId="0" fontId="154" fillId="9" borderId="0" xfId="0" applyFont="1" applyFill="1" applyBorder="1"/>
    <xf numFmtId="0" fontId="58" fillId="0" borderId="17" xfId="0" applyFont="1" applyBorder="1" applyAlignment="1">
      <alignment horizontal="center"/>
    </xf>
    <xf numFmtId="0" fontId="58" fillId="0" borderId="28" xfId="0" applyFont="1" applyBorder="1" applyAlignment="1">
      <alignment horizontal="center"/>
    </xf>
    <xf numFmtId="0" fontId="44" fillId="0" borderId="29" xfId="0" applyFont="1" applyBorder="1" applyAlignment="1">
      <alignment horizontal="center"/>
    </xf>
    <xf numFmtId="0" fontId="44" fillId="0" borderId="46" xfId="0" applyFont="1" applyBorder="1" applyAlignment="1">
      <alignment horizontal="center"/>
    </xf>
    <xf numFmtId="0" fontId="154" fillId="59" borderId="0" xfId="0" applyFont="1" applyFill="1"/>
    <xf numFmtId="0" fontId="154" fillId="59" borderId="0" xfId="0" applyFont="1" applyFill="1" applyBorder="1"/>
    <xf numFmtId="0" fontId="154" fillId="4" borderId="0" xfId="0" applyFont="1" applyFill="1"/>
    <xf numFmtId="0" fontId="154" fillId="4" borderId="0" xfId="0" applyFont="1" applyFill="1" applyBorder="1"/>
    <xf numFmtId="20" fontId="84" fillId="26" borderId="19" xfId="2" applyNumberFormat="1" applyFont="1" applyFill="1" applyBorder="1" applyAlignment="1" applyProtection="1">
      <alignment horizontal="center"/>
      <protection locked="0" hidden="1"/>
    </xf>
    <xf numFmtId="0" fontId="87" fillId="3" borderId="66" xfId="4" applyFont="1" applyFill="1" applyBorder="1" applyAlignment="1" applyProtection="1">
      <alignment horizontal="center"/>
      <protection locked="0" hidden="1"/>
    </xf>
    <xf numFmtId="0" fontId="87" fillId="3" borderId="69" xfId="4" applyFont="1" applyFill="1" applyBorder="1" applyAlignment="1" applyProtection="1">
      <alignment horizontal="center"/>
      <protection locked="0" hidden="1"/>
    </xf>
    <xf numFmtId="0" fontId="87" fillId="58" borderId="57" xfId="4" applyNumberFormat="1" applyFont="1" applyFill="1" applyBorder="1" applyAlignment="1" applyProtection="1">
      <alignment horizontal="center"/>
      <protection hidden="1"/>
    </xf>
    <xf numFmtId="0" fontId="3" fillId="59" borderId="0" xfId="0" applyFont="1" applyFill="1"/>
    <xf numFmtId="0" fontId="3" fillId="4" borderId="0" xfId="0" applyFont="1" applyFill="1"/>
    <xf numFmtId="0" fontId="86" fillId="14" borderId="34" xfId="2" applyFont="1" applyFill="1" applyBorder="1" applyAlignment="1" applyProtection="1">
      <alignment horizontal="right" indent="1"/>
      <protection locked="0"/>
    </xf>
    <xf numFmtId="0" fontId="86" fillId="14" borderId="35" xfId="2" applyFont="1" applyFill="1" applyBorder="1" applyAlignment="1" applyProtection="1">
      <alignment horizontal="right" indent="1"/>
      <protection locked="0"/>
    </xf>
    <xf numFmtId="0" fontId="87" fillId="3" borderId="86" xfId="4" applyFont="1" applyFill="1" applyBorder="1" applyAlignment="1" applyProtection="1">
      <alignment horizontal="center"/>
      <protection locked="0" hidden="1"/>
    </xf>
    <xf numFmtId="0" fontId="87" fillId="3" borderId="67" xfId="4" applyFont="1" applyFill="1" applyBorder="1" applyAlignment="1" applyProtection="1">
      <alignment horizontal="center"/>
      <protection locked="0" hidden="1"/>
    </xf>
    <xf numFmtId="0" fontId="87" fillId="58" borderId="59" xfId="4" applyNumberFormat="1" applyFont="1" applyFill="1" applyBorder="1" applyAlignment="1" applyProtection="1">
      <alignment horizontal="center"/>
      <protection hidden="1"/>
    </xf>
    <xf numFmtId="0" fontId="67" fillId="0" borderId="0" xfId="2" applyFont="1" applyBorder="1" applyAlignment="1">
      <alignment horizontal="right" indent="1"/>
    </xf>
    <xf numFmtId="0" fontId="67" fillId="0" borderId="0" xfId="2" applyFont="1" applyBorder="1" applyAlignment="1">
      <alignment horizontal="center"/>
    </xf>
    <xf numFmtId="0" fontId="67" fillId="0" borderId="0" xfId="2" applyFont="1" applyBorder="1"/>
    <xf numFmtId="0" fontId="3" fillId="32" borderId="0" xfId="0" applyFont="1" applyFill="1"/>
    <xf numFmtId="0" fontId="3" fillId="0" borderId="0" xfId="0" applyFont="1" applyFill="1"/>
    <xf numFmtId="0" fontId="145" fillId="0" borderId="0" xfId="0" applyFont="1"/>
    <xf numFmtId="0" fontId="73" fillId="0" borderId="0" xfId="0" applyFont="1"/>
    <xf numFmtId="0" fontId="73" fillId="0" borderId="0" xfId="0" applyFont="1" applyAlignment="1">
      <alignment horizontal="right"/>
    </xf>
    <xf numFmtId="0" fontId="175" fillId="0" borderId="0" xfId="0" applyFont="1" applyAlignment="1">
      <alignment horizontal="right" indent="1"/>
    </xf>
    <xf numFmtId="0" fontId="176" fillId="0" borderId="0" xfId="0" applyFont="1" applyAlignment="1">
      <alignment horizontal="right" vertical="top"/>
    </xf>
    <xf numFmtId="0" fontId="177" fillId="0" borderId="0" xfId="0" applyFont="1"/>
    <xf numFmtId="0" fontId="73" fillId="0" borderId="0" xfId="0" applyFont="1" applyAlignment="1"/>
    <xf numFmtId="0" fontId="73" fillId="0" borderId="0" xfId="0" applyFont="1" applyAlignment="1">
      <alignment vertical="center"/>
    </xf>
    <xf numFmtId="0" fontId="44" fillId="0" borderId="0" xfId="0" applyFont="1" applyAlignment="1"/>
    <xf numFmtId="0" fontId="44" fillId="0" borderId="0" xfId="0" applyFont="1" applyAlignment="1">
      <alignment horizontal="left"/>
    </xf>
    <xf numFmtId="0" fontId="44" fillId="0" borderId="0" xfId="2" applyFont="1" applyFill="1"/>
    <xf numFmtId="0" fontId="3" fillId="0" borderId="38" xfId="0" applyFont="1" applyBorder="1" applyAlignment="1"/>
    <xf numFmtId="0" fontId="3" fillId="0" borderId="0" xfId="0" applyFont="1" applyBorder="1" applyAlignment="1"/>
    <xf numFmtId="0" fontId="178" fillId="0" borderId="0" xfId="2" applyFont="1" applyAlignment="1">
      <alignment horizontal="left" vertical="center" indent="1"/>
    </xf>
    <xf numFmtId="0" fontId="75" fillId="0" borderId="0" xfId="0" applyFont="1" applyBorder="1" applyAlignment="1">
      <alignment vertical="center"/>
    </xf>
    <xf numFmtId="0" fontId="62" fillId="0" borderId="0" xfId="2" applyFont="1"/>
    <xf numFmtId="0" fontId="3" fillId="16" borderId="0" xfId="0" applyFont="1" applyFill="1"/>
    <xf numFmtId="0" fontId="3" fillId="17" borderId="0" xfId="0" applyFont="1" applyFill="1"/>
    <xf numFmtId="1" fontId="71" fillId="0" borderId="0" xfId="0" applyNumberFormat="1" applyFont="1" applyAlignment="1">
      <alignment horizontal="right" vertical="top"/>
    </xf>
    <xf numFmtId="0" fontId="44" fillId="0" borderId="0" xfId="2" applyFont="1" applyBorder="1"/>
    <xf numFmtId="0" fontId="3" fillId="0" borderId="38" xfId="0" applyFont="1" applyBorder="1"/>
    <xf numFmtId="0" fontId="3" fillId="0" borderId="0" xfId="0" applyFont="1" applyBorder="1"/>
    <xf numFmtId="0" fontId="44" fillId="0" borderId="62" xfId="10" applyFont="1" applyFill="1" applyBorder="1" applyAlignment="1" applyProtection="1">
      <alignment horizontal="center" vertical="center" wrapText="1"/>
      <protection locked="0"/>
    </xf>
    <xf numFmtId="0" fontId="44" fillId="0" borderId="30" xfId="10" applyFont="1" applyFill="1" applyBorder="1" applyAlignment="1" applyProtection="1">
      <alignment horizontal="center" vertical="center" wrapText="1"/>
      <protection locked="0"/>
    </xf>
    <xf numFmtId="0" fontId="44" fillId="0" borderId="34" xfId="10" applyFont="1" applyFill="1" applyBorder="1" applyAlignment="1" applyProtection="1">
      <alignment horizontal="center" vertical="center" wrapText="1"/>
      <protection locked="0"/>
    </xf>
    <xf numFmtId="4" fontId="47" fillId="9" borderId="47" xfId="10" applyNumberFormat="1" applyFont="1" applyFill="1" applyBorder="1" applyAlignment="1" applyProtection="1">
      <alignment horizontal="center" vertical="center"/>
    </xf>
    <xf numFmtId="0" fontId="82" fillId="0" borderId="0" xfId="10" applyFont="1" applyFill="1" applyBorder="1" applyAlignment="1">
      <alignment horizontal="right" vertical="center"/>
    </xf>
    <xf numFmtId="4" fontId="47" fillId="61" borderId="83" xfId="10" applyNumberFormat="1" applyFont="1" applyFill="1" applyBorder="1" applyAlignment="1" applyProtection="1">
      <alignment horizontal="right" vertical="center"/>
    </xf>
    <xf numFmtId="4" fontId="47" fillId="27" borderId="47" xfId="10" applyNumberFormat="1" applyFont="1" applyFill="1" applyBorder="1" applyAlignment="1" applyProtection="1">
      <alignment vertical="center"/>
    </xf>
    <xf numFmtId="4" fontId="47" fillId="42" borderId="47" xfId="10" applyNumberFormat="1" applyFont="1" applyFill="1" applyBorder="1" applyAlignment="1">
      <alignment vertical="center"/>
    </xf>
    <xf numFmtId="4" fontId="47" fillId="43" borderId="47" xfId="10" applyNumberFormat="1" applyFont="1" applyFill="1" applyBorder="1" applyAlignment="1">
      <alignment vertical="center"/>
    </xf>
    <xf numFmtId="0" fontId="46" fillId="0" borderId="0" xfId="10" applyFont="1" applyFill="1" applyBorder="1" applyAlignment="1">
      <alignment vertical="center"/>
    </xf>
    <xf numFmtId="0" fontId="64" fillId="0" borderId="0" xfId="10" applyFont="1" applyFill="1" applyBorder="1" applyAlignment="1">
      <alignment vertical="center"/>
    </xf>
    <xf numFmtId="0" fontId="64" fillId="0" borderId="0" xfId="10" applyFont="1" applyFill="1" applyBorder="1" applyAlignment="1">
      <alignment horizontal="left" vertical="center"/>
    </xf>
    <xf numFmtId="0" fontId="44" fillId="0" borderId="0" xfId="10" applyFont="1" applyFill="1" applyBorder="1" applyAlignment="1">
      <alignment vertical="center"/>
    </xf>
    <xf numFmtId="172" fontId="135" fillId="0" borderId="0" xfId="10" applyNumberFormat="1" applyFont="1" applyFill="1" applyBorder="1" applyAlignment="1">
      <alignment horizontal="center" vertical="center"/>
    </xf>
    <xf numFmtId="0" fontId="76" fillId="0" borderId="0" xfId="10" applyFont="1" applyFill="1" applyBorder="1" applyAlignment="1">
      <alignment horizontal="right" vertical="center"/>
    </xf>
    <xf numFmtId="165" fontId="23" fillId="2" borderId="1" xfId="0" applyNumberFormat="1" applyFont="1" applyFill="1" applyBorder="1" applyAlignment="1" applyProtection="1">
      <alignment horizontal="center" vertical="center"/>
      <protection locked="0" hidden="1"/>
    </xf>
    <xf numFmtId="172" fontId="135" fillId="0" borderId="3" xfId="10" applyNumberFormat="1" applyFont="1" applyFill="1" applyBorder="1" applyAlignment="1">
      <alignment horizontal="center" vertical="center"/>
    </xf>
    <xf numFmtId="14" fontId="26" fillId="0" borderId="0" xfId="0" applyNumberFormat="1" applyFont="1" applyAlignment="1">
      <alignment horizontal="left"/>
    </xf>
    <xf numFmtId="4" fontId="137" fillId="0" borderId="0" xfId="10" applyNumberFormat="1" applyFont="1" applyFill="1" applyBorder="1" applyAlignment="1">
      <alignment horizontal="left"/>
    </xf>
    <xf numFmtId="4" fontId="47" fillId="0" borderId="0" xfId="10" applyNumberFormat="1" applyFont="1" applyFill="1" applyBorder="1" applyAlignment="1">
      <alignment vertical="center"/>
    </xf>
    <xf numFmtId="0" fontId="20" fillId="40" borderId="0" xfId="0" applyFont="1" applyFill="1"/>
    <xf numFmtId="0" fontId="22" fillId="40" borderId="0" xfId="0" quotePrefix="1" applyFont="1" applyFill="1" applyAlignment="1">
      <alignment horizontal="left" indent="2"/>
    </xf>
    <xf numFmtId="0" fontId="22" fillId="40" borderId="0" xfId="0" quotePrefix="1" applyFont="1" applyFill="1"/>
    <xf numFmtId="0" fontId="0" fillId="40" borderId="0" xfId="0" applyFill="1"/>
    <xf numFmtId="0" fontId="179" fillId="40" borderId="0" xfId="0" applyFont="1" applyFill="1"/>
    <xf numFmtId="0" fontId="9" fillId="40" borderId="0" xfId="0" applyFont="1" applyFill="1"/>
    <xf numFmtId="0" fontId="0" fillId="62" borderId="0" xfId="0" applyFill="1"/>
    <xf numFmtId="0" fontId="179" fillId="0" borderId="0" xfId="0" applyFont="1" applyFill="1"/>
    <xf numFmtId="0" fontId="2" fillId="0" borderId="0" xfId="13" applyFont="1"/>
    <xf numFmtId="0" fontId="83" fillId="11" borderId="0" xfId="1" applyFont="1" applyFill="1" applyAlignment="1">
      <alignment horizontal="left"/>
    </xf>
    <xf numFmtId="0" fontId="180" fillId="0" borderId="0" xfId="0" applyFont="1" applyFill="1"/>
    <xf numFmtId="0" fontId="44" fillId="0" borderId="91" xfId="9" applyFont="1" applyFill="1" applyBorder="1" applyAlignment="1">
      <alignment vertical="center"/>
    </xf>
    <xf numFmtId="0" fontId="1" fillId="0" borderId="0" xfId="13" applyFont="1"/>
    <xf numFmtId="0" fontId="154" fillId="0" borderId="0" xfId="11" applyFont="1" applyFill="1" applyAlignment="1">
      <alignment horizontal="left"/>
    </xf>
    <xf numFmtId="173" fontId="0" fillId="0" borderId="92" xfId="0" applyNumberFormat="1" applyBorder="1" applyProtection="1">
      <protection hidden="1"/>
    </xf>
    <xf numFmtId="0" fontId="0" fillId="0" borderId="93" xfId="0" applyBorder="1" applyProtection="1">
      <protection hidden="1"/>
    </xf>
    <xf numFmtId="173" fontId="0" fillId="0" borderId="94" xfId="0" applyNumberFormat="1" applyBorder="1" applyProtection="1">
      <protection hidden="1"/>
    </xf>
    <xf numFmtId="0" fontId="0" fillId="0" borderId="95" xfId="0" applyBorder="1" applyProtection="1">
      <protection hidden="1"/>
    </xf>
    <xf numFmtId="0" fontId="0" fillId="0" borderId="0" xfId="0" quotePrefix="1" applyFill="1" applyProtection="1">
      <protection hidden="1"/>
    </xf>
    <xf numFmtId="0" fontId="0" fillId="0" borderId="71" xfId="0" applyBorder="1" applyProtection="1">
      <protection hidden="1"/>
    </xf>
    <xf numFmtId="0" fontId="0" fillId="0" borderId="78" xfId="0" applyBorder="1" applyProtection="1">
      <protection hidden="1"/>
    </xf>
    <xf numFmtId="0" fontId="181" fillId="0" borderId="0" xfId="0" applyFont="1"/>
    <xf numFmtId="0" fontId="59" fillId="0" borderId="2" xfId="10" applyFont="1" applyFill="1" applyBorder="1" applyAlignment="1">
      <alignment horizontal="center" textRotation="90" wrapText="1"/>
    </xf>
    <xf numFmtId="0" fontId="44" fillId="0" borderId="0" xfId="9" applyFont="1" applyAlignment="1">
      <alignment vertical="center"/>
    </xf>
    <xf numFmtId="0" fontId="64" fillId="0" borderId="30" xfId="9" applyFont="1" applyBorder="1" applyAlignment="1" applyProtection="1">
      <alignment horizontal="center" vertical="center" wrapText="1"/>
      <protection locked="0"/>
    </xf>
    <xf numFmtId="0" fontId="56" fillId="10" borderId="45" xfId="10" applyFont="1" applyFill="1" applyBorder="1" applyAlignment="1" applyProtection="1">
      <alignment vertical="center"/>
      <protection locked="0"/>
    </xf>
    <xf numFmtId="2" fontId="44" fillId="0" borderId="62" xfId="10" applyNumberFormat="1" applyFont="1" applyBorder="1" applyAlignment="1" applyProtection="1">
      <alignment horizontal="left" vertical="center" wrapText="1"/>
      <protection locked="0"/>
    </xf>
    <xf numFmtId="0" fontId="44" fillId="0" borderId="30" xfId="10" applyFont="1" applyBorder="1" applyAlignment="1" applyProtection="1">
      <alignment horizontal="left" vertical="center" wrapText="1"/>
      <protection locked="0"/>
    </xf>
    <xf numFmtId="0" fontId="44" fillId="0" borderId="34" xfId="10" applyFont="1" applyBorder="1" applyAlignment="1" applyProtection="1">
      <alignment horizontal="left" vertical="center" wrapText="1"/>
      <protection locked="0"/>
    </xf>
    <xf numFmtId="0" fontId="76" fillId="0" borderId="0" xfId="10" applyFont="1" applyAlignment="1">
      <alignment horizontal="right" vertical="center"/>
    </xf>
    <xf numFmtId="0" fontId="44" fillId="0" borderId="0" xfId="10" applyFont="1" applyAlignment="1">
      <alignment vertical="center"/>
    </xf>
    <xf numFmtId="0" fontId="44" fillId="4" borderId="69" xfId="9" applyFont="1" applyFill="1" applyBorder="1" applyAlignment="1" applyProtection="1">
      <alignment horizontal="left" indent="1"/>
      <protection locked="0"/>
    </xf>
    <xf numFmtId="172" fontId="134" fillId="39" borderId="56" xfId="9" applyNumberFormat="1" applyFont="1" applyFill="1" applyBorder="1" applyAlignment="1" applyProtection="1">
      <alignment vertical="center"/>
    </xf>
    <xf numFmtId="172" fontId="136" fillId="39" borderId="1" xfId="9" applyNumberFormat="1" applyFont="1" applyFill="1" applyBorder="1" applyAlignment="1" applyProtection="1">
      <alignment vertical="center"/>
    </xf>
    <xf numFmtId="0" fontId="44" fillId="0" borderId="63" xfId="10" applyFont="1" applyFill="1" applyBorder="1" applyAlignment="1" applyProtection="1">
      <alignment horizontal="center" vertical="center" wrapText="1"/>
      <protection locked="0"/>
    </xf>
    <xf numFmtId="0" fontId="44" fillId="0" borderId="66" xfId="10" applyFont="1" applyFill="1" applyBorder="1" applyAlignment="1" applyProtection="1">
      <alignment horizontal="center" vertical="center" wrapText="1"/>
      <protection locked="0"/>
    </xf>
    <xf numFmtId="0" fontId="44" fillId="0" borderId="96" xfId="10" applyFont="1" applyFill="1" applyBorder="1" applyAlignment="1" applyProtection="1">
      <alignment horizontal="center" vertical="center" wrapText="1"/>
      <protection locked="0"/>
    </xf>
    <xf numFmtId="0" fontId="101" fillId="0" borderId="0" xfId="0" applyFont="1" applyAlignment="1">
      <alignment horizontal="center" vertical="top" wrapText="1"/>
    </xf>
    <xf numFmtId="0" fontId="11" fillId="0" borderId="0" xfId="0" applyFont="1" applyAlignment="1">
      <alignment horizontal="left" indent="2"/>
    </xf>
    <xf numFmtId="0" fontId="8" fillId="22" borderId="0" xfId="0" applyFont="1" applyFill="1" applyAlignment="1" applyProtection="1">
      <alignment horizontal="left" vertical="top" wrapText="1"/>
      <protection locked="0"/>
    </xf>
    <xf numFmtId="0" fontId="29" fillId="0" borderId="0" xfId="0" applyFont="1" applyBorder="1" applyAlignment="1" applyProtection="1">
      <alignment horizontal="center" vertical="center"/>
    </xf>
    <xf numFmtId="0" fontId="18" fillId="0" borderId="0" xfId="0" applyFont="1" applyAlignment="1" applyProtection="1">
      <alignment horizontal="left" vertical="top" wrapText="1" indent="1"/>
      <protection hidden="1"/>
    </xf>
    <xf numFmtId="0" fontId="36" fillId="7" borderId="0" xfId="0" applyFont="1" applyFill="1" applyAlignment="1">
      <alignment horizontal="left" vertical="center"/>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31" fillId="0" borderId="0" xfId="0" applyFont="1" applyBorder="1" applyAlignment="1">
      <alignment horizontal="right" vertical="top" wrapText="1" indent="2"/>
    </xf>
    <xf numFmtId="0" fontId="31" fillId="0" borderId="7" xfId="0" applyFont="1" applyBorder="1" applyAlignment="1">
      <alignment horizontal="right" vertical="top" wrapText="1" indent="2"/>
    </xf>
    <xf numFmtId="0" fontId="32" fillId="0" borderId="0" xfId="0" applyFont="1" applyAlignment="1">
      <alignment horizontal="left" vertical="top" wrapText="1" indent="2"/>
    </xf>
    <xf numFmtId="0" fontId="7" fillId="3" borderId="39" xfId="0" applyFont="1" applyFill="1" applyBorder="1" applyAlignment="1" applyProtection="1">
      <alignment horizontal="left" vertical="center" indent="1"/>
      <protection locked="0"/>
    </xf>
    <xf numFmtId="0" fontId="7" fillId="3" borderId="3" xfId="0" applyFont="1" applyFill="1" applyBorder="1" applyAlignment="1" applyProtection="1">
      <alignment horizontal="left" vertical="center" indent="1"/>
      <protection locked="0"/>
    </xf>
    <xf numFmtId="0" fontId="7" fillId="3" borderId="40" xfId="0" applyFont="1" applyFill="1" applyBorder="1" applyAlignment="1" applyProtection="1">
      <alignment horizontal="left" vertical="center" indent="1"/>
      <protection locked="0"/>
    </xf>
    <xf numFmtId="14" fontId="8" fillId="0" borderId="0" xfId="0" applyNumberFormat="1" applyFont="1" applyAlignment="1">
      <alignment horizontal="center"/>
    </xf>
    <xf numFmtId="170" fontId="76" fillId="0" borderId="0" xfId="0" applyNumberFormat="1" applyFont="1" applyBorder="1" applyAlignment="1">
      <alignment horizontal="center" vertical="center"/>
    </xf>
    <xf numFmtId="0" fontId="57" fillId="3" borderId="0" xfId="0" applyFont="1" applyFill="1" applyAlignment="1" applyProtection="1">
      <alignment vertical="center" wrapText="1"/>
      <protection locked="0"/>
    </xf>
    <xf numFmtId="0" fontId="129" fillId="58" borderId="81" xfId="0" applyFont="1" applyFill="1" applyBorder="1" applyAlignment="1">
      <alignment horizontal="center" vertical="center" textRotation="90" wrapText="1"/>
    </xf>
    <xf numFmtId="0" fontId="129" fillId="58" borderId="23" xfId="0" applyFont="1" applyFill="1" applyBorder="1" applyAlignment="1">
      <alignment horizontal="center" vertical="center" textRotation="90"/>
    </xf>
    <xf numFmtId="0" fontId="129" fillId="58" borderId="29" xfId="0" applyFont="1" applyFill="1" applyBorder="1" applyAlignment="1">
      <alignment horizontal="center" vertical="center" textRotation="90"/>
    </xf>
    <xf numFmtId="1" fontId="174" fillId="0" borderId="7" xfId="0" applyNumberFormat="1" applyFont="1" applyBorder="1" applyAlignment="1">
      <alignment horizontal="center" vertical="center" wrapText="1"/>
    </xf>
    <xf numFmtId="0" fontId="0" fillId="0" borderId="7" xfId="0" applyBorder="1" applyAlignment="1">
      <alignment horizontal="center" vertical="center"/>
    </xf>
    <xf numFmtId="0" fontId="157" fillId="0" borderId="0" xfId="0" applyFont="1" applyBorder="1" applyAlignment="1">
      <alignment horizontal="center" vertical="center" wrapText="1"/>
    </xf>
    <xf numFmtId="0" fontId="46" fillId="63" borderId="0" xfId="0" applyFont="1" applyFill="1" applyBorder="1" applyAlignment="1">
      <alignment horizontal="center" vertical="center" wrapText="1"/>
    </xf>
    <xf numFmtId="0" fontId="173" fillId="58" borderId="82" xfId="4" applyFont="1" applyFill="1" applyBorder="1" applyAlignment="1" applyProtection="1">
      <alignment horizontal="center" wrapText="1"/>
      <protection hidden="1"/>
    </xf>
    <xf numFmtId="0" fontId="173" fillId="58" borderId="83" xfId="4" applyFont="1" applyFill="1" applyBorder="1" applyAlignment="1" applyProtection="1">
      <alignment horizontal="center" wrapText="1"/>
      <protection hidden="1"/>
    </xf>
    <xf numFmtId="0" fontId="173" fillId="58" borderId="84" xfId="4" applyFont="1" applyFill="1" applyBorder="1" applyAlignment="1" applyProtection="1">
      <alignment horizontal="center" wrapText="1"/>
      <protection hidden="1"/>
    </xf>
    <xf numFmtId="0" fontId="173" fillId="58" borderId="85" xfId="4" applyFont="1" applyFill="1" applyBorder="1" applyAlignment="1" applyProtection="1">
      <alignment horizontal="center" wrapText="1"/>
      <protection hidden="1"/>
    </xf>
    <xf numFmtId="0" fontId="58" fillId="0" borderId="38" xfId="0" applyFont="1" applyBorder="1" applyAlignment="1">
      <alignment horizontal="center" vertical="top"/>
    </xf>
    <xf numFmtId="0" fontId="76" fillId="0" borderId="0" xfId="0" applyFont="1" applyAlignment="1">
      <alignment horizontal="center"/>
    </xf>
    <xf numFmtId="0" fontId="182" fillId="0" borderId="0" xfId="3" applyFont="1" applyAlignment="1" applyProtection="1">
      <alignment horizontal="center" vertical="center"/>
    </xf>
    <xf numFmtId="0" fontId="76" fillId="0" borderId="0" xfId="4" applyFont="1" applyFill="1" applyBorder="1" applyAlignment="1" applyProtection="1">
      <alignment horizontal="center"/>
      <protection hidden="1"/>
    </xf>
    <xf numFmtId="14" fontId="126" fillId="0" borderId="0" xfId="0" applyNumberFormat="1" applyFont="1" applyAlignment="1" applyProtection="1">
      <alignment horizontal="left" vertical="center"/>
      <protection locked="0"/>
    </xf>
    <xf numFmtId="0" fontId="126" fillId="0" borderId="0" xfId="0" applyFont="1" applyAlignment="1" applyProtection="1">
      <alignment horizontal="left" vertical="center"/>
      <protection locked="0"/>
    </xf>
    <xf numFmtId="0" fontId="76" fillId="0" borderId="0" xfId="0" applyFont="1" applyFill="1" applyBorder="1" applyAlignment="1">
      <alignment horizontal="center"/>
    </xf>
    <xf numFmtId="0" fontId="3" fillId="0" borderId="0" xfId="0" applyFont="1" applyAlignment="1">
      <alignment horizontal="center"/>
    </xf>
    <xf numFmtId="0" fontId="3" fillId="4" borderId="0" xfId="0" applyFont="1" applyFill="1" applyAlignment="1">
      <alignment horizontal="center"/>
    </xf>
    <xf numFmtId="0" fontId="97" fillId="0" borderId="0" xfId="0" applyFont="1" applyAlignment="1">
      <alignment horizontal="right" vertical="center" wrapText="1"/>
    </xf>
    <xf numFmtId="0" fontId="65" fillId="0" borderId="19" xfId="2" applyFont="1" applyBorder="1" applyAlignment="1">
      <alignment horizontal="left" vertical="center" indent="1"/>
    </xf>
    <xf numFmtId="0" fontId="65" fillId="0" borderId="18" xfId="2" applyFont="1" applyBorder="1" applyAlignment="1">
      <alignment horizontal="left" vertical="center" indent="1"/>
    </xf>
    <xf numFmtId="0" fontId="65" fillId="0" borderId="22" xfId="2" applyFont="1" applyBorder="1" applyAlignment="1">
      <alignment horizontal="left" vertical="center" indent="1"/>
    </xf>
    <xf numFmtId="0" fontId="65" fillId="0" borderId="23" xfId="2" applyFont="1" applyBorder="1" applyAlignment="1">
      <alignment horizontal="left" vertical="center" indent="1"/>
    </xf>
    <xf numFmtId="0" fontId="57" fillId="26" borderId="9" xfId="2" applyFont="1" applyFill="1" applyBorder="1" applyAlignment="1" applyProtection="1">
      <alignment horizontal="center" vertical="center"/>
      <protection locked="0"/>
    </xf>
    <xf numFmtId="0" fontId="57" fillId="26" borderId="10" xfId="2" applyFont="1" applyFill="1" applyBorder="1" applyAlignment="1" applyProtection="1">
      <alignment horizontal="center" vertical="center"/>
      <protection locked="0"/>
    </xf>
    <xf numFmtId="0" fontId="44" fillId="3" borderId="0" xfId="7" applyFont="1" applyFill="1" applyAlignment="1" applyProtection="1">
      <alignment horizontal="left" vertical="top" wrapText="1"/>
      <protection locked="0"/>
    </xf>
    <xf numFmtId="0" fontId="44" fillId="27" borderId="43" xfId="7" applyFont="1" applyFill="1" applyBorder="1" applyAlignment="1">
      <alignment horizontal="center" textRotation="90" wrapText="1"/>
    </xf>
    <xf numFmtId="0" fontId="44" fillId="27" borderId="44" xfId="7" applyFont="1" applyFill="1" applyBorder="1" applyAlignment="1">
      <alignment horizontal="center" textRotation="90"/>
    </xf>
    <xf numFmtId="0" fontId="44" fillId="27" borderId="45" xfId="7" applyFont="1" applyFill="1" applyBorder="1" applyAlignment="1">
      <alignment horizontal="center" textRotation="90"/>
    </xf>
    <xf numFmtId="0" fontId="59" fillId="0" borderId="43" xfId="7" applyFont="1" applyBorder="1" applyAlignment="1">
      <alignment horizontal="right" textRotation="90" wrapText="1"/>
    </xf>
    <xf numFmtId="0" fontId="59" fillId="0" borderId="44" xfId="7" applyFont="1" applyBorder="1" applyAlignment="1">
      <alignment horizontal="right" textRotation="90"/>
    </xf>
    <xf numFmtId="0" fontId="59" fillId="0" borderId="45" xfId="7" applyFont="1" applyBorder="1" applyAlignment="1">
      <alignment horizontal="right" textRotation="90"/>
    </xf>
    <xf numFmtId="0" fontId="44" fillId="0" borderId="0" xfId="7" applyFont="1" applyBorder="1" applyAlignment="1">
      <alignment horizontal="center" vertical="center"/>
    </xf>
    <xf numFmtId="0" fontId="44" fillId="0" borderId="4" xfId="7" applyFont="1" applyBorder="1" applyAlignment="1">
      <alignment horizontal="center" vertical="center"/>
    </xf>
    <xf numFmtId="4" fontId="47" fillId="60" borderId="82" xfId="10" quotePrefix="1" applyNumberFormat="1" applyFont="1" applyFill="1" applyBorder="1" applyAlignment="1">
      <alignment horizontal="center" vertical="center"/>
    </xf>
    <xf numFmtId="4" fontId="47" fillId="60" borderId="87" xfId="10" quotePrefix="1" applyNumberFormat="1" applyFont="1" applyFill="1" applyBorder="1" applyAlignment="1">
      <alignment horizontal="center" vertical="center"/>
    </xf>
    <xf numFmtId="4" fontId="78" fillId="5" borderId="88" xfId="10" applyNumberFormat="1" applyFont="1" applyFill="1" applyBorder="1" applyAlignment="1">
      <alignment horizontal="center" vertical="center"/>
    </xf>
    <xf numFmtId="4" fontId="78" fillId="5" borderId="89" xfId="10" applyNumberFormat="1" applyFont="1" applyFill="1" applyBorder="1" applyAlignment="1">
      <alignment horizontal="center" vertical="center"/>
    </xf>
    <xf numFmtId="4" fontId="78" fillId="5" borderId="90" xfId="10" applyNumberFormat="1" applyFont="1" applyFill="1" applyBorder="1" applyAlignment="1">
      <alignment horizontal="center" vertical="center"/>
    </xf>
    <xf numFmtId="0" fontId="58" fillId="3" borderId="46" xfId="6" applyFont="1" applyFill="1" applyBorder="1" applyAlignment="1" applyProtection="1">
      <alignment horizontal="right" vertical="center"/>
      <protection locked="0"/>
    </xf>
    <xf numFmtId="0" fontId="59" fillId="0" borderId="38" xfId="9" applyFont="1" applyFill="1" applyBorder="1" applyAlignment="1">
      <alignment horizontal="center" vertical="top"/>
    </xf>
    <xf numFmtId="0" fontId="128" fillId="37" borderId="0" xfId="6" applyFont="1" applyFill="1" applyBorder="1" applyAlignment="1">
      <alignment horizontal="center"/>
    </xf>
    <xf numFmtId="0" fontId="54" fillId="0" borderId="38" xfId="6" applyFont="1" applyFill="1" applyBorder="1" applyAlignment="1">
      <alignment horizontal="center" vertical="center"/>
    </xf>
    <xf numFmtId="0" fontId="54" fillId="0" borderId="0" xfId="6" applyFont="1" applyFill="1" applyBorder="1" applyAlignment="1">
      <alignment horizontal="center" vertical="center"/>
    </xf>
    <xf numFmtId="0" fontId="129" fillId="3" borderId="48" xfId="6" applyFont="1" applyFill="1" applyBorder="1" applyAlignment="1" applyProtection="1">
      <alignment horizontal="center" vertical="center"/>
      <protection locked="0"/>
    </xf>
    <xf numFmtId="0" fontId="129" fillId="3" borderId="49" xfId="6" applyFont="1" applyFill="1" applyBorder="1" applyAlignment="1" applyProtection="1">
      <alignment horizontal="center" vertical="center"/>
      <protection locked="0"/>
    </xf>
    <xf numFmtId="0" fontId="129" fillId="3" borderId="50" xfId="6" applyFont="1" applyFill="1" applyBorder="1" applyAlignment="1" applyProtection="1">
      <alignment horizontal="center" vertical="center"/>
      <protection locked="0"/>
    </xf>
    <xf numFmtId="0" fontId="59" fillId="0" borderId="51" xfId="9" applyFont="1" applyFill="1" applyBorder="1" applyAlignment="1">
      <alignment horizontal="center" textRotation="90" wrapText="1"/>
    </xf>
    <xf numFmtId="0" fontId="59" fillId="0" borderId="0" xfId="9" applyFont="1" applyFill="1" applyBorder="1" applyAlignment="1">
      <alignment horizontal="center" textRotation="90" wrapText="1"/>
    </xf>
    <xf numFmtId="0" fontId="44" fillId="0" borderId="0" xfId="9" applyFont="1" applyFill="1" applyBorder="1" applyAlignment="1">
      <alignment horizontal="center" textRotation="90" wrapText="1"/>
    </xf>
    <xf numFmtId="0" fontId="59" fillId="0" borderId="22" xfId="9" applyFont="1" applyFill="1" applyBorder="1" applyAlignment="1">
      <alignment horizontal="center" textRotation="90" wrapText="1"/>
    </xf>
    <xf numFmtId="0" fontId="59" fillId="0" borderId="23" xfId="9" applyFont="1" applyFill="1" applyBorder="1" applyAlignment="1">
      <alignment horizontal="center" textRotation="90" wrapText="1"/>
    </xf>
    <xf numFmtId="172" fontId="135" fillId="0" borderId="3" xfId="10" applyNumberFormat="1" applyFont="1" applyFill="1" applyBorder="1" applyAlignment="1">
      <alignment horizontal="center" vertical="center"/>
    </xf>
    <xf numFmtId="4" fontId="47" fillId="9" borderId="48" xfId="10" quotePrefix="1" applyNumberFormat="1" applyFont="1" applyFill="1" applyBorder="1" applyAlignment="1" applyProtection="1">
      <alignment horizontal="center" vertical="center"/>
    </xf>
    <xf numFmtId="4" fontId="47" fillId="9" borderId="97" xfId="10" quotePrefix="1" applyNumberFormat="1" applyFont="1" applyFill="1" applyBorder="1" applyAlignment="1" applyProtection="1">
      <alignment horizontal="center" vertical="center"/>
    </xf>
    <xf numFmtId="173" fontId="0" fillId="0" borderId="0" xfId="0" applyNumberFormat="1" applyFont="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142" fillId="0" borderId="39" xfId="0" quotePrefix="1" applyFont="1" applyBorder="1" applyAlignment="1" applyProtection="1">
      <alignment horizontal="center" vertical="center" wrapText="1"/>
      <protection hidden="1"/>
    </xf>
    <xf numFmtId="0" fontId="142" fillId="0" borderId="3" xfId="0" quotePrefix="1" applyFont="1" applyBorder="1" applyAlignment="1" applyProtection="1">
      <alignment horizontal="center" vertical="center" wrapText="1"/>
      <protection hidden="1"/>
    </xf>
    <xf numFmtId="0" fontId="97" fillId="0" borderId="41" xfId="0" applyFont="1" applyBorder="1" applyAlignment="1" applyProtection="1">
      <alignment horizontal="center" vertical="center" textRotation="90" wrapText="1"/>
      <protection hidden="1"/>
    </xf>
    <xf numFmtId="0" fontId="97" fillId="0" borderId="70" xfId="0" applyFont="1" applyBorder="1" applyAlignment="1" applyProtection="1">
      <alignment horizontal="center" vertical="center" textRotation="90" wrapText="1"/>
      <protection hidden="1"/>
    </xf>
    <xf numFmtId="173" fontId="0" fillId="51" borderId="41" xfId="0" applyNumberFormat="1" applyFill="1" applyBorder="1" applyAlignment="1" applyProtection="1">
      <alignment horizontal="center" vertical="center"/>
      <protection hidden="1"/>
    </xf>
    <xf numFmtId="173" fontId="0" fillId="51" borderId="70" xfId="0" applyNumberFormat="1" applyFill="1" applyBorder="1" applyAlignment="1" applyProtection="1">
      <alignment horizontal="center" vertical="center"/>
      <protection hidden="1"/>
    </xf>
    <xf numFmtId="0" fontId="142" fillId="0" borderId="0" xfId="0" applyFont="1" applyBorder="1" applyAlignment="1" applyProtection="1">
      <alignment horizontal="center" vertical="center" wrapText="1"/>
      <protection hidden="1"/>
    </xf>
    <xf numFmtId="0" fontId="4" fillId="0" borderId="43" xfId="9" applyFont="1" applyFill="1" applyBorder="1" applyAlignment="1" applyProtection="1">
      <alignment horizontal="center" vertical="center" textRotation="90" wrapText="1"/>
      <protection locked="0"/>
    </xf>
    <xf numFmtId="0" fontId="4" fillId="0" borderId="44" xfId="9" applyFont="1" applyFill="1" applyBorder="1" applyAlignment="1" applyProtection="1">
      <alignment horizontal="center" vertical="center" textRotation="90" wrapText="1"/>
      <protection locked="0"/>
    </xf>
    <xf numFmtId="0" fontId="4" fillId="0" borderId="56" xfId="9" applyFont="1" applyFill="1" applyBorder="1" applyAlignment="1" applyProtection="1">
      <alignment horizontal="center" vertical="center" textRotation="90" wrapText="1"/>
      <protection locked="0"/>
    </xf>
    <xf numFmtId="0" fontId="44" fillId="20" borderId="43" xfId="10" applyFont="1" applyFill="1" applyBorder="1" applyAlignment="1" applyProtection="1">
      <alignment horizontal="center" vertical="center" textRotation="90" wrapText="1"/>
      <protection locked="0"/>
    </xf>
    <xf numFmtId="0" fontId="44" fillId="20" borderId="44" xfId="10" applyFont="1" applyFill="1" applyBorder="1" applyAlignment="1" applyProtection="1">
      <alignment horizontal="center" vertical="center" textRotation="90" wrapText="1"/>
      <protection locked="0"/>
    </xf>
    <xf numFmtId="0" fontId="44" fillId="20" borderId="56" xfId="10" applyFont="1" applyFill="1" applyBorder="1" applyAlignment="1" applyProtection="1">
      <alignment horizontal="center" vertical="center" textRotation="90" wrapText="1"/>
      <protection locked="0"/>
    </xf>
    <xf numFmtId="0" fontId="44" fillId="41" borderId="43" xfId="10" applyFont="1" applyFill="1" applyBorder="1" applyAlignment="1">
      <alignment horizontal="center" vertical="center" textRotation="90" wrapText="1"/>
    </xf>
    <xf numFmtId="0" fontId="44" fillId="41" borderId="44" xfId="10" applyFont="1" applyFill="1" applyBorder="1" applyAlignment="1">
      <alignment horizontal="center" vertical="center" textRotation="90" wrapText="1"/>
    </xf>
    <xf numFmtId="0" fontId="44" fillId="41" borderId="56" xfId="10" applyFont="1" applyFill="1" applyBorder="1" applyAlignment="1">
      <alignment horizontal="center" vertical="center" textRotation="90" wrapText="1"/>
    </xf>
    <xf numFmtId="0" fontId="44" fillId="0" borderId="43" xfId="9" applyFont="1" applyFill="1" applyBorder="1" applyAlignment="1" applyProtection="1">
      <alignment horizontal="center" vertical="center" textRotation="90" wrapText="1"/>
      <protection locked="0"/>
    </xf>
    <xf numFmtId="0" fontId="44" fillId="0" borderId="44" xfId="9" applyFont="1" applyFill="1" applyBorder="1" applyAlignment="1" applyProtection="1">
      <alignment horizontal="center" vertical="center" textRotation="90" wrapText="1"/>
      <protection locked="0"/>
    </xf>
    <xf numFmtId="0" fontId="44" fillId="0" borderId="56" xfId="9" applyFont="1" applyFill="1" applyBorder="1" applyAlignment="1" applyProtection="1">
      <alignment horizontal="center" vertical="center" textRotation="90" wrapText="1"/>
      <protection locked="0"/>
    </xf>
    <xf numFmtId="0" fontId="44" fillId="4" borderId="43" xfId="9" applyFont="1" applyFill="1" applyBorder="1" applyAlignment="1">
      <alignment horizontal="center" vertical="center" wrapText="1"/>
    </xf>
    <xf numFmtId="0" fontId="44" fillId="4" borderId="44" xfId="9" applyFont="1" applyFill="1" applyBorder="1" applyAlignment="1">
      <alignment horizontal="center" vertical="center"/>
    </xf>
    <xf numFmtId="0" fontId="44" fillId="4" borderId="56" xfId="9" applyFont="1" applyFill="1" applyBorder="1" applyAlignment="1">
      <alignment horizontal="center" vertical="center"/>
    </xf>
    <xf numFmtId="0" fontId="44" fillId="27" borderId="43" xfId="10" applyFont="1" applyFill="1" applyBorder="1" applyAlignment="1" applyProtection="1">
      <alignment horizontal="center" vertical="center" textRotation="90" wrapText="1"/>
      <protection locked="0"/>
    </xf>
    <xf numFmtId="0" fontId="44" fillId="27" borderId="44" xfId="10" applyFont="1" applyFill="1" applyBorder="1" applyAlignment="1" applyProtection="1">
      <alignment horizontal="center" vertical="center" textRotation="90" wrapText="1"/>
      <protection locked="0"/>
    </xf>
    <xf numFmtId="0" fontId="44" fillId="27" borderId="56" xfId="10" applyFont="1" applyFill="1" applyBorder="1" applyAlignment="1" applyProtection="1">
      <alignment horizontal="center" vertical="center" textRotation="90" wrapText="1"/>
      <protection locked="0"/>
    </xf>
    <xf numFmtId="0" fontId="44" fillId="42" borderId="43" xfId="10" applyFont="1" applyFill="1" applyBorder="1" applyAlignment="1" applyProtection="1">
      <alignment horizontal="center" vertical="center" textRotation="90" wrapText="1"/>
      <protection locked="0"/>
    </xf>
    <xf numFmtId="0" fontId="44" fillId="42" borderId="44" xfId="10" applyFont="1" applyFill="1" applyBorder="1" applyAlignment="1" applyProtection="1">
      <alignment horizontal="center" vertical="center" textRotation="90" wrapText="1"/>
      <protection locked="0"/>
    </xf>
    <xf numFmtId="0" fontId="44" fillId="42" borderId="56" xfId="10" applyFont="1" applyFill="1" applyBorder="1" applyAlignment="1" applyProtection="1">
      <alignment horizontal="center" vertical="center" textRotation="90" wrapText="1"/>
      <protection locked="0"/>
    </xf>
    <xf numFmtId="0" fontId="44" fillId="43" borderId="43" xfId="10" applyFont="1" applyFill="1" applyBorder="1" applyAlignment="1" applyProtection="1">
      <alignment horizontal="center" vertical="center" textRotation="90" wrapText="1"/>
      <protection locked="0"/>
    </xf>
    <xf numFmtId="0" fontId="44" fillId="43" borderId="44" xfId="10" applyFont="1" applyFill="1" applyBorder="1" applyAlignment="1" applyProtection="1">
      <alignment horizontal="center" vertical="center" textRotation="90" wrapText="1"/>
      <protection locked="0"/>
    </xf>
    <xf numFmtId="0" fontId="44" fillId="43" borderId="56" xfId="10" applyFont="1" applyFill="1" applyBorder="1" applyAlignment="1" applyProtection="1">
      <alignment horizontal="center" vertical="center" textRotation="90" wrapText="1"/>
      <protection locked="0"/>
    </xf>
    <xf numFmtId="0" fontId="44" fillId="0" borderId="43" xfId="10" applyFont="1" applyFill="1" applyBorder="1" applyAlignment="1" applyProtection="1">
      <alignment horizontal="center" vertical="center" textRotation="90" wrapText="1"/>
      <protection locked="0"/>
    </xf>
    <xf numFmtId="0" fontId="44" fillId="0" borderId="44" xfId="10" applyFont="1" applyFill="1" applyBorder="1" applyAlignment="1" applyProtection="1">
      <alignment horizontal="center" vertical="center" textRotation="90" wrapText="1"/>
      <protection locked="0"/>
    </xf>
    <xf numFmtId="0" fontId="44" fillId="0" borderId="56" xfId="10" applyFont="1" applyFill="1" applyBorder="1" applyAlignment="1" applyProtection="1">
      <alignment horizontal="center" vertical="center" textRotation="90" wrapText="1"/>
      <protection locked="0"/>
    </xf>
    <xf numFmtId="0" fontId="58" fillId="2" borderId="46" xfId="6" applyFont="1" applyFill="1" applyBorder="1" applyAlignment="1">
      <alignment horizontal="right" vertical="center"/>
    </xf>
    <xf numFmtId="0" fontId="129" fillId="2" borderId="48" xfId="6" applyFont="1" applyFill="1" applyBorder="1" applyAlignment="1">
      <alignment horizontal="center" vertical="center"/>
    </xf>
    <xf numFmtId="0" fontId="129" fillId="2" borderId="49" xfId="6" applyFont="1" applyFill="1" applyBorder="1" applyAlignment="1">
      <alignment horizontal="center" vertical="center"/>
    </xf>
    <xf numFmtId="0" fontId="129" fillId="2" borderId="50" xfId="6" applyFont="1" applyFill="1" applyBorder="1" applyAlignment="1">
      <alignment horizontal="center" vertical="center"/>
    </xf>
  </cellXfs>
  <cellStyles count="14">
    <cellStyle name="Link" xfId="3" builtinId="8"/>
    <cellStyle name="Prozent" xfId="8" builtinId="5"/>
    <cellStyle name="Standard" xfId="0" builtinId="0"/>
    <cellStyle name="Standard 2" xfId="1"/>
    <cellStyle name="Standard 2 2" xfId="13"/>
    <cellStyle name="Standard 2 3" xfId="12"/>
    <cellStyle name="Standard 3" xfId="7"/>
    <cellStyle name="Standard 4" xfId="9"/>
    <cellStyle name="Standard 5" xfId="10"/>
    <cellStyle name="Standard 6" xfId="11"/>
    <cellStyle name="Standard__2006_H" xfId="2"/>
    <cellStyle name="Standard_2007_Vk" xfId="4"/>
    <cellStyle name="Standard_h1E_ohne'BN" xfId="6"/>
    <cellStyle name="Standard_neu" xfId="5"/>
  </cellStyles>
  <dxfs count="224">
    <dxf>
      <font>
        <strike val="0"/>
      </font>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FF0000"/>
        </patternFill>
      </fill>
    </dxf>
    <dxf>
      <font>
        <strike val="0"/>
      </font>
      <fill>
        <patternFill patternType="none">
          <bgColor auto="1"/>
        </patternFill>
      </fill>
    </dxf>
    <dxf>
      <fill>
        <patternFill>
          <bgColor rgb="FF66FFFF"/>
        </patternFill>
      </fill>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dashed">
          <color rgb="FF000000"/>
        </left>
        <right style="dashed">
          <color rgb="FF000000"/>
        </right>
        <top style="dashed">
          <color rgb="FF000000"/>
        </top>
        <bottom style="dashed">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ill>
        <gradientFill degree="180">
          <stop position="0">
            <color rgb="FFFFFF00"/>
          </stop>
          <stop position="1">
            <color theme="9" tint="0.40000610370189521"/>
          </stop>
        </gradientFill>
      </fill>
    </dxf>
    <dxf>
      <fill>
        <gradientFill degree="180">
          <stop position="0">
            <color rgb="FFFFFF00"/>
          </stop>
          <stop position="1">
            <color theme="4" tint="0.40000610370189521"/>
          </stop>
        </gradientFill>
      </fill>
    </dxf>
    <dxf>
      <fill>
        <gradientFill degree="180">
          <stop position="0">
            <color rgb="FFFFFF00"/>
          </stop>
          <stop position="1">
            <color rgb="FFFF0000"/>
          </stop>
        </gradientFill>
      </fill>
    </dxf>
    <dxf>
      <fill>
        <patternFill patternType="solid">
          <fgColor rgb="FFFFFFCC"/>
          <bgColor rgb="FFFF0000"/>
        </patternFill>
      </fill>
    </dxf>
    <dxf>
      <fill>
        <patternFill>
          <bgColor theme="9" tint="0.59996337778862885"/>
        </patternFill>
      </fill>
    </dxf>
    <dxf>
      <fill>
        <patternFill>
          <bgColor theme="4"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66FFFF"/>
        </patternFill>
      </fill>
    </dxf>
    <dxf>
      <fill>
        <patternFill>
          <bgColor rgb="FF66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theme="7" tint="0.79998168889431442"/>
        </patternFill>
      </fill>
    </dxf>
    <dxf>
      <fill>
        <patternFill>
          <bgColor theme="7" tint="0.79998168889431442"/>
        </patternFill>
      </fill>
    </dxf>
    <dxf>
      <fill>
        <patternFill>
          <bgColor rgb="FF66FFFF"/>
        </patternFill>
      </fill>
    </dxf>
    <dxf>
      <fill>
        <patternFill>
          <bgColor rgb="FF66FFFF"/>
        </patternFill>
      </fill>
    </dxf>
    <dxf>
      <fill>
        <patternFill>
          <bgColor theme="7" tint="0.79998168889431442"/>
        </patternFill>
      </fill>
    </dxf>
    <dxf>
      <fill>
        <gradientFill degree="180">
          <stop position="0">
            <color rgb="FFFFFF00"/>
          </stop>
          <stop position="1">
            <color theme="9" tint="0.40000610370189521"/>
          </stop>
        </gradientFill>
      </fill>
      <border>
        <left style="thin">
          <color auto="1"/>
        </left>
        <right/>
        <top style="thin">
          <color auto="1"/>
        </top>
        <bottom style="thin">
          <color auto="1"/>
        </bottom>
      </border>
    </dxf>
    <dxf>
      <fill>
        <patternFill>
          <bgColor rgb="FFFFFF00"/>
        </patternFill>
      </fill>
      <border>
        <right style="thin">
          <color auto="1"/>
        </right>
        <top style="thin">
          <color auto="1"/>
        </top>
        <bottom style="thin">
          <color auto="1"/>
        </bottom>
      </border>
    </dxf>
    <dxf>
      <fill>
        <patternFill>
          <bgColor rgb="FF66FFFF"/>
        </patternFill>
      </fill>
    </dxf>
    <dxf>
      <fill>
        <patternFill>
          <bgColor rgb="FF66FFFF"/>
        </patternFill>
      </fill>
    </dxf>
    <dxf>
      <fill>
        <patternFill patternType="solid">
          <fgColor rgb="FFFFFFCC"/>
          <bgColor rgb="FFFF0000"/>
        </patternFill>
      </fill>
    </dxf>
    <dxf>
      <fill>
        <patternFill>
          <bgColor theme="9" tint="0.59996337778862885"/>
        </patternFill>
      </fill>
    </dxf>
    <dxf>
      <fill>
        <patternFill>
          <bgColor theme="4" tint="0.59996337778862885"/>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theme="7" tint="0.79998168889431442"/>
        </patternFill>
      </fill>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color theme="0"/>
      </font>
      <fill>
        <patternFill>
          <bgColor theme="0"/>
        </patternFill>
      </fill>
      <border>
        <left/>
        <right/>
        <top/>
        <bottom/>
        <vertical/>
        <horizontal/>
      </border>
    </dxf>
    <dxf>
      <fill>
        <patternFill>
          <bgColor rgb="FFFF0000"/>
        </patternFill>
      </fill>
    </dxf>
    <dxf>
      <font>
        <color auto="1"/>
      </font>
      <fill>
        <gradientFill degree="90">
          <stop position="0">
            <color theme="7" tint="0.80001220740379042"/>
          </stop>
          <stop position="1">
            <color rgb="FF92D050"/>
          </stop>
        </gradientFill>
      </fill>
      <border>
        <right style="dotted">
          <color auto="1"/>
        </right>
        <top style="dotted">
          <color auto="1"/>
        </top>
        <vertical/>
        <horizontal/>
      </border>
    </dxf>
    <dxf>
      <fill>
        <patternFill>
          <bgColor rgb="FFFF0000"/>
        </patternFill>
      </fill>
    </dxf>
    <dxf>
      <font>
        <color theme="0"/>
      </font>
      <fill>
        <patternFill>
          <bgColor theme="0"/>
        </patternFill>
      </fill>
      <border>
        <left/>
        <right/>
        <top/>
        <bottom/>
        <vertical/>
        <horizontal/>
      </border>
    </dxf>
    <dxf>
      <font>
        <color theme="0"/>
      </font>
    </dxf>
    <dxf>
      <fill>
        <patternFill>
          <bgColor rgb="FFFF0000"/>
        </patternFill>
      </fill>
    </dxf>
    <dxf>
      <font>
        <color theme="0"/>
      </font>
      <fill>
        <patternFill>
          <bgColor theme="0"/>
        </patternFill>
      </fill>
      <border>
        <left/>
        <right/>
        <top/>
        <bottom/>
        <vertical/>
        <horizontal/>
      </border>
    </dxf>
    <dxf>
      <fill>
        <patternFill>
          <bgColor rgb="FFFF0000"/>
        </patternFill>
      </fill>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dashed">
          <color rgb="FF000000"/>
        </left>
        <right style="dashed">
          <color rgb="FF000000"/>
        </right>
        <top style="dashed">
          <color rgb="FF000000"/>
        </top>
        <bottom style="dashed">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ill>
        <patternFill patternType="solid">
          <fgColor rgb="FFFFFFCC"/>
          <bgColor rgb="FFFF0000"/>
        </patternFill>
      </fill>
    </dxf>
    <dxf>
      <fill>
        <patternFill>
          <bgColor theme="9" tint="0.59996337778862885"/>
        </patternFill>
      </fill>
    </dxf>
    <dxf>
      <fill>
        <patternFill>
          <bgColor theme="0"/>
        </patternFill>
      </fill>
      <border>
        <left/>
        <right/>
        <bottom/>
        <vertical/>
        <horizontal/>
      </border>
    </dxf>
    <dxf>
      <fill>
        <patternFill patternType="solid">
          <fgColor rgb="FFFFFFCC"/>
          <bgColor rgb="FFFF0000"/>
        </patternFill>
      </fill>
    </dxf>
    <dxf>
      <fill>
        <patternFill>
          <bgColor theme="9" tint="0.59996337778862885"/>
        </patternFill>
      </fill>
    </dxf>
    <dxf>
      <fill>
        <patternFill>
          <bgColor theme="0"/>
        </patternFill>
      </fill>
      <border>
        <left/>
        <right/>
        <bottom/>
        <vertical/>
        <horizontal/>
      </border>
    </dxf>
    <dxf>
      <fill>
        <patternFill>
          <bgColor theme="0"/>
        </patternFill>
      </fill>
    </dxf>
    <dxf>
      <fill>
        <patternFill>
          <bgColor theme="0"/>
        </patternFill>
      </fill>
    </dxf>
    <dxf>
      <border>
        <left style="hair">
          <color indexed="64"/>
        </left>
        <right style="hair">
          <color indexed="64"/>
        </right>
      </border>
    </dxf>
    <dxf>
      <border>
        <left style="hair">
          <color indexed="64"/>
        </left>
        <right style="hair">
          <color indexed="64"/>
        </right>
      </border>
    </dxf>
    <dxf>
      <fill>
        <patternFill>
          <bgColor rgb="FF66FFCC"/>
        </patternFill>
      </fill>
      <border>
        <left style="hair">
          <color indexed="64"/>
        </left>
        <right style="hair">
          <color indexed="64"/>
        </right>
        <top style="hair">
          <color indexed="64"/>
        </top>
        <bottom style="hair">
          <color indexed="64"/>
        </bottom>
      </border>
    </dxf>
    <dxf>
      <fill>
        <gradientFill>
          <stop position="0">
            <color rgb="FF9E0B0E"/>
          </stop>
          <stop position="1">
            <color rgb="FFFF0000"/>
          </stop>
        </gradientFill>
      </fill>
      <border>
        <left style="hair">
          <color auto="1"/>
        </left>
        <right style="hair">
          <color auto="1"/>
        </right>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theme="9" tint="0.39994506668294322"/>
        </patternFill>
      </fill>
    </dxf>
    <dxf>
      <fill>
        <patternFill>
          <bgColor rgb="FFFF0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bgColor rgb="FFFF0000"/>
        </patternFill>
      </fill>
    </dxf>
    <dxf>
      <fill>
        <patternFill>
          <bgColor rgb="FFFF8181"/>
        </patternFill>
      </fill>
    </dxf>
    <dxf>
      <font>
        <color theme="1"/>
      </font>
      <fill>
        <patternFill patternType="solid">
          <fgColor rgb="FFFFFFFF"/>
          <bgColor rgb="FFFF8181"/>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lightGray">
          <fgColor theme="0"/>
          <bgColor rgb="FFFFC000"/>
        </patternFill>
      </fill>
      <border>
        <left style="thin">
          <color auto="1"/>
        </left>
        <right style="thin">
          <color auto="1"/>
        </right>
        <top style="thin">
          <color auto="1"/>
        </top>
        <bottom style="thin">
          <color auto="1"/>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bgColor indexed="26"/>
        </patternFill>
      </fill>
    </dxf>
    <dxf>
      <fill>
        <patternFill>
          <bgColor indexed="10"/>
        </patternFill>
      </fill>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1AFFFF"/>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border>
    </dxf>
    <dxf>
      <border>
        <left style="dashed">
          <color auto="1"/>
        </left>
        <right style="dashed">
          <color auto="1"/>
        </right>
        <top style="dashed">
          <color auto="1"/>
        </top>
        <bottom style="dashed">
          <color auto="1"/>
        </bottom>
        <vertical/>
        <horizontal/>
      </border>
    </dxf>
    <dxf>
      <font>
        <b val="0"/>
        <i val="0"/>
        <color theme="0" tint="-0.24994659260841701"/>
      </font>
    </dxf>
    <dxf>
      <font>
        <color theme="5" tint="0.39994506668294322"/>
      </font>
    </dxf>
    <dxf>
      <fill>
        <patternFill>
          <bgColor rgb="FFFFFF00"/>
        </patternFill>
      </fill>
    </dxf>
    <dxf>
      <fill>
        <patternFill>
          <bgColor rgb="FFFFFF00"/>
        </patternFill>
      </fill>
    </dxf>
    <dxf>
      <border>
        <left style="hair">
          <color auto="1"/>
        </left>
        <right style="hair">
          <color auto="1"/>
        </right>
        <top/>
        <bottom style="hair">
          <color auto="1"/>
        </bottom>
        <vertical/>
        <horizontal/>
      </border>
    </dxf>
    <dxf>
      <border>
        <left style="hair">
          <color auto="1"/>
        </left>
        <right style="hair">
          <color auto="1"/>
        </right>
        <top style="hair">
          <color auto="1"/>
        </top>
        <bottom/>
        <vertical/>
        <horizontal/>
      </border>
    </dxf>
    <dxf>
      <fill>
        <patternFill>
          <bgColor rgb="FF66FFCC"/>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border>
        <left style="hair">
          <color auto="1"/>
        </left>
        <right style="hair">
          <color auto="1"/>
        </right>
        <top style="hair">
          <color auto="1"/>
        </top>
        <bottom style="hair">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patternType="none">
          <bgColor indexed="65"/>
        </patternFill>
      </fill>
    </dxf>
    <dxf>
      <border>
        <left style="dotted">
          <color auto="1"/>
        </left>
        <vertical/>
        <horizontal/>
      </border>
    </dxf>
    <dxf>
      <border>
        <right/>
        <bottom/>
        <vertical/>
        <horizontal/>
      </border>
    </dxf>
    <dxf>
      <fill>
        <patternFill>
          <bgColor rgb="FFFFFF00"/>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65D7FF"/>
        </patternFill>
      </fill>
      <border>
        <left style="thin">
          <color auto="1"/>
        </left>
        <right style="thin">
          <color auto="1"/>
        </right>
        <top/>
        <bottom style="thin">
          <color auto="1"/>
        </bottom>
      </border>
    </dxf>
  </dxfs>
  <tableStyles count="0" defaultTableStyle="TableStyleMedium2" defaultPivotStyle="PivotStyleLight16"/>
  <colors>
    <mruColors>
      <color rgb="FF66FF99"/>
      <color rgb="FFFFFFCC"/>
      <color rgb="FFDB91B6"/>
      <color rgb="FFFF99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57150</xdr:colOff>
      <xdr:row>86</xdr:row>
      <xdr:rowOff>153058</xdr:rowOff>
    </xdr:to>
    <xdr:sp macro="" textlink="">
      <xdr:nvSpPr>
        <xdr:cNvPr id="4" name="Textfeld 3"/>
        <xdr:cNvSpPr txBox="1"/>
      </xdr:nvSpPr>
      <xdr:spPr>
        <a:xfrm>
          <a:off x="0" y="0"/>
          <a:ext cx="10315575" cy="1653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2000" b="1">
            <a:solidFill>
              <a:schemeClr val="dk1"/>
            </a:solidFill>
            <a:effectLst/>
            <a:latin typeface="+mn-lt"/>
            <a:ea typeface="+mn-ea"/>
            <a:cs typeface="+mn-cs"/>
          </a:endParaRPr>
        </a:p>
        <a:p>
          <a:r>
            <a:rPr lang="de-AT" sz="2000" b="1">
              <a:solidFill>
                <a:schemeClr val="dk1"/>
              </a:solidFill>
              <a:effectLst/>
              <a:latin typeface="+mn-lt"/>
              <a:ea typeface="+mn-ea"/>
              <a:cs typeface="+mn-cs"/>
            </a:rPr>
            <a:t>Informationen und Begriffsbestimmungen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Hier in diesem Tabellenblatt sind die maßgeblichen Kriterien und Faktoren zusammengefasst.</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Das nächstfolgende Tabellenblatt dieser Mappe ist für die konkreten Berechnungen vorgesehen,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wobei gegebenenfalls ergänzende Einträge in den weiteren Blättern &lt;Assistenz&gt; und &lt;GTS&gt; vorzunehmen sind.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Kopfquote:</a:t>
          </a:r>
        </a:p>
        <a:p>
          <a:r>
            <a:rPr lang="de-AT" sz="1400">
              <a:solidFill>
                <a:schemeClr val="dk1"/>
              </a:solidFill>
              <a:effectLst/>
              <a:latin typeface="+mn-lt"/>
              <a:ea typeface="+mn-ea"/>
              <a:cs typeface="+mn-cs"/>
            </a:rPr>
            <a:t>Für die Berechnung der Stundenkontingente wurde eine Pro-Kopfquote eingeführt.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Klassenzahl: </a:t>
          </a:r>
        </a:p>
        <a:p>
          <a:r>
            <a:rPr lang="de-AT" sz="1400">
              <a:solidFill>
                <a:schemeClr val="dk1"/>
              </a:solidFill>
              <a:effectLst/>
              <a:latin typeface="+mn-lt"/>
              <a:ea typeface="+mn-ea"/>
              <a:cs typeface="+mn-cs"/>
            </a:rPr>
            <a:t>Die Anzahl der Klassen ist nicht mehr unmittelbarer Auslöser für die Zuweisung von Kontingenten an die Schule und spielt (nach Einführung der Stundenressourcen über eine Kopfquote) nur mehr in Spezialfällen eine Rolle.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Klassenvorstandschaft: </a:t>
          </a:r>
        </a:p>
        <a:p>
          <a:r>
            <a:rPr lang="de-AT" sz="1400">
              <a:solidFill>
                <a:schemeClr val="dk1"/>
              </a:solidFill>
              <a:effectLst/>
              <a:latin typeface="+mn-lt"/>
              <a:ea typeface="+mn-ea"/>
              <a:cs typeface="+mn-cs"/>
            </a:rPr>
            <a:t>Für jede gesondert eingerichtete Klasse besteht Anspruch auf Vergütung der Klassenvorstandschaft, also auch wenn am Standort autonom zusätzliche Klassen gebildet werden. An Schulen, an denen der Unterricht durch Fachlehrer erteilt wird, hat der Schulleiter für jede Klasse </a:t>
          </a:r>
          <a:r>
            <a:rPr lang="de-AT" sz="1400" b="1" u="sng">
              <a:solidFill>
                <a:schemeClr val="dk1"/>
              </a:solidFill>
              <a:effectLst/>
              <a:latin typeface="+mn-lt"/>
              <a:ea typeface="+mn-ea"/>
              <a:cs typeface="+mn-cs"/>
            </a:rPr>
            <a:t>eine</a:t>
          </a:r>
          <a:r>
            <a:rPr lang="de-AT" sz="1400">
              <a:solidFill>
                <a:schemeClr val="dk1"/>
              </a:solidFill>
              <a:effectLst/>
              <a:latin typeface="+mn-lt"/>
              <a:ea typeface="+mn-ea"/>
              <a:cs typeface="+mn-cs"/>
            </a:rPr>
            <a:t> Lehrperson (ausgenommen Lehrbeauftragte) dieser Klasse als Klassenvorstand zu bestellen.</a:t>
          </a:r>
        </a:p>
        <a:p>
          <a:r>
            <a:rPr lang="de-AT" sz="1400">
              <a:solidFill>
                <a:schemeClr val="dk1"/>
              </a:solidFill>
              <a:effectLst/>
              <a:latin typeface="+mn-lt"/>
              <a:ea typeface="+mn-ea"/>
              <a:cs typeface="+mn-cs"/>
            </a:rPr>
            <a:t>An Schulen mit Klassenlehrersystem kommen die Aufgaben des Klassenvorstandes dem Klassenlehrer zu.</a:t>
          </a:r>
        </a:p>
        <a:p>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Eine „Deutschförderklasse“ ist zwar als Klasse bezeichnet, jedoch nicht organisatorisch eigenständig geführt. Somit kann für dieses Förderprogramm keine KV-Vergütung bezahlt werden.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Was ist organisatorisch als „Klasse“ zu verstehen? </a:t>
          </a:r>
        </a:p>
        <a:p>
          <a:r>
            <a:rPr lang="de-AT" sz="1400">
              <a:solidFill>
                <a:schemeClr val="dk1"/>
              </a:solidFill>
              <a:effectLst/>
              <a:latin typeface="+mn-lt"/>
              <a:ea typeface="+mn-ea"/>
              <a:cs typeface="+mn-cs"/>
            </a:rPr>
            <a:t>Alle Pflichtgegenstände werden grundsätzlich im Klassenverband unterrichtet, eine Zusammenlegung bzw ein gemeinsames Führen mit SuS aus verschiedenen Klassen ist nur in Ausnahmefällen unter Vorlage eines pädagogischen Konzeptes an das zuständige Schulpartnerschaftsgremium und dessen Beschluss acht Wochen vor Ende des vorangehenden Unterrichtsjahres (§ 8a SchOG) vorgesehen. Ausgenommen davon sind die alternativen Pflichtgegenstände, die gesondert zusammengesetzten Unterrichtsgruppen zur gezielten Leistungsförderung zB in Hauptfächern an der MS, sowie der Religionsunterricht (wegen der Möglichkeit/Notwendigkeit zur Bildung von klassenübergreifenden Unterrichtsgruppen).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Im Rahmen des Gesamtkonzeptes möglich sind ..</a:t>
          </a:r>
        </a:p>
        <a:p>
          <a:r>
            <a:rPr lang="de-AT" sz="1400">
              <a:solidFill>
                <a:schemeClr val="dk1"/>
              </a:solidFill>
              <a:effectLst/>
              <a:latin typeface="+mn-lt"/>
              <a:ea typeface="+mn-ea"/>
              <a:cs typeface="+mn-cs"/>
            </a:rPr>
            <a:t>die Teilung einer Klasse für einzelne Gegenstände in mehrere Unterrichtsgruppen,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die Einrichtung von Freigegenständen und Unverbindlichen Übungen sowie Förderunterricht, </a:t>
          </a:r>
        </a:p>
        <a:p>
          <a:r>
            <a:rPr lang="de-AT" sz="1400">
              <a:solidFill>
                <a:schemeClr val="dk1"/>
              </a:solidFill>
              <a:effectLst/>
              <a:latin typeface="+mn-lt"/>
              <a:ea typeface="+mn-ea"/>
              <a:cs typeface="+mn-cs"/>
            </a:rPr>
            <a:t>die Förderung im Klassenverband durch eine Zusatzlehrperson im Team-Teaching.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Autonome Bildung von Klassen: </a:t>
          </a:r>
        </a:p>
        <a:p>
          <a:r>
            <a:rPr lang="de-AT" sz="1400">
              <a:solidFill>
                <a:schemeClr val="dk1"/>
              </a:solidFill>
              <a:effectLst/>
              <a:latin typeface="+mn-lt"/>
              <a:ea typeface="+mn-ea"/>
              <a:cs typeface="+mn-cs"/>
            </a:rPr>
            <a:t>Im Rahmen der schulautonomen Gestaltungsmöglichkeiten können am Standort Klassen in einer Zahl eingerichtet werden, die von der durch die Behörde nach Schülerzahlen und Zusammensetzung fiktiv berechneten Anzahl der Klassen abweicht. Daraus ergibt sich die Leitereinrechnung bzw Leiter-Freistellung nach Dienstrecht-Alt.</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Stichtag für die Ressourcen und die Schulorganisation:</a:t>
          </a:r>
        </a:p>
        <a:p>
          <a:pPr marL="0" marR="0" lvl="0" indent="0" defTabSz="914400" eaLnBrk="1" fontAlgn="auto" latinLnBrk="0" hangingPunct="1">
            <a:lnSpc>
              <a:spcPct val="100000"/>
            </a:lnSpc>
            <a:spcBef>
              <a:spcPts val="0"/>
            </a:spcBef>
            <a:spcAft>
              <a:spcPts val="0"/>
            </a:spcAft>
            <a:buClrTx/>
            <a:buSzTx/>
            <a:buFontTx/>
            <a:buNone/>
            <a:tabLst/>
            <a:defRPr/>
          </a:pPr>
          <a:r>
            <a:rPr lang="de-AT" sz="1400">
              <a:solidFill>
                <a:schemeClr val="dk1"/>
              </a:solidFill>
              <a:effectLst/>
              <a:latin typeface="+mn-lt"/>
              <a:ea typeface="+mn-ea"/>
              <a:cs typeface="+mn-cs"/>
            </a:rPr>
            <a:t>Als Stichtag für die verbindliche Berechnung der Stundenressourcen ist der 2. Montag im Unterrichtsjahr maßgeblich. Sprengelfremde SchülerInnen werden dabei ohne Einschränkungen in die Berechnung einbezogen.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b="1">
              <a:solidFill>
                <a:schemeClr val="dk1"/>
              </a:solidFill>
              <a:effectLst/>
              <a:latin typeface="+mn-lt"/>
              <a:ea typeface="+mn-ea"/>
              <a:cs typeface="+mn-cs"/>
            </a:rPr>
            <a:t>IT - Mobile Device Management für PDler</a:t>
          </a: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An der Stammschule ist eine Einrechnung von insgesamt max. 3 Stunden für IT-Betreuung, MDM pädagogisch oder Bibliothek möglich. Wenn ausschließlich IT-Betreuung (inklusive MDM pädagogisch) übernommen wird, kann an bis zu 3 Standorten max. 3 Stunden – somit maximal gesamt 9 Stunden – eingerechnet werden.</a:t>
          </a:r>
        </a:p>
        <a:p>
          <a:endParaRPr lang="de-AT" sz="1400">
            <a:solidFill>
              <a:schemeClr val="dk1"/>
            </a:solidFill>
            <a:effectLst/>
            <a:latin typeface="+mn-lt"/>
            <a:ea typeface="+mn-ea"/>
            <a:cs typeface="+mn-cs"/>
          </a:endParaRPr>
        </a:p>
        <a:p>
          <a:endParaRPr lang="de-AT" sz="1400">
            <a:solidFill>
              <a:schemeClr val="dk1"/>
            </a:solidFill>
            <a:effectLst/>
            <a:latin typeface="+mn-lt"/>
            <a:ea typeface="+mn-ea"/>
            <a:cs typeface="+mn-cs"/>
          </a:endParaRPr>
        </a:p>
        <a:p>
          <a:r>
            <a:rPr lang="de-AT" sz="1400" b="1">
              <a:solidFill>
                <a:schemeClr val="dk1"/>
              </a:solidFill>
              <a:effectLst/>
              <a:latin typeface="+mn-lt"/>
              <a:ea typeface="+mn-ea"/>
              <a:cs typeface="+mn-cs"/>
            </a:rPr>
            <a:t>Änderungen während des Schuljahres: </a:t>
          </a:r>
        </a:p>
        <a:p>
          <a:r>
            <a:rPr lang="de-AT" sz="1400">
              <a:solidFill>
                <a:schemeClr val="dk1"/>
              </a:solidFill>
              <a:effectLst/>
              <a:latin typeface="+mn-lt"/>
              <a:ea typeface="+mn-ea"/>
              <a:cs typeface="+mn-cs"/>
            </a:rPr>
            <a:t>Der Schulwechsel eines Schülers bewirkt grundsätzlich keine Verschiebung der Stundenressourcen bzw löst keine Mitnahme von Stunden aus, mit Ausnahme bei SuS mit SPF, wo die Stunden für den Unterricht (= mindestens 2,0) und auch für die Assistenz grundsätzlich mit dem Schüler mitgehen. </a:t>
          </a:r>
        </a:p>
        <a:p>
          <a:r>
            <a:rPr lang="de-AT" sz="1400">
              <a:solidFill>
                <a:schemeClr val="dk1"/>
              </a:solidFill>
              <a:effectLst/>
              <a:latin typeface="+mn-lt"/>
              <a:ea typeface="+mn-ea"/>
              <a:cs typeface="+mn-cs"/>
            </a:rPr>
            <a:t>Bei unterrichtlicher Notwendigkeit oder bei Status ao-u kann die aufnehmende Schule beim SQM eine Prüfung der Situation beantragen. Sinkt eine DFöKL unter acht SuS, kann diese bis zum Ende des Semesters weitergeführt werden.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Was im schülerkopf-bezogenen Stundenkontingent NICHT enthalten ist: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Einrechnungen für Schulleitung, Bibliothek, IT usw. </a:t>
          </a:r>
        </a:p>
        <a:p>
          <a:r>
            <a:rPr lang="de-AT" sz="1400">
              <a:solidFill>
                <a:schemeClr val="dk1"/>
              </a:solidFill>
              <a:effectLst/>
              <a:latin typeface="+mn-lt"/>
              <a:ea typeface="+mn-ea"/>
              <a:cs typeface="+mn-cs"/>
            </a:rPr>
            <a:t>Diese Einrechnungen werden in den auf die Stundenkontingente für die Unterrichtserteilung folgenden Zeilen gesondert ermittelt bzw von der Schule für die anstehende Bedarfsplanung beantragt.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Aus spezifischen Stundentöpfen und jedenfalls außerhalb des berechneten Schulkontingents werden gesondert Stunden zugewiesen </a:t>
          </a:r>
        </a:p>
        <a:p>
          <a:r>
            <a:rPr lang="de-AT" sz="1400">
              <a:solidFill>
                <a:schemeClr val="dk1"/>
              </a:solidFill>
              <a:effectLst/>
              <a:latin typeface="+mn-lt"/>
              <a:ea typeface="+mn-ea"/>
              <a:cs typeface="+mn-cs"/>
            </a:rPr>
            <a:t>für den Religionsunterricht (alle Bekenntnisse), für den Muttersprach-lichen Unterricht, sowie für andere Mobile Lehrpersonen.</a:t>
          </a:r>
        </a:p>
        <a:p>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Für röm</a:t>
          </a:r>
          <a:r>
            <a:rPr lang="de-AT" sz="1400" i="1">
              <a:solidFill>
                <a:schemeClr val="dk1"/>
              </a:solidFill>
              <a:effectLst/>
              <a:latin typeface="+mn-lt"/>
              <a:ea typeface="+mn-ea"/>
              <a:cs typeface="+mn-cs"/>
            </a:rPr>
            <a:t>.-kath. Religion ist jedoch ein eigenes Tabellenblatt zur Meldung bzw Beantragung der Unterrichtsressourcen aufgenommen. </a:t>
          </a:r>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Schulische Assistenz:  Die zur individuellen Unterstützung erforderlichen genehmigten Stunden sind über das Tabellenblatt &lt;Assistenz&gt; bekannt zu geben, und zwar im gesamten Ausmaß und in weiterer Folge, welches Personal dafür eingesetzt wird (SAF oder Bildi). Lehrpersonen, welche Assistenzstunden abgedecken, müssen zwingend einen Dienstvertrag haben welcher auf „Stütz- und BegleitlehrerIn“ lautet. Für diese Lehrpersonen sind die entsprechenden Stunden im Blatt &lt;Lehrpersonen&gt; zuzuteilen. </a:t>
          </a:r>
        </a:p>
        <a:p>
          <a:endParaRPr lang="de-AT"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370284</xdr:colOff>
      <xdr:row>12</xdr:row>
      <xdr:rowOff>65942</xdr:rowOff>
    </xdr:from>
    <xdr:to>
      <xdr:col>2</xdr:col>
      <xdr:colOff>370284</xdr:colOff>
      <xdr:row>14</xdr:row>
      <xdr:rowOff>56417</xdr:rowOff>
    </xdr:to>
    <xdr:cxnSp macro="">
      <xdr:nvCxnSpPr>
        <xdr:cNvPr id="5" name="Gerade Verbindung mit Pfeil 4">
          <a:extLst>
            <a:ext uri="{FF2B5EF4-FFF2-40B4-BE49-F238E27FC236}">
              <a16:creationId xmlns:a16="http://schemas.microsoft.com/office/drawing/2014/main" id="{00000000-0008-0000-0100-000005000000}"/>
            </a:ext>
          </a:extLst>
        </xdr:cNvPr>
        <xdr:cNvCxnSpPr/>
      </xdr:nvCxnSpPr>
      <xdr:spPr>
        <a:xfrm>
          <a:off x="1220207" y="3531577"/>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566488</xdr:colOff>
      <xdr:row>13</xdr:row>
      <xdr:rowOff>61663</xdr:rowOff>
    </xdr:from>
    <xdr:to>
      <xdr:col>6</xdr:col>
      <xdr:colOff>82827</xdr:colOff>
      <xdr:row>13</xdr:row>
      <xdr:rowOff>61663</xdr:rowOff>
    </xdr:to>
    <xdr:cxnSp macro="">
      <xdr:nvCxnSpPr>
        <xdr:cNvPr id="37" name="Gerader Verbinder 36">
          <a:extLst>
            <a:ext uri="{FF2B5EF4-FFF2-40B4-BE49-F238E27FC236}">
              <a16:creationId xmlns:a16="http://schemas.microsoft.com/office/drawing/2014/main" id="{00000000-0008-0000-0100-000025000000}"/>
            </a:ext>
          </a:extLst>
        </xdr:cNvPr>
        <xdr:cNvCxnSpPr/>
      </xdr:nvCxnSpPr>
      <xdr:spPr>
        <a:xfrm flipH="1">
          <a:off x="1411314" y="3175924"/>
          <a:ext cx="2133643" cy="0"/>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13</xdr:row>
      <xdr:rowOff>65484</xdr:rowOff>
    </xdr:from>
    <xdr:to>
      <xdr:col>2</xdr:col>
      <xdr:colOff>571500</xdr:colOff>
      <xdr:row>14</xdr:row>
      <xdr:rowOff>66675</xdr:rowOff>
    </xdr:to>
    <xdr:cxnSp macro="">
      <xdr:nvCxnSpPr>
        <xdr:cNvPr id="40" name="Gerade Verbindung mit Pfeil 39">
          <a:extLst>
            <a:ext uri="{FF2B5EF4-FFF2-40B4-BE49-F238E27FC236}">
              <a16:creationId xmlns:a16="http://schemas.microsoft.com/office/drawing/2014/main" id="{00000000-0008-0000-0100-000028000000}"/>
            </a:ext>
          </a:extLst>
        </xdr:cNvPr>
        <xdr:cNvCxnSpPr/>
      </xdr:nvCxnSpPr>
      <xdr:spPr>
        <a:xfrm>
          <a:off x="1416844" y="3911203"/>
          <a:ext cx="0" cy="191691"/>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309843</xdr:colOff>
      <xdr:row>12</xdr:row>
      <xdr:rowOff>57150</xdr:rowOff>
    </xdr:from>
    <xdr:to>
      <xdr:col>6</xdr:col>
      <xdr:colOff>309843</xdr:colOff>
      <xdr:row>14</xdr:row>
      <xdr:rowOff>47625</xdr:rowOff>
    </xdr:to>
    <xdr:cxnSp macro="">
      <xdr:nvCxnSpPr>
        <xdr:cNvPr id="61" name="Gerade Verbindung mit Pfeil 60">
          <a:extLst>
            <a:ext uri="{FF2B5EF4-FFF2-40B4-BE49-F238E27FC236}">
              <a16:creationId xmlns:a16="http://schemas.microsoft.com/office/drawing/2014/main" id="{00000000-0008-0000-0100-00003D000000}"/>
            </a:ext>
          </a:extLst>
        </xdr:cNvPr>
        <xdr:cNvCxnSpPr/>
      </xdr:nvCxnSpPr>
      <xdr:spPr>
        <a:xfrm>
          <a:off x="3268196" y="3530974"/>
          <a:ext cx="0" cy="5619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71185</xdr:colOff>
      <xdr:row>12</xdr:row>
      <xdr:rowOff>50131</xdr:rowOff>
    </xdr:from>
    <xdr:to>
      <xdr:col>6</xdr:col>
      <xdr:colOff>179820</xdr:colOff>
      <xdr:row>13</xdr:row>
      <xdr:rowOff>65484</xdr:rowOff>
    </xdr:to>
    <xdr:cxnSp macro="">
      <xdr:nvCxnSpPr>
        <xdr:cNvPr id="13" name="Gerader Verbinder 12">
          <a:extLst>
            <a:ext uri="{FF2B5EF4-FFF2-40B4-BE49-F238E27FC236}">
              <a16:creationId xmlns:a16="http://schemas.microsoft.com/office/drawing/2014/main" id="{00000000-0008-0000-0100-00000D000000}"/>
            </a:ext>
          </a:extLst>
        </xdr:cNvPr>
        <xdr:cNvCxnSpPr/>
      </xdr:nvCxnSpPr>
      <xdr:spPr>
        <a:xfrm flipH="1">
          <a:off x="3533315" y="2973892"/>
          <a:ext cx="108635" cy="205853"/>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334496</xdr:colOff>
      <xdr:row>12</xdr:row>
      <xdr:rowOff>54349</xdr:rowOff>
    </xdr:from>
    <xdr:to>
      <xdr:col>7</xdr:col>
      <xdr:colOff>334496</xdr:colOff>
      <xdr:row>14</xdr:row>
      <xdr:rowOff>44824</xdr:rowOff>
    </xdr:to>
    <xdr:cxnSp macro="">
      <xdr:nvCxnSpPr>
        <xdr:cNvPr id="10" name="Gerade Verbindung mit Pfeil 9">
          <a:extLst>
            <a:ext uri="{FF2B5EF4-FFF2-40B4-BE49-F238E27FC236}">
              <a16:creationId xmlns:a16="http://schemas.microsoft.com/office/drawing/2014/main" id="{00000000-0008-0000-0100-00000A000000}"/>
            </a:ext>
          </a:extLst>
        </xdr:cNvPr>
        <xdr:cNvCxnSpPr/>
      </xdr:nvCxnSpPr>
      <xdr:spPr>
        <a:xfrm>
          <a:off x="5001746" y="3578599"/>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38100</xdr:colOff>
      <xdr:row>66</xdr:row>
      <xdr:rowOff>38100</xdr:rowOff>
    </xdr:from>
    <xdr:to>
      <xdr:col>17</xdr:col>
      <xdr:colOff>361950</xdr:colOff>
      <xdr:row>68</xdr:row>
      <xdr:rowOff>87368</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t="5338" b="6219"/>
        <a:stretch/>
      </xdr:blipFill>
      <xdr:spPr>
        <a:xfrm>
          <a:off x="5810250" y="12763500"/>
          <a:ext cx="4152900" cy="763643"/>
        </a:xfrm>
        <a:prstGeom prst="rect">
          <a:avLst/>
        </a:prstGeom>
        <a:noFill/>
        <a:effectLst>
          <a:innerShdw blurRad="228600">
            <a:schemeClr val="accent4">
              <a:lumMod val="75000"/>
            </a:schemeClr>
          </a:inn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495300</xdr:colOff>
      <xdr:row>21</xdr:row>
      <xdr:rowOff>152400</xdr:rowOff>
    </xdr:from>
    <xdr:ext cx="4010025" cy="601980"/>
    <xdr:sp macro="" textlink="">
      <xdr:nvSpPr>
        <xdr:cNvPr id="2" name="Text Box 12">
          <a:extLst>
            <a:ext uri="{FF2B5EF4-FFF2-40B4-BE49-F238E27FC236}">
              <a16:creationId xmlns:a16="http://schemas.microsoft.com/office/drawing/2014/main" id="{00000000-0008-0000-0300-000002000000}"/>
            </a:ext>
          </a:extLst>
        </xdr:cNvPr>
        <xdr:cNvSpPr txBox="1">
          <a:spLocks noChangeArrowheads="1"/>
        </xdr:cNvSpPr>
      </xdr:nvSpPr>
      <xdr:spPr bwMode="auto">
        <a:xfrm>
          <a:off x="2505075" y="5276850"/>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23 und 56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87696</xdr:rowOff>
    </xdr:from>
    <xdr:to>
      <xdr:col>4</xdr:col>
      <xdr:colOff>1095375</xdr:colOff>
      <xdr:row>1</xdr:row>
      <xdr:rowOff>263087</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703" t="19095" r="3529" b="11099"/>
        <a:stretch>
          <a:fillRect/>
        </a:stretch>
      </xdr:blipFill>
      <xdr:spPr bwMode="auto">
        <a:xfrm>
          <a:off x="0" y="87696"/>
          <a:ext cx="2533650" cy="442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87696</xdr:rowOff>
    </xdr:from>
    <xdr:to>
      <xdr:col>3</xdr:col>
      <xdr:colOff>1095375</xdr:colOff>
      <xdr:row>1</xdr:row>
      <xdr:rowOff>263087</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703" t="19095" r="3529" b="11099"/>
        <a:stretch>
          <a:fillRect/>
        </a:stretch>
      </xdr:blipFill>
      <xdr:spPr bwMode="auto">
        <a:xfrm>
          <a:off x="0" y="87696"/>
          <a:ext cx="2533650" cy="442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203638</xdr:colOff>
      <xdr:row>2</xdr:row>
      <xdr:rowOff>289035</xdr:rowOff>
    </xdr:from>
    <xdr:to>
      <xdr:col>13</xdr:col>
      <xdr:colOff>676604</xdr:colOff>
      <xdr:row>4</xdr:row>
      <xdr:rowOff>26275</xdr:rowOff>
    </xdr:to>
    <xdr:sp macro="" textlink="">
      <xdr:nvSpPr>
        <xdr:cNvPr id="3" name="Textfeld 2"/>
        <xdr:cNvSpPr txBox="1"/>
      </xdr:nvSpPr>
      <xdr:spPr>
        <a:xfrm>
          <a:off x="6328213" y="822435"/>
          <a:ext cx="1492141" cy="23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t>bspw. Mustermann Max</a:t>
          </a:r>
        </a:p>
      </xdr:txBody>
    </xdr:sp>
    <xdr:clientData/>
  </xdr:twoCellAnchor>
  <xdr:twoCellAnchor>
    <xdr:from>
      <xdr:col>10</xdr:col>
      <xdr:colOff>19708</xdr:colOff>
      <xdr:row>3</xdr:row>
      <xdr:rowOff>85660</xdr:rowOff>
    </xdr:from>
    <xdr:to>
      <xdr:col>11</xdr:col>
      <xdr:colOff>131380</xdr:colOff>
      <xdr:row>3</xdr:row>
      <xdr:rowOff>144517</xdr:rowOff>
    </xdr:to>
    <xdr:sp macro="" textlink="">
      <xdr:nvSpPr>
        <xdr:cNvPr id="4" name="Pfeil nach links 3"/>
        <xdr:cNvSpPr/>
      </xdr:nvSpPr>
      <xdr:spPr>
        <a:xfrm>
          <a:off x="5763283" y="914335"/>
          <a:ext cx="492672" cy="58857"/>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AT" sz="1100"/>
        </a:p>
      </xdr:txBody>
    </xdr:sp>
    <xdr:clientData/>
  </xdr:twoCellAnchor>
  <xdr:twoCellAnchor>
    <xdr:from>
      <xdr:col>13</xdr:col>
      <xdr:colOff>120541</xdr:colOff>
      <xdr:row>0</xdr:row>
      <xdr:rowOff>27590</xdr:rowOff>
    </xdr:from>
    <xdr:to>
      <xdr:col>14</xdr:col>
      <xdr:colOff>751161</xdr:colOff>
      <xdr:row>0</xdr:row>
      <xdr:rowOff>257503</xdr:rowOff>
    </xdr:to>
    <xdr:sp macro="" textlink="">
      <xdr:nvSpPr>
        <xdr:cNvPr id="5" name="Textfeld 4"/>
        <xdr:cNvSpPr txBox="1"/>
      </xdr:nvSpPr>
      <xdr:spPr>
        <a:xfrm>
          <a:off x="7267575" y="27590"/>
          <a:ext cx="1491155" cy="229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t>bspw. Mustermann Max</a:t>
          </a:r>
        </a:p>
      </xdr:txBody>
    </xdr:sp>
    <xdr:clientData/>
  </xdr:twoCellAnchor>
  <xdr:twoCellAnchor>
    <xdr:from>
      <xdr:col>12</xdr:col>
      <xdr:colOff>87697</xdr:colOff>
      <xdr:row>0</xdr:row>
      <xdr:rowOff>119819</xdr:rowOff>
    </xdr:from>
    <xdr:to>
      <xdr:col>13</xdr:col>
      <xdr:colOff>48283</xdr:colOff>
      <xdr:row>0</xdr:row>
      <xdr:rowOff>178676</xdr:rowOff>
    </xdr:to>
    <xdr:sp macro="" textlink="">
      <xdr:nvSpPr>
        <xdr:cNvPr id="6" name="Pfeil nach links 5"/>
        <xdr:cNvSpPr/>
      </xdr:nvSpPr>
      <xdr:spPr>
        <a:xfrm>
          <a:off x="6702645" y="119819"/>
          <a:ext cx="492672" cy="58857"/>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AT"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76200</xdr:colOff>
      <xdr:row>4</xdr:row>
      <xdr:rowOff>28575</xdr:rowOff>
    </xdr:from>
    <xdr:ext cx="2901950" cy="436786"/>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571750" y="962025"/>
          <a:ext cx="2901950" cy="436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de-AT" sz="1100"/>
            <a:t> blau in Spalte D  = </a:t>
          </a:r>
          <a:r>
            <a:rPr lang="de-AT" sz="1100">
              <a:solidFill>
                <a:schemeClr val="dk1"/>
              </a:solidFill>
              <a:effectLst/>
              <a:latin typeface="+mn-lt"/>
              <a:ea typeface="+mn-ea"/>
              <a:cs typeface="+mn-cs"/>
            </a:rPr>
            <a:t>anders Bedarf : </a:t>
          </a:r>
          <a:r>
            <a:rPr lang="de-AT" sz="1100" baseline="0">
              <a:solidFill>
                <a:schemeClr val="dk1"/>
              </a:solidFill>
              <a:effectLst/>
              <a:latin typeface="+mn-lt"/>
              <a:ea typeface="+mn-ea"/>
              <a:cs typeface="+mn-cs"/>
            </a:rPr>
            <a:t>Schulstart</a:t>
          </a:r>
          <a:endParaRPr lang="de-AT" sz="1100" baseline="0"/>
        </a:p>
        <a:p>
          <a:r>
            <a:rPr lang="de-AT" sz="1100" baseline="0"/>
            <a:t> gelb in Spalte E  = jährlich prüfen/anpassen</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vobs.at/formuland-download/GTS_MS'PTS%20SOK-Eingaben%20Stand%2007'23.pdf" TargetMode="External"/><Relationship Id="rId1" Type="http://schemas.openxmlformats.org/officeDocument/2006/relationships/hyperlink" Target="http://www2.vobs.at/ftp-pub/allgemein/formulare/GT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7030A0"/>
    <pageSetUpPr fitToPage="1"/>
  </sheetPr>
  <dimension ref="A1:W301"/>
  <sheetViews>
    <sheetView workbookViewId="0">
      <pane ySplit="2" topLeftCell="A3" activePane="bottomLeft" state="frozen"/>
      <selection pane="bottomLeft" activeCell="C12" sqref="C12"/>
    </sheetView>
  </sheetViews>
  <sheetFormatPr baseColWidth="10" defaultColWidth="11.42578125" defaultRowHeight="15" x14ac:dyDescent="0.25"/>
  <cols>
    <col min="1" max="1" width="9.140625" style="568" bestFit="1" customWidth="1"/>
    <col min="2" max="2" width="19" style="583" customWidth="1"/>
    <col min="3" max="3" width="7" style="568" bestFit="1" customWidth="1"/>
    <col min="4" max="4" width="49.85546875" style="568" customWidth="1"/>
    <col min="5" max="5" width="9.140625" style="568" customWidth="1"/>
    <col min="6" max="6" width="6.5703125" style="568" customWidth="1"/>
    <col min="7" max="7" width="9.5703125" style="568" bestFit="1" customWidth="1"/>
    <col min="8" max="8" width="13" style="568" bestFit="1" customWidth="1"/>
    <col min="9" max="9" width="9.7109375" style="568" bestFit="1" customWidth="1"/>
    <col min="10" max="10" width="9.7109375" style="568" customWidth="1"/>
    <col min="11" max="11" width="31.7109375" style="568" bestFit="1" customWidth="1"/>
    <col min="12" max="12" width="31.7109375" style="568" customWidth="1"/>
    <col min="13" max="13" width="9.140625" style="568" bestFit="1" customWidth="1"/>
    <col min="14" max="15" width="7.85546875" style="568" customWidth="1"/>
    <col min="16" max="16" width="9.7109375" style="568" customWidth="1"/>
    <col min="17" max="20" width="11.42578125" style="568"/>
    <col min="21" max="22" width="14.42578125" style="568" bestFit="1" customWidth="1"/>
    <col min="23" max="16384" width="11.42578125" style="568"/>
  </cols>
  <sheetData>
    <row r="1" spans="1:23" ht="18.75" x14ac:dyDescent="0.3">
      <c r="B1" s="569" t="s">
        <v>332</v>
      </c>
      <c r="D1" s="570">
        <f>SUBTOTAL(103,D4:D14)</f>
        <v>0</v>
      </c>
      <c r="F1" s="571" t="e">
        <f>SUBTOTAL(101,F4:F14)</f>
        <v>#DIV/0!</v>
      </c>
      <c r="O1" s="572" t="s">
        <v>333</v>
      </c>
      <c r="P1" s="573">
        <v>108</v>
      </c>
      <c r="W1" s="94" t="s">
        <v>56</v>
      </c>
    </row>
    <row r="2" spans="1:23" ht="29.25" customHeight="1" x14ac:dyDescent="0.25">
      <c r="A2" s="574" t="s">
        <v>334</v>
      </c>
      <c r="B2" s="574"/>
      <c r="C2" s="574" t="s">
        <v>0</v>
      </c>
      <c r="D2" s="574" t="s">
        <v>335</v>
      </c>
      <c r="E2" s="575" t="s">
        <v>336</v>
      </c>
      <c r="F2" s="576" t="s">
        <v>337</v>
      </c>
      <c r="G2" s="574" t="s">
        <v>338</v>
      </c>
      <c r="H2" s="575" t="s">
        <v>339</v>
      </c>
      <c r="I2" s="574" t="s">
        <v>340</v>
      </c>
      <c r="J2" s="575" t="s">
        <v>341</v>
      </c>
      <c r="K2" s="575" t="s">
        <v>342</v>
      </c>
      <c r="L2" s="575"/>
      <c r="M2" s="574" t="s">
        <v>343</v>
      </c>
      <c r="N2" s="575" t="s">
        <v>344</v>
      </c>
      <c r="O2" s="575" t="s">
        <v>345</v>
      </c>
      <c r="P2" s="577">
        <v>6.3330000000000001E-3</v>
      </c>
      <c r="Q2" s="578" t="s">
        <v>346</v>
      </c>
      <c r="T2" s="575" t="s">
        <v>347</v>
      </c>
      <c r="U2" s="575" t="s">
        <v>348</v>
      </c>
    </row>
    <row r="3" spans="1:23" x14ac:dyDescent="0.25">
      <c r="A3" s="568" t="s">
        <v>349</v>
      </c>
      <c r="B3" s="579">
        <v>0</v>
      </c>
      <c r="C3" s="568">
        <v>0</v>
      </c>
      <c r="D3" s="568">
        <v>0</v>
      </c>
      <c r="F3" s="580"/>
      <c r="G3" s="568">
        <v>0</v>
      </c>
      <c r="H3" s="568">
        <v>0</v>
      </c>
      <c r="I3" s="568" t="s">
        <v>350</v>
      </c>
      <c r="T3" s="581" t="s">
        <v>351</v>
      </c>
      <c r="U3" s="581" t="s">
        <v>352</v>
      </c>
    </row>
    <row r="4" spans="1:23" x14ac:dyDescent="0.25">
      <c r="A4" s="568" t="s">
        <v>349</v>
      </c>
      <c r="B4" s="579"/>
      <c r="C4" s="48">
        <v>801014</v>
      </c>
      <c r="F4" s="580"/>
      <c r="I4" s="568" t="s">
        <v>350</v>
      </c>
      <c r="J4" s="673" t="s">
        <v>390</v>
      </c>
      <c r="K4" s="6" t="s">
        <v>391</v>
      </c>
      <c r="M4" s="568" t="s">
        <v>353</v>
      </c>
      <c r="N4" s="582">
        <v>-0.5</v>
      </c>
      <c r="T4" s="581" t="s">
        <v>354</v>
      </c>
      <c r="U4" s="581" t="s">
        <v>355</v>
      </c>
    </row>
    <row r="5" spans="1:23" x14ac:dyDescent="0.25">
      <c r="A5" s="568" t="s">
        <v>349</v>
      </c>
      <c r="B5" s="579"/>
      <c r="C5" s="48">
        <v>801024</v>
      </c>
      <c r="F5" s="580"/>
      <c r="I5" s="568" t="s">
        <v>350</v>
      </c>
      <c r="J5" s="673" t="s">
        <v>390</v>
      </c>
      <c r="K5" s="6" t="s">
        <v>392</v>
      </c>
      <c r="M5" s="568" t="s">
        <v>353</v>
      </c>
    </row>
    <row r="6" spans="1:23" x14ac:dyDescent="0.25">
      <c r="A6" s="568" t="s">
        <v>349</v>
      </c>
      <c r="B6" s="579"/>
      <c r="C6" s="48">
        <v>801044</v>
      </c>
      <c r="F6" s="580"/>
      <c r="I6" s="568" t="s">
        <v>350</v>
      </c>
      <c r="J6" s="673" t="s">
        <v>390</v>
      </c>
      <c r="K6" s="6" t="s">
        <v>393</v>
      </c>
      <c r="M6" s="568" t="s">
        <v>353</v>
      </c>
    </row>
    <row r="7" spans="1:23" x14ac:dyDescent="0.25">
      <c r="A7" s="568" t="s">
        <v>349</v>
      </c>
      <c r="B7" s="579"/>
      <c r="C7" s="48">
        <v>802014</v>
      </c>
      <c r="F7" s="580"/>
      <c r="I7" s="568" t="s">
        <v>350</v>
      </c>
      <c r="J7" s="673" t="s">
        <v>390</v>
      </c>
      <c r="K7" s="6" t="s">
        <v>394</v>
      </c>
      <c r="M7" s="673" t="s">
        <v>402</v>
      </c>
      <c r="O7" s="677" t="s">
        <v>351</v>
      </c>
    </row>
    <row r="8" spans="1:23" x14ac:dyDescent="0.25">
      <c r="A8" s="568" t="s">
        <v>349</v>
      </c>
      <c r="B8" s="579"/>
      <c r="C8" s="48">
        <v>802024</v>
      </c>
      <c r="F8" s="580"/>
      <c r="I8" s="568" t="s">
        <v>350</v>
      </c>
      <c r="J8" s="673" t="s">
        <v>390</v>
      </c>
      <c r="K8" s="6" t="s">
        <v>395</v>
      </c>
      <c r="M8" s="673" t="s">
        <v>402</v>
      </c>
    </row>
    <row r="9" spans="1:23" x14ac:dyDescent="0.25">
      <c r="A9" s="568" t="s">
        <v>349</v>
      </c>
      <c r="B9" s="579"/>
      <c r="C9" s="48">
        <v>802034</v>
      </c>
      <c r="F9" s="580"/>
      <c r="I9" s="568" t="s">
        <v>350</v>
      </c>
      <c r="J9" s="673" t="s">
        <v>390</v>
      </c>
      <c r="K9" s="6" t="s">
        <v>396</v>
      </c>
      <c r="M9" s="673" t="s">
        <v>402</v>
      </c>
    </row>
    <row r="10" spans="1:23" x14ac:dyDescent="0.25">
      <c r="A10" s="568" t="s">
        <v>349</v>
      </c>
      <c r="B10" s="579"/>
      <c r="C10" s="185">
        <v>802122</v>
      </c>
      <c r="F10" s="580"/>
      <c r="I10" s="568" t="s">
        <v>350</v>
      </c>
      <c r="J10" s="673" t="s">
        <v>390</v>
      </c>
      <c r="K10" s="674" t="s">
        <v>397</v>
      </c>
      <c r="M10" s="673" t="s">
        <v>402</v>
      </c>
    </row>
    <row r="11" spans="1:23" x14ac:dyDescent="0.25">
      <c r="A11" s="568" t="s">
        <v>349</v>
      </c>
      <c r="B11" s="579"/>
      <c r="C11" s="185">
        <v>802212</v>
      </c>
      <c r="F11" s="580"/>
      <c r="I11" s="568" t="s">
        <v>350</v>
      </c>
      <c r="J11" s="673" t="s">
        <v>390</v>
      </c>
      <c r="K11" s="674" t="s">
        <v>398</v>
      </c>
      <c r="M11" s="673" t="s">
        <v>402</v>
      </c>
    </row>
    <row r="12" spans="1:23" x14ac:dyDescent="0.25">
      <c r="A12" s="568" t="s">
        <v>349</v>
      </c>
      <c r="B12" s="579"/>
      <c r="C12" s="48">
        <v>803014</v>
      </c>
      <c r="F12" s="580"/>
      <c r="I12" s="568" t="s">
        <v>350</v>
      </c>
      <c r="J12" s="673" t="s">
        <v>390</v>
      </c>
      <c r="K12" s="6" t="s">
        <v>399</v>
      </c>
      <c r="M12" s="673" t="s">
        <v>403</v>
      </c>
      <c r="N12" s="582">
        <v>-0.5</v>
      </c>
      <c r="O12" s="677" t="s">
        <v>351</v>
      </c>
    </row>
    <row r="13" spans="1:23" x14ac:dyDescent="0.25">
      <c r="A13" s="568" t="s">
        <v>349</v>
      </c>
      <c r="B13" s="579"/>
      <c r="C13" s="48">
        <v>804024</v>
      </c>
      <c r="F13" s="580"/>
      <c r="I13" s="568" t="s">
        <v>350</v>
      </c>
      <c r="J13" s="673" t="s">
        <v>390</v>
      </c>
      <c r="K13" s="6" t="s">
        <v>400</v>
      </c>
      <c r="M13" s="673" t="s">
        <v>404</v>
      </c>
    </row>
    <row r="14" spans="1:23" x14ac:dyDescent="0.25">
      <c r="A14" s="568" t="s">
        <v>349</v>
      </c>
      <c r="B14" s="579"/>
      <c r="C14" s="48">
        <v>804064</v>
      </c>
      <c r="F14" s="580"/>
      <c r="I14" s="568" t="s">
        <v>350</v>
      </c>
      <c r="J14" s="673" t="s">
        <v>390</v>
      </c>
      <c r="K14" s="6" t="s">
        <v>401</v>
      </c>
      <c r="M14" s="673" t="s">
        <v>404</v>
      </c>
    </row>
    <row r="15" spans="1:23" x14ac:dyDescent="0.25">
      <c r="B15" s="568"/>
    </row>
    <row r="16" spans="1:23" x14ac:dyDescent="0.25">
      <c r="B16" s="568"/>
    </row>
    <row r="17" spans="2:2" x14ac:dyDescent="0.25">
      <c r="B17" s="568"/>
    </row>
    <row r="18" spans="2:2" x14ac:dyDescent="0.25">
      <c r="B18" s="568"/>
    </row>
    <row r="19" spans="2:2" x14ac:dyDescent="0.25">
      <c r="B19" s="568"/>
    </row>
    <row r="20" spans="2:2" x14ac:dyDescent="0.25">
      <c r="B20" s="568"/>
    </row>
    <row r="21" spans="2:2" x14ac:dyDescent="0.25">
      <c r="B21" s="568"/>
    </row>
    <row r="22" spans="2:2" x14ac:dyDescent="0.25">
      <c r="B22" s="568"/>
    </row>
    <row r="23" spans="2:2" x14ac:dyDescent="0.25">
      <c r="B23" s="568"/>
    </row>
    <row r="24" spans="2:2" x14ac:dyDescent="0.25">
      <c r="B24" s="568"/>
    </row>
    <row r="25" spans="2:2" x14ac:dyDescent="0.25">
      <c r="B25" s="568"/>
    </row>
    <row r="26" spans="2:2" x14ac:dyDescent="0.25">
      <c r="B26" s="568"/>
    </row>
    <row r="27" spans="2:2" x14ac:dyDescent="0.25">
      <c r="B27" s="568"/>
    </row>
    <row r="28" spans="2:2" x14ac:dyDescent="0.25">
      <c r="B28" s="568"/>
    </row>
    <row r="29" spans="2:2" x14ac:dyDescent="0.25">
      <c r="B29" s="568"/>
    </row>
    <row r="30" spans="2:2" x14ac:dyDescent="0.25">
      <c r="B30" s="568"/>
    </row>
    <row r="31" spans="2:2" x14ac:dyDescent="0.25">
      <c r="B31" s="568"/>
    </row>
    <row r="32" spans="2:2" x14ac:dyDescent="0.25">
      <c r="B32" s="568"/>
    </row>
    <row r="33" spans="2:2" x14ac:dyDescent="0.25">
      <c r="B33" s="568"/>
    </row>
    <row r="34" spans="2:2" x14ac:dyDescent="0.25">
      <c r="B34" s="568"/>
    </row>
    <row r="35" spans="2:2" x14ac:dyDescent="0.25">
      <c r="B35" s="568"/>
    </row>
    <row r="36" spans="2:2" x14ac:dyDescent="0.25">
      <c r="B36" s="568"/>
    </row>
    <row r="37" spans="2:2" x14ac:dyDescent="0.25">
      <c r="B37" s="568"/>
    </row>
    <row r="38" spans="2:2" x14ac:dyDescent="0.25">
      <c r="B38" s="568"/>
    </row>
    <row r="39" spans="2:2" x14ac:dyDescent="0.25">
      <c r="B39" s="568"/>
    </row>
    <row r="40" spans="2:2" x14ac:dyDescent="0.25">
      <c r="B40" s="568"/>
    </row>
    <row r="41" spans="2:2" x14ac:dyDescent="0.25">
      <c r="B41" s="568"/>
    </row>
    <row r="42" spans="2:2" x14ac:dyDescent="0.25">
      <c r="B42" s="568"/>
    </row>
    <row r="43" spans="2:2" x14ac:dyDescent="0.25">
      <c r="B43" s="568"/>
    </row>
    <row r="44" spans="2:2" x14ac:dyDescent="0.25">
      <c r="B44" s="568"/>
    </row>
    <row r="45" spans="2:2" x14ac:dyDescent="0.25">
      <c r="B45" s="568"/>
    </row>
    <row r="46" spans="2:2" x14ac:dyDescent="0.25">
      <c r="B46" s="568"/>
    </row>
    <row r="47" spans="2:2" x14ac:dyDescent="0.25">
      <c r="B47" s="568"/>
    </row>
    <row r="48" spans="2:2" x14ac:dyDescent="0.25">
      <c r="B48" s="568"/>
    </row>
    <row r="49" spans="2:2" x14ac:dyDescent="0.25">
      <c r="B49" s="568"/>
    </row>
    <row r="50" spans="2:2" x14ac:dyDescent="0.25">
      <c r="B50" s="568"/>
    </row>
    <row r="51" spans="2:2" x14ac:dyDescent="0.25">
      <c r="B51" s="568"/>
    </row>
    <row r="52" spans="2:2" x14ac:dyDescent="0.25">
      <c r="B52" s="568"/>
    </row>
    <row r="53" spans="2:2" x14ac:dyDescent="0.25">
      <c r="B53" s="568"/>
    </row>
    <row r="54" spans="2:2" x14ac:dyDescent="0.25">
      <c r="B54" s="568"/>
    </row>
    <row r="55" spans="2:2" x14ac:dyDescent="0.25">
      <c r="B55" s="568"/>
    </row>
    <row r="56" spans="2:2" x14ac:dyDescent="0.25">
      <c r="B56" s="568"/>
    </row>
    <row r="57" spans="2:2" x14ac:dyDescent="0.25">
      <c r="B57" s="568"/>
    </row>
    <row r="58" spans="2:2" x14ac:dyDescent="0.25">
      <c r="B58" s="568"/>
    </row>
    <row r="59" spans="2:2" x14ac:dyDescent="0.25">
      <c r="B59" s="568"/>
    </row>
    <row r="60" spans="2:2" x14ac:dyDescent="0.25">
      <c r="B60" s="568"/>
    </row>
    <row r="61" spans="2:2" x14ac:dyDescent="0.25">
      <c r="B61" s="568"/>
    </row>
    <row r="62" spans="2:2" x14ac:dyDescent="0.25">
      <c r="B62" s="568"/>
    </row>
    <row r="63" spans="2:2" x14ac:dyDescent="0.25">
      <c r="B63" s="568"/>
    </row>
    <row r="64" spans="2:2" x14ac:dyDescent="0.25">
      <c r="B64" s="568"/>
    </row>
    <row r="65" spans="2:2" x14ac:dyDescent="0.25">
      <c r="B65" s="568"/>
    </row>
    <row r="66" spans="2:2" x14ac:dyDescent="0.25">
      <c r="B66" s="568"/>
    </row>
    <row r="67" spans="2:2" x14ac:dyDescent="0.25">
      <c r="B67" s="568"/>
    </row>
    <row r="68" spans="2:2" x14ac:dyDescent="0.25">
      <c r="B68" s="568"/>
    </row>
    <row r="69" spans="2:2" x14ac:dyDescent="0.25">
      <c r="B69" s="568"/>
    </row>
    <row r="70" spans="2:2" x14ac:dyDescent="0.25">
      <c r="B70" s="568"/>
    </row>
    <row r="71" spans="2:2" x14ac:dyDescent="0.25">
      <c r="B71" s="568"/>
    </row>
    <row r="72" spans="2:2" x14ac:dyDescent="0.25">
      <c r="B72" s="568"/>
    </row>
    <row r="73" spans="2:2" x14ac:dyDescent="0.25">
      <c r="B73" s="568"/>
    </row>
    <row r="74" spans="2:2" x14ac:dyDescent="0.25">
      <c r="B74" s="568"/>
    </row>
    <row r="75" spans="2:2" x14ac:dyDescent="0.25">
      <c r="B75" s="568"/>
    </row>
    <row r="76" spans="2:2" x14ac:dyDescent="0.25">
      <c r="B76" s="568"/>
    </row>
    <row r="77" spans="2:2" x14ac:dyDescent="0.25">
      <c r="B77" s="568"/>
    </row>
    <row r="78" spans="2:2" x14ac:dyDescent="0.25">
      <c r="B78" s="568"/>
    </row>
    <row r="79" spans="2:2" x14ac:dyDescent="0.25">
      <c r="B79" s="568"/>
    </row>
    <row r="80" spans="2:2" x14ac:dyDescent="0.25">
      <c r="B80" s="568"/>
    </row>
    <row r="81" spans="2:2" x14ac:dyDescent="0.25">
      <c r="B81" s="568"/>
    </row>
    <row r="82" spans="2:2" x14ac:dyDescent="0.25">
      <c r="B82" s="568"/>
    </row>
    <row r="83" spans="2:2" x14ac:dyDescent="0.25">
      <c r="B83" s="568"/>
    </row>
    <row r="84" spans="2:2" x14ac:dyDescent="0.25">
      <c r="B84" s="568"/>
    </row>
    <row r="85" spans="2:2" x14ac:dyDescent="0.25">
      <c r="B85" s="568"/>
    </row>
    <row r="86" spans="2:2" x14ac:dyDescent="0.25">
      <c r="B86" s="568"/>
    </row>
    <row r="87" spans="2:2" x14ac:dyDescent="0.25">
      <c r="B87" s="568"/>
    </row>
    <row r="88" spans="2:2" x14ac:dyDescent="0.25">
      <c r="B88" s="568"/>
    </row>
    <row r="89" spans="2:2" x14ac:dyDescent="0.25">
      <c r="B89" s="568"/>
    </row>
    <row r="90" spans="2:2" x14ac:dyDescent="0.25">
      <c r="B90" s="568"/>
    </row>
    <row r="91" spans="2:2" x14ac:dyDescent="0.25">
      <c r="B91" s="568"/>
    </row>
    <row r="92" spans="2:2" x14ac:dyDescent="0.25">
      <c r="B92" s="568"/>
    </row>
    <row r="93" spans="2:2" x14ac:dyDescent="0.25">
      <c r="B93" s="568"/>
    </row>
    <row r="94" spans="2:2" x14ac:dyDescent="0.25">
      <c r="B94" s="568"/>
    </row>
    <row r="95" spans="2:2" x14ac:dyDescent="0.25">
      <c r="B95" s="568"/>
    </row>
    <row r="96" spans="2:2" x14ac:dyDescent="0.25">
      <c r="B96" s="568"/>
    </row>
    <row r="97" spans="2:2" x14ac:dyDescent="0.25">
      <c r="B97" s="568"/>
    </row>
    <row r="98" spans="2:2" x14ac:dyDescent="0.25">
      <c r="B98" s="568"/>
    </row>
    <row r="99" spans="2:2" x14ac:dyDescent="0.25">
      <c r="B99" s="568"/>
    </row>
    <row r="100" spans="2:2" x14ac:dyDescent="0.25">
      <c r="B100" s="568"/>
    </row>
    <row r="101" spans="2:2" x14ac:dyDescent="0.25">
      <c r="B101" s="568"/>
    </row>
    <row r="102" spans="2:2" x14ac:dyDescent="0.25">
      <c r="B102" s="568"/>
    </row>
    <row r="103" spans="2:2" x14ac:dyDescent="0.25">
      <c r="B103" s="568"/>
    </row>
    <row r="104" spans="2:2" x14ac:dyDescent="0.25">
      <c r="B104" s="568"/>
    </row>
    <row r="105" spans="2:2" x14ac:dyDescent="0.25">
      <c r="B105" s="568"/>
    </row>
    <row r="106" spans="2:2" x14ac:dyDescent="0.25">
      <c r="B106" s="568"/>
    </row>
    <row r="107" spans="2:2" x14ac:dyDescent="0.25">
      <c r="B107" s="568"/>
    </row>
    <row r="108" spans="2:2" x14ac:dyDescent="0.25">
      <c r="B108" s="568"/>
    </row>
    <row r="109" spans="2:2" x14ac:dyDescent="0.25">
      <c r="B109" s="568"/>
    </row>
    <row r="110" spans="2:2" x14ac:dyDescent="0.25">
      <c r="B110" s="568"/>
    </row>
    <row r="111" spans="2:2" x14ac:dyDescent="0.25">
      <c r="B111" s="568"/>
    </row>
    <row r="112" spans="2:2" x14ac:dyDescent="0.25">
      <c r="B112" s="568"/>
    </row>
    <row r="113" spans="2:2" x14ac:dyDescent="0.25">
      <c r="B113" s="568"/>
    </row>
    <row r="114" spans="2:2" x14ac:dyDescent="0.25">
      <c r="B114" s="568"/>
    </row>
    <row r="115" spans="2:2" x14ac:dyDescent="0.25">
      <c r="B115" s="568"/>
    </row>
    <row r="116" spans="2:2" x14ac:dyDescent="0.25">
      <c r="B116" s="568"/>
    </row>
    <row r="117" spans="2:2" x14ac:dyDescent="0.25">
      <c r="B117" s="568"/>
    </row>
    <row r="118" spans="2:2" x14ac:dyDescent="0.25">
      <c r="B118" s="568"/>
    </row>
    <row r="119" spans="2:2" x14ac:dyDescent="0.25">
      <c r="B119" s="568"/>
    </row>
    <row r="120" spans="2:2" x14ac:dyDescent="0.25">
      <c r="B120" s="568"/>
    </row>
    <row r="121" spans="2:2" x14ac:dyDescent="0.25">
      <c r="B121" s="568"/>
    </row>
    <row r="122" spans="2:2" x14ac:dyDescent="0.25">
      <c r="B122" s="568"/>
    </row>
    <row r="123" spans="2:2" x14ac:dyDescent="0.25">
      <c r="B123" s="568"/>
    </row>
    <row r="124" spans="2:2" x14ac:dyDescent="0.25">
      <c r="B124" s="568"/>
    </row>
    <row r="125" spans="2:2" x14ac:dyDescent="0.25">
      <c r="B125" s="568"/>
    </row>
    <row r="126" spans="2:2" x14ac:dyDescent="0.25">
      <c r="B126" s="568"/>
    </row>
    <row r="127" spans="2:2" x14ac:dyDescent="0.25">
      <c r="B127" s="568"/>
    </row>
    <row r="128" spans="2:2" x14ac:dyDescent="0.25">
      <c r="B128" s="568"/>
    </row>
    <row r="129" spans="2:2" x14ac:dyDescent="0.25">
      <c r="B129" s="568"/>
    </row>
    <row r="130" spans="2:2" x14ac:dyDescent="0.25">
      <c r="B130" s="568"/>
    </row>
    <row r="131" spans="2:2" x14ac:dyDescent="0.25">
      <c r="B131" s="568"/>
    </row>
    <row r="132" spans="2:2" x14ac:dyDescent="0.25">
      <c r="B132" s="568"/>
    </row>
    <row r="133" spans="2:2" x14ac:dyDescent="0.25">
      <c r="B133" s="568"/>
    </row>
    <row r="134" spans="2:2" x14ac:dyDescent="0.25">
      <c r="B134" s="568"/>
    </row>
    <row r="135" spans="2:2" x14ac:dyDescent="0.25">
      <c r="B135" s="568"/>
    </row>
    <row r="136" spans="2:2" x14ac:dyDescent="0.25">
      <c r="B136" s="568"/>
    </row>
    <row r="137" spans="2:2" x14ac:dyDescent="0.25">
      <c r="B137" s="568"/>
    </row>
    <row r="138" spans="2:2" x14ac:dyDescent="0.25">
      <c r="B138" s="568"/>
    </row>
    <row r="139" spans="2:2" x14ac:dyDescent="0.25">
      <c r="B139" s="568"/>
    </row>
    <row r="140" spans="2:2" x14ac:dyDescent="0.25">
      <c r="B140" s="568"/>
    </row>
    <row r="141" spans="2:2" x14ac:dyDescent="0.25">
      <c r="B141" s="568"/>
    </row>
    <row r="142" spans="2:2" x14ac:dyDescent="0.25">
      <c r="B142" s="568"/>
    </row>
    <row r="143" spans="2:2" x14ac:dyDescent="0.25">
      <c r="B143" s="568"/>
    </row>
    <row r="144" spans="2:2" x14ac:dyDescent="0.25">
      <c r="B144" s="568"/>
    </row>
    <row r="145" spans="2:2" x14ac:dyDescent="0.25">
      <c r="B145" s="568"/>
    </row>
    <row r="146" spans="2:2" x14ac:dyDescent="0.25">
      <c r="B146" s="568"/>
    </row>
    <row r="147" spans="2:2" x14ac:dyDescent="0.25">
      <c r="B147" s="568"/>
    </row>
    <row r="148" spans="2:2" x14ac:dyDescent="0.25">
      <c r="B148" s="568"/>
    </row>
    <row r="149" spans="2:2" x14ac:dyDescent="0.25">
      <c r="B149" s="568"/>
    </row>
    <row r="150" spans="2:2" x14ac:dyDescent="0.25">
      <c r="B150" s="568"/>
    </row>
    <row r="151" spans="2:2" x14ac:dyDescent="0.25">
      <c r="B151" s="568"/>
    </row>
    <row r="152" spans="2:2" x14ac:dyDescent="0.25">
      <c r="B152" s="568"/>
    </row>
    <row r="153" spans="2:2" x14ac:dyDescent="0.25">
      <c r="B153" s="568"/>
    </row>
    <row r="154" spans="2:2" x14ac:dyDescent="0.25">
      <c r="B154" s="568"/>
    </row>
    <row r="155" spans="2:2" x14ac:dyDescent="0.25">
      <c r="B155" s="568"/>
    </row>
    <row r="156" spans="2:2" x14ac:dyDescent="0.25">
      <c r="B156" s="568"/>
    </row>
    <row r="157" spans="2:2" x14ac:dyDescent="0.25">
      <c r="B157" s="568"/>
    </row>
    <row r="158" spans="2:2" x14ac:dyDescent="0.25">
      <c r="B158" s="568"/>
    </row>
    <row r="159" spans="2:2" x14ac:dyDescent="0.25">
      <c r="B159" s="568"/>
    </row>
    <row r="160" spans="2:2" x14ac:dyDescent="0.25">
      <c r="B160" s="568"/>
    </row>
    <row r="161" spans="2:2" x14ac:dyDescent="0.25">
      <c r="B161" s="568"/>
    </row>
    <row r="162" spans="2:2" x14ac:dyDescent="0.25">
      <c r="B162" s="568"/>
    </row>
    <row r="163" spans="2:2" x14ac:dyDescent="0.25">
      <c r="B163" s="568"/>
    </row>
    <row r="164" spans="2:2" x14ac:dyDescent="0.25">
      <c r="B164" s="568"/>
    </row>
    <row r="165" spans="2:2" x14ac:dyDescent="0.25">
      <c r="B165" s="568"/>
    </row>
    <row r="166" spans="2:2" x14ac:dyDescent="0.25">
      <c r="B166" s="568"/>
    </row>
    <row r="167" spans="2:2" x14ac:dyDescent="0.25">
      <c r="B167" s="568"/>
    </row>
    <row r="168" spans="2:2" x14ac:dyDescent="0.25">
      <c r="B168" s="568"/>
    </row>
    <row r="169" spans="2:2" x14ac:dyDescent="0.25">
      <c r="B169" s="568"/>
    </row>
    <row r="170" spans="2:2" x14ac:dyDescent="0.25">
      <c r="B170" s="568"/>
    </row>
    <row r="171" spans="2:2" x14ac:dyDescent="0.25">
      <c r="B171" s="568"/>
    </row>
    <row r="172" spans="2:2" x14ac:dyDescent="0.25">
      <c r="B172" s="568"/>
    </row>
    <row r="173" spans="2:2" x14ac:dyDescent="0.25">
      <c r="B173" s="568"/>
    </row>
    <row r="174" spans="2:2" x14ac:dyDescent="0.25">
      <c r="B174" s="568"/>
    </row>
    <row r="175" spans="2:2" x14ac:dyDescent="0.25">
      <c r="B175" s="568"/>
    </row>
    <row r="176" spans="2:2" x14ac:dyDescent="0.25">
      <c r="B176" s="568"/>
    </row>
    <row r="177" spans="2:2" x14ac:dyDescent="0.25">
      <c r="B177" s="568"/>
    </row>
    <row r="178" spans="2:2" x14ac:dyDescent="0.25">
      <c r="B178" s="568"/>
    </row>
    <row r="179" spans="2:2" x14ac:dyDescent="0.25">
      <c r="B179" s="568"/>
    </row>
    <row r="180" spans="2:2" x14ac:dyDescent="0.25">
      <c r="B180" s="568"/>
    </row>
    <row r="181" spans="2:2" x14ac:dyDescent="0.25">
      <c r="B181" s="568"/>
    </row>
    <row r="182" spans="2:2" x14ac:dyDescent="0.25">
      <c r="B182" s="568"/>
    </row>
    <row r="183" spans="2:2" x14ac:dyDescent="0.25">
      <c r="B183" s="568"/>
    </row>
    <row r="184" spans="2:2" x14ac:dyDescent="0.25">
      <c r="B184" s="568"/>
    </row>
    <row r="185" spans="2:2" x14ac:dyDescent="0.25">
      <c r="B185" s="568"/>
    </row>
    <row r="186" spans="2:2" x14ac:dyDescent="0.25">
      <c r="B186" s="568"/>
    </row>
    <row r="187" spans="2:2" x14ac:dyDescent="0.25">
      <c r="B187" s="568"/>
    </row>
    <row r="188" spans="2:2" x14ac:dyDescent="0.25">
      <c r="B188" s="568"/>
    </row>
    <row r="189" spans="2:2" x14ac:dyDescent="0.25">
      <c r="B189" s="568"/>
    </row>
    <row r="190" spans="2:2" x14ac:dyDescent="0.25">
      <c r="B190" s="568"/>
    </row>
    <row r="191" spans="2:2" x14ac:dyDescent="0.25">
      <c r="B191" s="568"/>
    </row>
    <row r="192" spans="2:2" x14ac:dyDescent="0.25">
      <c r="B192" s="568"/>
    </row>
    <row r="193" spans="2:2" x14ac:dyDescent="0.25">
      <c r="B193" s="568"/>
    </row>
    <row r="194" spans="2:2" x14ac:dyDescent="0.25">
      <c r="B194" s="568"/>
    </row>
    <row r="195" spans="2:2" x14ac:dyDescent="0.25">
      <c r="B195" s="568"/>
    </row>
    <row r="196" spans="2:2" x14ac:dyDescent="0.25">
      <c r="B196" s="568"/>
    </row>
    <row r="197" spans="2:2" x14ac:dyDescent="0.25">
      <c r="B197" s="568"/>
    </row>
    <row r="198" spans="2:2" x14ac:dyDescent="0.25">
      <c r="B198" s="568"/>
    </row>
    <row r="199" spans="2:2" x14ac:dyDescent="0.25">
      <c r="B199" s="568"/>
    </row>
    <row r="200" spans="2:2" x14ac:dyDescent="0.25">
      <c r="B200" s="568"/>
    </row>
    <row r="201" spans="2:2" x14ac:dyDescent="0.25">
      <c r="B201" s="568"/>
    </row>
    <row r="202" spans="2:2" x14ac:dyDescent="0.25">
      <c r="B202" s="568"/>
    </row>
    <row r="203" spans="2:2" x14ac:dyDescent="0.25">
      <c r="B203" s="568"/>
    </row>
    <row r="204" spans="2:2" x14ac:dyDescent="0.25">
      <c r="B204" s="568"/>
    </row>
    <row r="205" spans="2:2" x14ac:dyDescent="0.25">
      <c r="B205" s="568"/>
    </row>
    <row r="206" spans="2:2" x14ac:dyDescent="0.25">
      <c r="B206" s="568"/>
    </row>
    <row r="207" spans="2:2" x14ac:dyDescent="0.25">
      <c r="B207" s="568"/>
    </row>
    <row r="208" spans="2:2" x14ac:dyDescent="0.25">
      <c r="B208" s="568"/>
    </row>
    <row r="209" spans="2:2" x14ac:dyDescent="0.25">
      <c r="B209" s="568"/>
    </row>
    <row r="210" spans="2:2" x14ac:dyDescent="0.25">
      <c r="B210" s="568"/>
    </row>
    <row r="211" spans="2:2" x14ac:dyDescent="0.25">
      <c r="B211" s="568"/>
    </row>
    <row r="212" spans="2:2" x14ac:dyDescent="0.25">
      <c r="B212" s="568"/>
    </row>
    <row r="213" spans="2:2" x14ac:dyDescent="0.25">
      <c r="B213" s="568"/>
    </row>
    <row r="214" spans="2:2" x14ac:dyDescent="0.25">
      <c r="B214" s="568"/>
    </row>
    <row r="215" spans="2:2" x14ac:dyDescent="0.25">
      <c r="B215" s="568"/>
    </row>
    <row r="216" spans="2:2" x14ac:dyDescent="0.25">
      <c r="B216" s="568"/>
    </row>
    <row r="217" spans="2:2" x14ac:dyDescent="0.25">
      <c r="B217" s="568"/>
    </row>
    <row r="218" spans="2:2" x14ac:dyDescent="0.25">
      <c r="B218" s="568"/>
    </row>
    <row r="219" spans="2:2" x14ac:dyDescent="0.25">
      <c r="B219" s="568"/>
    </row>
    <row r="220" spans="2:2" x14ac:dyDescent="0.25">
      <c r="B220" s="568"/>
    </row>
    <row r="221" spans="2:2" x14ac:dyDescent="0.25">
      <c r="B221" s="568"/>
    </row>
    <row r="222" spans="2:2" x14ac:dyDescent="0.25">
      <c r="B222" s="568"/>
    </row>
    <row r="223" spans="2:2" x14ac:dyDescent="0.25">
      <c r="B223" s="568"/>
    </row>
    <row r="224" spans="2:2" x14ac:dyDescent="0.25">
      <c r="B224" s="568"/>
    </row>
    <row r="225" spans="2:2" x14ac:dyDescent="0.25">
      <c r="B225" s="568"/>
    </row>
    <row r="226" spans="2:2" x14ac:dyDescent="0.25">
      <c r="B226" s="568"/>
    </row>
    <row r="227" spans="2:2" x14ac:dyDescent="0.25">
      <c r="B227" s="568"/>
    </row>
    <row r="228" spans="2:2" x14ac:dyDescent="0.25">
      <c r="B228" s="568"/>
    </row>
    <row r="229" spans="2:2" x14ac:dyDescent="0.25">
      <c r="B229" s="568"/>
    </row>
    <row r="230" spans="2:2" x14ac:dyDescent="0.25">
      <c r="B230" s="568"/>
    </row>
    <row r="231" spans="2:2" x14ac:dyDescent="0.25">
      <c r="B231" s="568"/>
    </row>
    <row r="232" spans="2:2" x14ac:dyDescent="0.25">
      <c r="B232" s="568"/>
    </row>
    <row r="233" spans="2:2" x14ac:dyDescent="0.25">
      <c r="B233" s="568"/>
    </row>
    <row r="234" spans="2:2" x14ac:dyDescent="0.25">
      <c r="B234" s="568"/>
    </row>
    <row r="235" spans="2:2" x14ac:dyDescent="0.25">
      <c r="B235" s="568"/>
    </row>
    <row r="236" spans="2:2" x14ac:dyDescent="0.25">
      <c r="B236" s="568"/>
    </row>
    <row r="237" spans="2:2" x14ac:dyDescent="0.25">
      <c r="B237" s="568"/>
    </row>
    <row r="238" spans="2:2" x14ac:dyDescent="0.25">
      <c r="B238" s="568"/>
    </row>
    <row r="239" spans="2:2" x14ac:dyDescent="0.25">
      <c r="B239" s="568"/>
    </row>
    <row r="240" spans="2:2" x14ac:dyDescent="0.25">
      <c r="B240" s="568"/>
    </row>
    <row r="241" spans="2:2" x14ac:dyDescent="0.25">
      <c r="B241" s="568"/>
    </row>
    <row r="242" spans="2:2" x14ac:dyDescent="0.25">
      <c r="B242" s="568"/>
    </row>
    <row r="243" spans="2:2" x14ac:dyDescent="0.25">
      <c r="B243" s="568"/>
    </row>
    <row r="244" spans="2:2" x14ac:dyDescent="0.25">
      <c r="B244" s="568"/>
    </row>
    <row r="245" spans="2:2" x14ac:dyDescent="0.25">
      <c r="B245" s="568"/>
    </row>
    <row r="246" spans="2:2" x14ac:dyDescent="0.25">
      <c r="B246" s="568"/>
    </row>
    <row r="247" spans="2:2" x14ac:dyDescent="0.25">
      <c r="B247" s="568"/>
    </row>
    <row r="248" spans="2:2" x14ac:dyDescent="0.25">
      <c r="B248" s="568"/>
    </row>
    <row r="249" spans="2:2" x14ac:dyDescent="0.25">
      <c r="B249" s="568"/>
    </row>
    <row r="250" spans="2:2" x14ac:dyDescent="0.25">
      <c r="B250" s="568"/>
    </row>
    <row r="251" spans="2:2" x14ac:dyDescent="0.25">
      <c r="B251" s="568"/>
    </row>
    <row r="252" spans="2:2" x14ac:dyDescent="0.25">
      <c r="B252" s="568"/>
    </row>
    <row r="253" spans="2:2" x14ac:dyDescent="0.25">
      <c r="B253" s="568"/>
    </row>
    <row r="254" spans="2:2" x14ac:dyDescent="0.25">
      <c r="B254" s="568"/>
    </row>
    <row r="255" spans="2:2" x14ac:dyDescent="0.25">
      <c r="B255" s="568"/>
    </row>
    <row r="256" spans="2:2" x14ac:dyDescent="0.25">
      <c r="B256" s="568"/>
    </row>
    <row r="257" spans="2:2" x14ac:dyDescent="0.25">
      <c r="B257" s="568"/>
    </row>
    <row r="258" spans="2:2" x14ac:dyDescent="0.25">
      <c r="B258" s="568"/>
    </row>
    <row r="259" spans="2:2" x14ac:dyDescent="0.25">
      <c r="B259" s="568"/>
    </row>
    <row r="260" spans="2:2" x14ac:dyDescent="0.25">
      <c r="B260" s="568"/>
    </row>
    <row r="261" spans="2:2" x14ac:dyDescent="0.25">
      <c r="B261" s="568"/>
    </row>
    <row r="262" spans="2:2" x14ac:dyDescent="0.25">
      <c r="B262" s="568"/>
    </row>
    <row r="263" spans="2:2" x14ac:dyDescent="0.25">
      <c r="B263" s="568"/>
    </row>
    <row r="264" spans="2:2" x14ac:dyDescent="0.25">
      <c r="B264" s="568"/>
    </row>
    <row r="265" spans="2:2" x14ac:dyDescent="0.25">
      <c r="B265" s="568"/>
    </row>
    <row r="266" spans="2:2" x14ac:dyDescent="0.25">
      <c r="B266" s="568"/>
    </row>
    <row r="267" spans="2:2" x14ac:dyDescent="0.25">
      <c r="B267" s="568"/>
    </row>
    <row r="268" spans="2:2" x14ac:dyDescent="0.25">
      <c r="B268" s="568"/>
    </row>
    <row r="269" spans="2:2" x14ac:dyDescent="0.25">
      <c r="B269" s="568"/>
    </row>
    <row r="270" spans="2:2" x14ac:dyDescent="0.25">
      <c r="B270" s="568"/>
    </row>
    <row r="271" spans="2:2" x14ac:dyDescent="0.25">
      <c r="B271" s="568"/>
    </row>
    <row r="272" spans="2:2" x14ac:dyDescent="0.25">
      <c r="B272" s="568"/>
    </row>
    <row r="273" spans="2:2" x14ac:dyDescent="0.25">
      <c r="B273" s="568"/>
    </row>
    <row r="274" spans="2:2" x14ac:dyDescent="0.25">
      <c r="B274" s="568"/>
    </row>
    <row r="275" spans="2:2" x14ac:dyDescent="0.25">
      <c r="B275" s="568"/>
    </row>
    <row r="276" spans="2:2" x14ac:dyDescent="0.25">
      <c r="B276" s="568"/>
    </row>
    <row r="277" spans="2:2" x14ac:dyDescent="0.25">
      <c r="B277" s="568"/>
    </row>
    <row r="278" spans="2:2" x14ac:dyDescent="0.25">
      <c r="B278" s="568"/>
    </row>
    <row r="279" spans="2:2" x14ac:dyDescent="0.25">
      <c r="B279" s="568"/>
    </row>
    <row r="280" spans="2:2" x14ac:dyDescent="0.25">
      <c r="B280" s="568"/>
    </row>
    <row r="281" spans="2:2" x14ac:dyDescent="0.25">
      <c r="B281" s="568"/>
    </row>
    <row r="282" spans="2:2" x14ac:dyDescent="0.25">
      <c r="B282" s="568"/>
    </row>
    <row r="283" spans="2:2" x14ac:dyDescent="0.25">
      <c r="B283" s="568"/>
    </row>
    <row r="284" spans="2:2" x14ac:dyDescent="0.25">
      <c r="B284" s="568"/>
    </row>
    <row r="285" spans="2:2" x14ac:dyDescent="0.25">
      <c r="B285" s="568"/>
    </row>
    <row r="286" spans="2:2" x14ac:dyDescent="0.25">
      <c r="B286" s="568"/>
    </row>
    <row r="287" spans="2:2" x14ac:dyDescent="0.25">
      <c r="B287" s="568"/>
    </row>
    <row r="288" spans="2:2" x14ac:dyDescent="0.25">
      <c r="B288" s="568"/>
    </row>
    <row r="289" spans="2:2" x14ac:dyDescent="0.25">
      <c r="B289" s="568"/>
    </row>
    <row r="290" spans="2:2" x14ac:dyDescent="0.25">
      <c r="B290" s="568"/>
    </row>
    <row r="291" spans="2:2" x14ac:dyDescent="0.25">
      <c r="B291" s="568"/>
    </row>
    <row r="292" spans="2:2" x14ac:dyDescent="0.25">
      <c r="B292" s="568"/>
    </row>
    <row r="293" spans="2:2" x14ac:dyDescent="0.25">
      <c r="B293" s="568"/>
    </row>
    <row r="294" spans="2:2" x14ac:dyDescent="0.25">
      <c r="B294" s="568"/>
    </row>
    <row r="295" spans="2:2" x14ac:dyDescent="0.25">
      <c r="B295" s="568"/>
    </row>
    <row r="296" spans="2:2" x14ac:dyDescent="0.25">
      <c r="B296" s="568"/>
    </row>
    <row r="297" spans="2:2" x14ac:dyDescent="0.25">
      <c r="B297" s="568"/>
    </row>
    <row r="298" spans="2:2" x14ac:dyDescent="0.25">
      <c r="B298" s="568"/>
    </row>
    <row r="299" spans="2:2" x14ac:dyDescent="0.25">
      <c r="B299" s="568"/>
    </row>
    <row r="300" spans="2:2" x14ac:dyDescent="0.25">
      <c r="B300" s="568"/>
    </row>
    <row r="301" spans="2:2" x14ac:dyDescent="0.25">
      <c r="B301" s="568"/>
    </row>
  </sheetData>
  <sheetProtection algorithmName="SHA-512" hashValue="W+j8W5vr0yL13nwJZcqKGNlQm1TIBQb2gzj36ZnbirOan+XvDafsMCMdo/+bE2O0gWUhvv2ZUprPTPex1JUT0Q==" saltValue="Kr7CFCgYVTQp0gAZB8SuRQ==" spinCount="100000" sheet="1" formatRows="0"/>
  <autoFilter ref="A2:N221"/>
  <pageMargins left="0.54" right="0.3" top="0.62" bottom="0.56999999999999995" header="0.31496062992125984" footer="0.31496062992125984"/>
  <pageSetup paperSize="9" scale="95" fitToHeight="0"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7030A0"/>
  </sheetPr>
  <dimension ref="A1:A14"/>
  <sheetViews>
    <sheetView workbookViewId="0">
      <selection activeCell="A3" sqref="A3"/>
    </sheetView>
  </sheetViews>
  <sheetFormatPr baseColWidth="10" defaultRowHeight="15" x14ac:dyDescent="0.25"/>
  <cols>
    <col min="1" max="16384" width="11.42578125" style="503"/>
  </cols>
  <sheetData>
    <row r="1" spans="1:1" x14ac:dyDescent="0.25">
      <c r="A1" s="503" t="str">
        <f>Kontingent!H8</f>
        <v>Schuljahr;Schulkennzahl;Schultyp;Schule;KO_ID;Kontingent;Von;Bis;Wert;SKZ von;Kontingent von</v>
      </c>
    </row>
    <row r="2" spans="1:1" x14ac:dyDescent="0.25">
      <c r="A2" s="503" t="str">
        <f>Kontingent!H9</f>
        <v>2023/24;0;0;0;19;DFö Klasse/Kurs;11.09.2023;05.07.2024;0;0;0</v>
      </c>
    </row>
    <row r="3" spans="1:1" x14ac:dyDescent="0.25">
      <c r="A3" s="503" t="str">
        <f>Kontingent!H10</f>
        <v>2023/24;0;0;0;8;MS-LL;11.09.2023;05.07.2024;0;0;0</v>
      </c>
    </row>
    <row r="4" spans="1:1" x14ac:dyDescent="0.25">
      <c r="A4" s="503" t="str">
        <f>Kontingent!H11</f>
        <v>2023/24;0;0;0;1;Basis für Konti;11.09.2023;05.07.2024;0;0;0</v>
      </c>
    </row>
    <row r="5" spans="1:1" x14ac:dyDescent="0.25">
      <c r="A5" s="503" t="str">
        <f>Kontingent!H12</f>
        <v>2023/24;0;0;0;10;GTS;11.09.2023;05.07.2024;0;0;0</v>
      </c>
    </row>
    <row r="6" spans="1:1" x14ac:dyDescent="0.25">
      <c r="A6" s="503" t="str">
        <f>Kontingent!H13</f>
        <v>2023/24;0;0;0;12;IT Kustos;11.09.2023;05.07.2024;0;0;0</v>
      </c>
    </row>
    <row r="7" spans="1:1" x14ac:dyDescent="0.25">
      <c r="A7" s="503" t="str">
        <f>Kontingent!H14</f>
        <v>2023/24;0;0;0;13;IT MDM pädag./fachlich;11.09.2023;05.07.2024;0;0;0</v>
      </c>
    </row>
    <row r="8" spans="1:1" x14ac:dyDescent="0.25">
      <c r="A8" s="503" t="str">
        <f>Kontingent!H15</f>
        <v>2023/24;0;0;0;14;IT MDM technisch;11.09.2023;05.07.2024;0;0;0</v>
      </c>
    </row>
    <row r="9" spans="1:1" x14ac:dyDescent="0.25">
      <c r="A9" s="503" t="str">
        <f>Kontingent!H16</f>
        <v>2023/24;0;0;0;11;Bibliothek;11.09.2023;05.07.2024;0;0;0</v>
      </c>
    </row>
    <row r="10" spans="1:1" x14ac:dyDescent="0.25">
      <c r="A10" s="503" t="str">
        <f>Kontingent!H17</f>
        <v>2023/24;0;0;0;15;Leitung;11.09.2023;05.07.2024;0;0;0</v>
      </c>
    </row>
    <row r="11" spans="1:1" x14ac:dyDescent="0.25">
      <c r="A11" s="503" t="str">
        <f>Kontingent!H18</f>
        <v>2023/24;0;0;0;18;r.k. Religion;11.09.2023;05.07.2024;0;0;0</v>
      </c>
    </row>
    <row r="12" spans="1:1" x14ac:dyDescent="0.25">
      <c r="A12" s="503" t="str">
        <f>Kontingent!H19</f>
        <v>2023/24;0;0;0;4;SprH und sp.LeFö;11.09.2023;05.07.2024;0;0;0</v>
      </c>
    </row>
    <row r="13" spans="1:1" x14ac:dyDescent="0.25">
      <c r="A13" s="503" t="str">
        <f>Kontingent!H20</f>
        <v>2023/24;0;0;0;3;SPOOL;11.09.2023;05.07.2024;0;0;0</v>
      </c>
    </row>
    <row r="14" spans="1:1" x14ac:dyDescent="0.25">
      <c r="A14" s="503" t="str">
        <f>Kontingent!H21</f>
        <v>2023/24;0;0;0;9;MS;11.09.2023;05.07.2024;0;0;0</v>
      </c>
    </row>
  </sheetData>
  <sheetProtection algorithmName="SHA-512" hashValue="RowJ4PBz5OTVaXWASzku73EfShXmANKUnxiMfqsgTIZQzxVwwN5NG3zhhfYjiqBh+xDpdWOEbfiwhvgGH5zw8g==" saltValue="pDK94LlOhSVufqtf6CFPgA==" spinCount="100000" sheet="1" formatRows="0"/>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O320"/>
  <sheetViews>
    <sheetView workbookViewId="0">
      <selection activeCell="A2" sqref="A2"/>
    </sheetView>
  </sheetViews>
  <sheetFormatPr baseColWidth="10" defaultRowHeight="15" x14ac:dyDescent="0.25"/>
  <cols>
    <col min="1" max="1" width="1.28515625" customWidth="1"/>
    <col min="2" max="2" width="6.42578125" customWidth="1"/>
    <col min="3" max="3" width="11.42578125" customWidth="1"/>
    <col min="4" max="5" width="2.85546875" customWidth="1"/>
    <col min="12" max="12" width="6.85546875" customWidth="1"/>
    <col min="13" max="13" width="9.42578125" customWidth="1"/>
  </cols>
  <sheetData>
    <row r="1" spans="1:15" ht="23.25" x14ac:dyDescent="0.35">
      <c r="A1" s="212" t="s">
        <v>237</v>
      </c>
      <c r="B1" t="s">
        <v>203</v>
      </c>
      <c r="E1" s="353"/>
    </row>
    <row r="2" spans="1:15" ht="26.25" x14ac:dyDescent="0.4">
      <c r="A2" s="21"/>
      <c r="B2" t="s">
        <v>202</v>
      </c>
      <c r="D2" s="354"/>
      <c r="H2" s="359"/>
      <c r="I2" s="359"/>
      <c r="J2" s="359"/>
      <c r="K2" s="359"/>
      <c r="L2" s="359"/>
      <c r="M2" s="377" t="s">
        <v>247</v>
      </c>
      <c r="N2" s="370" t="s">
        <v>235</v>
      </c>
      <c r="O2" s="362" t="s">
        <v>236</v>
      </c>
    </row>
    <row r="3" spans="1:15" x14ac:dyDescent="0.25">
      <c r="B3" t="s">
        <v>201</v>
      </c>
      <c r="D3" s="354"/>
      <c r="E3" s="353"/>
    </row>
    <row r="4" spans="1:15" ht="9.75" customHeight="1" x14ac:dyDescent="0.25">
      <c r="B4" s="359" t="s">
        <v>200</v>
      </c>
    </row>
    <row r="6" spans="1:15" ht="18.75" x14ac:dyDescent="0.3">
      <c r="A6" s="3"/>
      <c r="B6" t="s">
        <v>207</v>
      </c>
    </row>
    <row r="7" spans="1:15" x14ac:dyDescent="0.25">
      <c r="B7" t="s">
        <v>199</v>
      </c>
    </row>
    <row r="8" spans="1:15" x14ac:dyDescent="0.25">
      <c r="M8" s="358" t="s">
        <v>238</v>
      </c>
    </row>
    <row r="11" spans="1:15" ht="21" x14ac:dyDescent="0.35">
      <c r="A11" s="8"/>
      <c r="G11" s="372" t="s">
        <v>208</v>
      </c>
    </row>
    <row r="12" spans="1:15" ht="18.75" x14ac:dyDescent="0.3">
      <c r="A12" s="3"/>
      <c r="B12" t="s">
        <v>205</v>
      </c>
      <c r="G12" s="373" t="s">
        <v>209</v>
      </c>
    </row>
    <row r="13" spans="1:15" x14ac:dyDescent="0.25">
      <c r="C13" s="22" t="s">
        <v>227</v>
      </c>
    </row>
    <row r="15" spans="1:15" ht="18.75" x14ac:dyDescent="0.3">
      <c r="A15" s="3"/>
      <c r="C15" s="360" t="s">
        <v>198</v>
      </c>
    </row>
    <row r="16" spans="1:15" x14ac:dyDescent="0.25">
      <c r="A16" s="62"/>
      <c r="B16" t="s">
        <v>204</v>
      </c>
    </row>
    <row r="17" spans="1:9" x14ac:dyDescent="0.25">
      <c r="C17" t="s">
        <v>197</v>
      </c>
      <c r="I17" t="s">
        <v>196</v>
      </c>
    </row>
    <row r="18" spans="1:9" ht="15.75" x14ac:dyDescent="0.25">
      <c r="A18" s="52"/>
      <c r="B18" t="s">
        <v>210</v>
      </c>
    </row>
    <row r="19" spans="1:9" ht="15.75" x14ac:dyDescent="0.25">
      <c r="A19" s="52"/>
      <c r="B19" t="s">
        <v>195</v>
      </c>
    </row>
    <row r="20" spans="1:9" ht="21" x14ac:dyDescent="0.35">
      <c r="A20" s="8"/>
      <c r="B20" t="s">
        <v>211</v>
      </c>
    </row>
    <row r="21" spans="1:9" ht="23.25" x14ac:dyDescent="0.35">
      <c r="A21" s="210"/>
      <c r="B21" s="207"/>
    </row>
    <row r="22" spans="1:9" ht="21" x14ac:dyDescent="0.35">
      <c r="A22" s="8"/>
      <c r="B22" t="s">
        <v>194</v>
      </c>
      <c r="I22" t="s">
        <v>193</v>
      </c>
    </row>
    <row r="23" spans="1:9" ht="15.75" x14ac:dyDescent="0.25">
      <c r="A23" s="52"/>
      <c r="C23" t="s">
        <v>213</v>
      </c>
    </row>
    <row r="24" spans="1:9" ht="15.75" x14ac:dyDescent="0.25">
      <c r="A24" s="52"/>
      <c r="E24" s="344" t="s">
        <v>228</v>
      </c>
      <c r="F24" t="s">
        <v>232</v>
      </c>
    </row>
    <row r="25" spans="1:9" ht="15.75" x14ac:dyDescent="0.25">
      <c r="A25" s="52"/>
      <c r="F25" t="s">
        <v>230</v>
      </c>
    </row>
    <row r="26" spans="1:9" ht="15.75" x14ac:dyDescent="0.25">
      <c r="A26" s="52"/>
      <c r="F26" t="s">
        <v>229</v>
      </c>
    </row>
    <row r="27" spans="1:9" ht="15.75" x14ac:dyDescent="0.25">
      <c r="A27" s="52"/>
      <c r="F27" t="s">
        <v>231</v>
      </c>
    </row>
    <row r="28" spans="1:9" ht="15.75" x14ac:dyDescent="0.25">
      <c r="A28" s="52"/>
    </row>
    <row r="29" spans="1:9" ht="15.75" x14ac:dyDescent="0.25">
      <c r="A29" s="52"/>
      <c r="B29" t="s">
        <v>192</v>
      </c>
    </row>
    <row r="30" spans="1:9" ht="15.75" x14ac:dyDescent="0.25">
      <c r="A30" s="52"/>
    </row>
    <row r="31" spans="1:9" ht="15.75" x14ac:dyDescent="0.25">
      <c r="A31" s="52"/>
      <c r="B31" t="s">
        <v>191</v>
      </c>
    </row>
    <row r="32" spans="1:9" ht="6" customHeight="1" x14ac:dyDescent="0.25"/>
    <row r="33" spans="1:6" ht="17.25" x14ac:dyDescent="0.3">
      <c r="A33" s="64"/>
    </row>
    <row r="34" spans="1:6" ht="4.5" customHeight="1" x14ac:dyDescent="0.25"/>
    <row r="35" spans="1:6" x14ac:dyDescent="0.25">
      <c r="B35" t="s">
        <v>214</v>
      </c>
    </row>
    <row r="36" spans="1:6" ht="15.75" x14ac:dyDescent="0.25">
      <c r="A36" s="52"/>
      <c r="B36" t="s">
        <v>190</v>
      </c>
    </row>
    <row r="38" spans="1:6" ht="18.75" x14ac:dyDescent="0.3">
      <c r="A38" s="230"/>
      <c r="B38" t="s">
        <v>215</v>
      </c>
    </row>
    <row r="39" spans="1:6" ht="15.75" x14ac:dyDescent="0.25">
      <c r="A39" s="52"/>
    </row>
    <row r="40" spans="1:6" ht="15.75" x14ac:dyDescent="0.25">
      <c r="A40" s="52"/>
      <c r="B40" t="s">
        <v>189</v>
      </c>
      <c r="D40" s="354"/>
    </row>
    <row r="41" spans="1:6" ht="18" customHeight="1" x14ac:dyDescent="0.3">
      <c r="A41" s="3"/>
      <c r="F41" t="s">
        <v>216</v>
      </c>
    </row>
    <row r="42" spans="1:6" ht="18.75" x14ac:dyDescent="0.3">
      <c r="A42" s="3"/>
    </row>
    <row r="43" spans="1:6" x14ac:dyDescent="0.25">
      <c r="A43" s="62"/>
    </row>
    <row r="44" spans="1:6" ht="18.75" x14ac:dyDescent="0.3">
      <c r="A44" s="3"/>
      <c r="B44" t="s">
        <v>217</v>
      </c>
    </row>
    <row r="45" spans="1:6" x14ac:dyDescent="0.25">
      <c r="C45" t="s">
        <v>188</v>
      </c>
    </row>
    <row r="46" spans="1:6" ht="18.75" x14ac:dyDescent="0.3">
      <c r="A46" s="207"/>
      <c r="B46" s="207"/>
    </row>
    <row r="47" spans="1:6" ht="5.25" customHeight="1" x14ac:dyDescent="0.25">
      <c r="A47" s="92"/>
    </row>
    <row r="48" spans="1:6" ht="15.75" x14ac:dyDescent="0.25">
      <c r="A48" s="213"/>
    </row>
    <row r="49" spans="1:3" ht="15.75" x14ac:dyDescent="0.25">
      <c r="A49" s="213"/>
    </row>
    <row r="50" spans="1:3" ht="15.75" x14ac:dyDescent="0.25">
      <c r="A50" s="213"/>
      <c r="B50" t="s">
        <v>218</v>
      </c>
    </row>
    <row r="52" spans="1:3" ht="15.75" x14ac:dyDescent="0.25">
      <c r="A52" s="213"/>
      <c r="B52" t="s">
        <v>187</v>
      </c>
    </row>
    <row r="53" spans="1:3" ht="12.75" customHeight="1" x14ac:dyDescent="0.25">
      <c r="A53" s="92"/>
    </row>
    <row r="54" spans="1:3" ht="5.25" customHeight="1" x14ac:dyDescent="0.25"/>
    <row r="55" spans="1:3" x14ac:dyDescent="0.25">
      <c r="A55" s="92"/>
      <c r="B55" t="s">
        <v>219</v>
      </c>
    </row>
    <row r="56" spans="1:3" ht="6.75" customHeight="1" x14ac:dyDescent="0.25">
      <c r="A56" s="92"/>
    </row>
    <row r="57" spans="1:3" x14ac:dyDescent="0.25">
      <c r="A57" s="92"/>
      <c r="B57" t="s">
        <v>186</v>
      </c>
    </row>
    <row r="58" spans="1:3" x14ac:dyDescent="0.25">
      <c r="A58" s="92"/>
      <c r="B58" t="s">
        <v>185</v>
      </c>
    </row>
    <row r="59" spans="1:3" x14ac:dyDescent="0.25">
      <c r="A59" s="92"/>
      <c r="C59" t="s">
        <v>184</v>
      </c>
    </row>
    <row r="61" spans="1:3" x14ac:dyDescent="0.25">
      <c r="A61" s="92"/>
      <c r="B61" t="s">
        <v>183</v>
      </c>
    </row>
    <row r="62" spans="1:3" ht="15.75" x14ac:dyDescent="0.25">
      <c r="A62" s="213"/>
      <c r="B62" s="248" t="s">
        <v>182</v>
      </c>
    </row>
    <row r="63" spans="1:3" ht="10.5" customHeight="1" x14ac:dyDescent="0.25"/>
    <row r="64" spans="1:3" ht="18.75" x14ac:dyDescent="0.3">
      <c r="A64" s="207"/>
      <c r="B64" s="207"/>
    </row>
    <row r="65" spans="1:8" ht="6" customHeight="1" x14ac:dyDescent="0.25">
      <c r="A65" s="92"/>
    </row>
    <row r="66" spans="1:8" ht="13.5" customHeight="1" x14ac:dyDescent="0.25">
      <c r="D66" s="354"/>
    </row>
    <row r="67" spans="1:8" ht="13.5" customHeight="1" x14ac:dyDescent="0.25"/>
    <row r="68" spans="1:8" ht="45" customHeight="1" x14ac:dyDescent="0.25"/>
    <row r="69" spans="1:8" ht="18.75" x14ac:dyDescent="0.3">
      <c r="A69" s="230"/>
      <c r="B69" s="368" t="s">
        <v>234</v>
      </c>
      <c r="D69" s="354"/>
    </row>
    <row r="70" spans="1:8" ht="8.25" customHeight="1" x14ac:dyDescent="0.25">
      <c r="A70" s="92"/>
    </row>
    <row r="71" spans="1:8" x14ac:dyDescent="0.25">
      <c r="D71" s="354"/>
      <c r="E71" s="353"/>
      <c r="H71" s="369" t="s">
        <v>233</v>
      </c>
    </row>
    <row r="72" spans="1:8" ht="15.75" x14ac:dyDescent="0.25">
      <c r="A72" s="52"/>
    </row>
    <row r="73" spans="1:8" ht="15.75" x14ac:dyDescent="0.25">
      <c r="A73" s="52"/>
    </row>
    <row r="74" spans="1:8" ht="15.75" x14ac:dyDescent="0.25">
      <c r="A74" s="52"/>
    </row>
    <row r="76" spans="1:8" ht="31.5" customHeight="1" x14ac:dyDescent="0.25">
      <c r="A76" s="92"/>
    </row>
    <row r="77" spans="1:8" x14ac:dyDescent="0.25">
      <c r="A77" s="352"/>
      <c r="B77" t="s">
        <v>181</v>
      </c>
    </row>
    <row r="80" spans="1:8" ht="15.75" x14ac:dyDescent="0.25">
      <c r="A80" s="52"/>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100" spans="1:11" ht="24.75" x14ac:dyDescent="0.4">
      <c r="A100" s="357"/>
      <c r="B100" s="339"/>
      <c r="C100" s="339"/>
      <c r="D100" s="339"/>
      <c r="E100" s="339"/>
      <c r="F100" s="339"/>
      <c r="G100" s="339"/>
      <c r="H100" s="339"/>
      <c r="I100" s="339"/>
      <c r="J100" s="339"/>
      <c r="K100" s="339"/>
    </row>
    <row r="101" spans="1:11" ht="31.5" x14ac:dyDescent="0.5">
      <c r="A101" s="98" t="s">
        <v>58</v>
      </c>
      <c r="D101" s="354"/>
      <c r="E101" s="92"/>
    </row>
    <row r="102" spans="1:11" ht="12" customHeight="1" x14ac:dyDescent="0.25"/>
    <row r="103" spans="1:11" x14ac:dyDescent="0.25">
      <c r="B103" t="s">
        <v>180</v>
      </c>
    </row>
    <row r="104" spans="1:11" x14ac:dyDescent="0.25">
      <c r="C104" s="366" t="s">
        <v>179</v>
      </c>
    </row>
    <row r="105" spans="1:11" ht="20.25" customHeight="1" x14ac:dyDescent="0.25">
      <c r="C105" s="367" t="s">
        <v>178</v>
      </c>
    </row>
    <row r="106" spans="1:11" ht="18" customHeight="1" x14ac:dyDescent="0.25">
      <c r="B106" t="s">
        <v>177</v>
      </c>
    </row>
    <row r="107" spans="1:11" ht="16.5" customHeight="1" x14ac:dyDescent="0.25"/>
    <row r="109" spans="1:11" ht="7.5" customHeight="1" x14ac:dyDescent="0.25"/>
    <row r="110" spans="1:11" ht="20.25" customHeight="1" x14ac:dyDescent="0.25"/>
    <row r="114" spans="2:13" ht="18" customHeight="1" x14ac:dyDescent="0.25"/>
    <row r="119" spans="2:13" ht="6.75" customHeight="1" x14ac:dyDescent="0.25"/>
    <row r="120" spans="2:13" ht="6.75" customHeight="1" x14ac:dyDescent="0.25"/>
    <row r="121" spans="2:13" ht="6.75" customHeight="1" x14ac:dyDescent="0.25"/>
    <row r="122" spans="2:13" ht="6.75" customHeight="1" x14ac:dyDescent="0.25"/>
    <row r="123" spans="2:13" ht="14.25" customHeight="1" x14ac:dyDescent="0.25"/>
    <row r="126" spans="2:13" ht="36.75" customHeight="1" x14ac:dyDescent="0.25">
      <c r="B126" t="s">
        <v>176</v>
      </c>
    </row>
    <row r="127" spans="2:13" ht="23.25" customHeight="1" x14ac:dyDescent="0.25">
      <c r="B127" t="s">
        <v>175</v>
      </c>
      <c r="C127" s="4"/>
      <c r="M127" s="358" t="s">
        <v>174</v>
      </c>
    </row>
    <row r="128" spans="2:13" ht="13.5" customHeight="1" x14ac:dyDescent="0.25">
      <c r="D128" s="354"/>
    </row>
    <row r="129" spans="2:12" ht="27.75" customHeight="1" x14ac:dyDescent="0.25"/>
    <row r="130" spans="2:12" hidden="1" x14ac:dyDescent="0.25"/>
    <row r="131" spans="2:12" hidden="1" x14ac:dyDescent="0.25"/>
    <row r="132" spans="2:12" hidden="1" x14ac:dyDescent="0.25"/>
    <row r="133" spans="2:12" hidden="1" x14ac:dyDescent="0.25"/>
    <row r="134" spans="2:12" hidden="1" x14ac:dyDescent="0.25"/>
    <row r="135" spans="2:12" hidden="1" x14ac:dyDescent="0.25"/>
    <row r="136" spans="2:12" hidden="1" x14ac:dyDescent="0.25"/>
    <row r="137" spans="2:12" ht="11.25" customHeight="1" x14ac:dyDescent="0.25"/>
    <row r="138" spans="2:12" ht="21" customHeight="1" x14ac:dyDescent="0.25">
      <c r="B138" t="s">
        <v>173</v>
      </c>
    </row>
    <row r="139" spans="2:12" x14ac:dyDescent="0.25">
      <c r="L139" s="248" t="s">
        <v>172</v>
      </c>
    </row>
    <row r="140" spans="2:12" x14ac:dyDescent="0.25">
      <c r="L140" s="248" t="s">
        <v>171</v>
      </c>
    </row>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11" hidden="1" x14ac:dyDescent="0.25"/>
    <row r="194" spans="1:11" hidden="1" x14ac:dyDescent="0.25"/>
    <row r="195" spans="1:11" hidden="1" x14ac:dyDescent="0.25"/>
    <row r="196" spans="1:11" hidden="1" x14ac:dyDescent="0.25"/>
    <row r="197" spans="1:11" hidden="1" x14ac:dyDescent="0.25"/>
    <row r="198" spans="1:11" hidden="1" x14ac:dyDescent="0.25"/>
    <row r="200" spans="1:11" ht="24.75" x14ac:dyDescent="0.4">
      <c r="A200" s="357"/>
      <c r="B200" s="339"/>
      <c r="C200" s="339"/>
      <c r="D200" s="339"/>
      <c r="E200" s="339"/>
      <c r="F200" s="339"/>
      <c r="G200" s="339"/>
      <c r="H200" s="339"/>
      <c r="I200" s="339"/>
      <c r="J200" s="339"/>
      <c r="K200" s="339"/>
    </row>
    <row r="201" spans="1:11" ht="26.25" x14ac:dyDescent="0.4">
      <c r="A201" s="262" t="s">
        <v>124</v>
      </c>
    </row>
    <row r="202" spans="1:11" ht="6" customHeight="1" x14ac:dyDescent="0.25"/>
    <row r="203" spans="1:11" ht="33" customHeight="1" x14ac:dyDescent="0.25">
      <c r="D203" s="354"/>
    </row>
    <row r="204" spans="1:11" ht="20.25" customHeight="1" x14ac:dyDescent="0.25"/>
    <row r="205" spans="1:11" ht="21.75" customHeight="1" x14ac:dyDescent="0.25"/>
    <row r="206" spans="1:11" ht="31.5" customHeight="1" x14ac:dyDescent="0.25"/>
    <row r="207" spans="1:11" ht="4.5" customHeight="1" x14ac:dyDescent="0.25"/>
    <row r="208" spans="1:11" ht="17.25" x14ac:dyDescent="0.3">
      <c r="A208" s="64"/>
      <c r="B208" t="s">
        <v>170</v>
      </c>
    </row>
    <row r="209" spans="1:4" ht="17.25" x14ac:dyDescent="0.3">
      <c r="A209" s="64"/>
      <c r="C209" t="s">
        <v>169</v>
      </c>
    </row>
    <row r="210" spans="1:4" ht="17.25" x14ac:dyDescent="0.3">
      <c r="A210" s="64"/>
    </row>
    <row r="211" spans="1:4" ht="17.25" x14ac:dyDescent="0.3">
      <c r="A211" s="64"/>
    </row>
    <row r="212" spans="1:4" ht="17.25" x14ac:dyDescent="0.3">
      <c r="A212" s="64"/>
    </row>
    <row r="213" spans="1:4" ht="17.25" x14ac:dyDescent="0.3">
      <c r="A213" s="64"/>
    </row>
    <row r="214" spans="1:4" ht="17.25" x14ac:dyDescent="0.3">
      <c r="A214" s="64"/>
    </row>
    <row r="215" spans="1:4" ht="17.25" x14ac:dyDescent="0.3">
      <c r="A215" s="64"/>
    </row>
    <row r="216" spans="1:4" ht="17.25" x14ac:dyDescent="0.3">
      <c r="A216" s="64"/>
    </row>
    <row r="217" spans="1:4" ht="17.25" x14ac:dyDescent="0.3">
      <c r="A217" s="64"/>
    </row>
    <row r="218" spans="1:4" ht="17.25" x14ac:dyDescent="0.3">
      <c r="A218" s="64"/>
    </row>
    <row r="219" spans="1:4" ht="17.25" x14ac:dyDescent="0.3">
      <c r="A219" s="64"/>
    </row>
    <row r="220" spans="1:4" ht="17.25" x14ac:dyDescent="0.3">
      <c r="A220" s="64"/>
    </row>
    <row r="221" spans="1:4" ht="17.25" x14ac:dyDescent="0.3">
      <c r="A221" s="64"/>
    </row>
    <row r="222" spans="1:4" ht="17.25" x14ac:dyDescent="0.3">
      <c r="A222" s="64"/>
    </row>
    <row r="223" spans="1:4" ht="17.25" x14ac:dyDescent="0.3">
      <c r="A223" s="64"/>
      <c r="B223" t="s">
        <v>241</v>
      </c>
      <c r="D223" s="354"/>
    </row>
    <row r="224" spans="1:4" ht="17.25" customHeight="1" x14ac:dyDescent="0.25">
      <c r="C224" t="s">
        <v>240</v>
      </c>
    </row>
    <row r="225" spans="2:2" ht="18" customHeight="1" x14ac:dyDescent="0.25">
      <c r="B225" t="s">
        <v>168</v>
      </c>
    </row>
    <row r="231" spans="2:2" hidden="1" x14ac:dyDescent="0.25"/>
    <row r="232" spans="2:2" hidden="1" x14ac:dyDescent="0.25"/>
    <row r="233" spans="2:2" hidden="1" x14ac:dyDescent="0.25"/>
    <row r="234" spans="2:2" hidden="1" x14ac:dyDescent="0.25"/>
    <row r="235" spans="2:2" hidden="1" x14ac:dyDescent="0.25"/>
    <row r="236" spans="2:2" hidden="1" x14ac:dyDescent="0.25"/>
    <row r="237" spans="2:2" hidden="1" x14ac:dyDescent="0.25"/>
    <row r="238" spans="2:2" hidden="1" x14ac:dyDescent="0.25"/>
    <row r="239" spans="2:2" hidden="1" x14ac:dyDescent="0.25"/>
    <row r="240" spans="2:2"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1" hidden="1" x14ac:dyDescent="0.25"/>
    <row r="290" spans="1:11" hidden="1" x14ac:dyDescent="0.25"/>
    <row r="291" spans="1:11" hidden="1" x14ac:dyDescent="0.25"/>
    <row r="292" spans="1:11" hidden="1" x14ac:dyDescent="0.25"/>
    <row r="293" spans="1:11" hidden="1" x14ac:dyDescent="0.25"/>
    <row r="294" spans="1:11" hidden="1" x14ac:dyDescent="0.25"/>
    <row r="295" spans="1:11" hidden="1" x14ac:dyDescent="0.25"/>
    <row r="296" spans="1:11" hidden="1" x14ac:dyDescent="0.25"/>
    <row r="297" spans="1:11" hidden="1" x14ac:dyDescent="0.25"/>
    <row r="298" spans="1:11" hidden="1" x14ac:dyDescent="0.25"/>
    <row r="299" spans="1:11" ht="59.25" customHeight="1" x14ac:dyDescent="0.25"/>
    <row r="300" spans="1:11" ht="24.75" x14ac:dyDescent="0.4">
      <c r="A300" s="357"/>
      <c r="B300" s="339"/>
      <c r="C300" s="339"/>
      <c r="D300" s="339"/>
      <c r="E300" s="339"/>
      <c r="F300" s="339"/>
      <c r="G300" s="339"/>
      <c r="H300" s="339"/>
      <c r="I300" s="339"/>
      <c r="J300" s="339"/>
      <c r="K300" s="339"/>
    </row>
    <row r="301" spans="1:11" ht="26.25" x14ac:dyDescent="0.4">
      <c r="B301" s="356" t="s">
        <v>161</v>
      </c>
      <c r="F301" s="355" t="s">
        <v>220</v>
      </c>
    </row>
    <row r="303" spans="1:11" x14ac:dyDescent="0.25">
      <c r="B303" t="s">
        <v>221</v>
      </c>
    </row>
    <row r="305" spans="2:6" x14ac:dyDescent="0.25">
      <c r="B305" t="s">
        <v>222</v>
      </c>
    </row>
    <row r="306" spans="2:6" x14ac:dyDescent="0.25">
      <c r="C306" t="s">
        <v>223</v>
      </c>
    </row>
    <row r="309" spans="2:6" x14ac:dyDescent="0.25">
      <c r="B309" t="s">
        <v>89</v>
      </c>
      <c r="D309" t="s">
        <v>224</v>
      </c>
    </row>
    <row r="310" spans="2:6" x14ac:dyDescent="0.25">
      <c r="F310" s="245" t="s">
        <v>167</v>
      </c>
    </row>
    <row r="312" spans="2:6" x14ac:dyDescent="0.25">
      <c r="B312" t="s">
        <v>166</v>
      </c>
      <c r="E312" t="s">
        <v>225</v>
      </c>
    </row>
    <row r="315" spans="2:6" x14ac:dyDescent="0.25">
      <c r="B315" t="s">
        <v>165</v>
      </c>
    </row>
    <row r="316" spans="2:6" x14ac:dyDescent="0.25">
      <c r="C316" t="s">
        <v>226</v>
      </c>
    </row>
    <row r="317" spans="2:6" ht="8.25" customHeight="1" x14ac:dyDescent="0.25"/>
    <row r="318" spans="2:6" x14ac:dyDescent="0.25">
      <c r="C318" t="s">
        <v>164</v>
      </c>
      <c r="E318" s="353"/>
    </row>
    <row r="319" spans="2:6" x14ac:dyDescent="0.25">
      <c r="C319" s="245" t="s">
        <v>163</v>
      </c>
      <c r="E319" s="353"/>
    </row>
    <row r="320" spans="2:6" x14ac:dyDescent="0.25">
      <c r="C320" s="245" t="s">
        <v>162</v>
      </c>
      <c r="E320" s="353"/>
    </row>
  </sheetData>
  <sheetProtection algorithmName="SHA-512" hashValue="pVckCaQ1ifoVjxA7D2V1QSfKZDnVKeg6u4PJ2SCY18Lsx+CBxD+18f1TW0MRIyWhhWnKvf2u+lIU063/43mgqA==" saltValue="4N62wIkpzdD5+yMn8yGYPA==" spinCount="100000" sheet="1" formatRows="0"/>
  <pageMargins left="0.33" right="0.13" top="0.56999999999999995" bottom="0.51"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325"/>
  <sheetViews>
    <sheetView tabSelected="1" zoomScaleNormal="100" workbookViewId="0"/>
  </sheetViews>
  <sheetFormatPr baseColWidth="10" defaultColWidth="11.42578125" defaultRowHeight="15" x14ac:dyDescent="0.25"/>
  <cols>
    <col min="1" max="1" width="4.28515625" style="6" customWidth="1"/>
    <col min="2" max="2" width="10.140625" style="6" customWidth="1"/>
    <col min="3" max="3" width="5.42578125" style="6" customWidth="1"/>
    <col min="4" max="4" width="5.85546875" style="6" customWidth="1"/>
    <col min="5" max="5" width="8.5703125" style="6" customWidth="1"/>
    <col min="6" max="6" width="7.85546875" style="7" customWidth="1"/>
    <col min="7" max="7" width="8.28515625" style="6" customWidth="1"/>
    <col min="8" max="8" width="5.7109375" style="6" customWidth="1"/>
    <col min="9" max="9" width="4.85546875" style="6" customWidth="1"/>
    <col min="10" max="10" width="6.7109375" style="6" customWidth="1"/>
    <col min="11" max="11" width="11" style="6" customWidth="1"/>
    <col min="12" max="12" width="9.28515625" style="6" bestFit="1" customWidth="1"/>
    <col min="13" max="13" width="13.85546875" style="6" customWidth="1"/>
    <col min="14" max="14" width="13.140625" style="6" customWidth="1"/>
    <col min="15" max="15" width="8.42578125" style="6" customWidth="1"/>
    <col min="16" max="16" width="7.5703125" style="6" customWidth="1"/>
    <col min="17" max="16384" width="11.42578125" style="6"/>
  </cols>
  <sheetData>
    <row r="1" spans="1:19" x14ac:dyDescent="0.25">
      <c r="A1" s="25"/>
      <c r="E1" s="6">
        <v>0</v>
      </c>
      <c r="F1" s="39">
        <v>0</v>
      </c>
      <c r="H1" s="6">
        <v>0</v>
      </c>
      <c r="I1" s="41" t="s">
        <v>7</v>
      </c>
      <c r="J1" s="6">
        <v>0</v>
      </c>
      <c r="K1" s="49" t="s">
        <v>29</v>
      </c>
      <c r="L1" s="42"/>
      <c r="S1" s="94" t="s">
        <v>56</v>
      </c>
    </row>
    <row r="2" spans="1:19" x14ac:dyDescent="0.25">
      <c r="A2" s="25">
        <v>0</v>
      </c>
      <c r="B2" s="6" t="s">
        <v>23</v>
      </c>
      <c r="C2" s="89">
        <v>2.5499999999999998</v>
      </c>
      <c r="E2" s="6">
        <v>10</v>
      </c>
      <c r="F2" s="39">
        <f>E2*$C2</f>
        <v>25.5</v>
      </c>
      <c r="H2" s="6">
        <v>1</v>
      </c>
      <c r="I2" s="42">
        <v>4</v>
      </c>
      <c r="J2" s="6">
        <v>4</v>
      </c>
      <c r="S2" s="361" t="s">
        <v>206</v>
      </c>
    </row>
    <row r="3" spans="1:19" x14ac:dyDescent="0.25">
      <c r="A3" s="25">
        <v>31</v>
      </c>
      <c r="B3" s="6" t="s">
        <v>24</v>
      </c>
      <c r="C3" s="89">
        <v>1.95</v>
      </c>
      <c r="D3" s="6">
        <f t="shared" ref="D3:D4" si="0">C2-C3</f>
        <v>0.59999999999999987</v>
      </c>
      <c r="E3" s="6">
        <v>11</v>
      </c>
      <c r="F3" s="39">
        <f>F2+C$2</f>
        <v>28.05</v>
      </c>
      <c r="H3" s="6">
        <v>2</v>
      </c>
      <c r="I3" s="42">
        <v>3</v>
      </c>
      <c r="J3" s="6">
        <f>J2+I3</f>
        <v>7</v>
      </c>
    </row>
    <row r="4" spans="1:19" x14ac:dyDescent="0.25">
      <c r="A4" s="25">
        <v>101</v>
      </c>
      <c r="B4" s="6" t="s">
        <v>25</v>
      </c>
      <c r="C4" s="90">
        <v>2</v>
      </c>
      <c r="D4" s="6">
        <f t="shared" si="0"/>
        <v>-5.0000000000000044E-2</v>
      </c>
      <c r="E4" s="6">
        <v>12</v>
      </c>
      <c r="F4" s="39">
        <f t="shared" ref="F4:F22" si="1">F3+C$2</f>
        <v>30.6</v>
      </c>
      <c r="H4" s="6">
        <v>3</v>
      </c>
      <c r="I4" s="42">
        <v>2.5</v>
      </c>
      <c r="J4" s="6">
        <f t="shared" ref="J4:J31" si="2">J3+I4</f>
        <v>9.5</v>
      </c>
    </row>
    <row r="5" spans="1:19" x14ac:dyDescent="0.25">
      <c r="E5" s="6">
        <v>13</v>
      </c>
      <c r="F5" s="39">
        <f t="shared" si="1"/>
        <v>33.15</v>
      </c>
      <c r="H5" s="6">
        <v>4</v>
      </c>
      <c r="I5" s="42">
        <v>2</v>
      </c>
      <c r="J5" s="6">
        <f t="shared" si="2"/>
        <v>11.5</v>
      </c>
      <c r="L5" s="183" t="s">
        <v>90</v>
      </c>
      <c r="M5" s="182" t="s">
        <v>13</v>
      </c>
      <c r="N5" s="181" t="s">
        <v>12</v>
      </c>
      <c r="O5" s="181"/>
      <c r="P5" s="182" t="s">
        <v>100</v>
      </c>
    </row>
    <row r="6" spans="1:19" x14ac:dyDescent="0.25">
      <c r="E6" s="6">
        <v>14</v>
      </c>
      <c r="F6" s="39">
        <f t="shared" si="1"/>
        <v>35.699999999999996</v>
      </c>
      <c r="H6" s="6">
        <v>5</v>
      </c>
      <c r="I6" s="43">
        <v>2</v>
      </c>
      <c r="J6" s="6">
        <f t="shared" si="2"/>
        <v>13.5</v>
      </c>
      <c r="L6" s="184"/>
      <c r="M6" s="6">
        <v>0</v>
      </c>
      <c r="N6" s="6" t="s">
        <v>31</v>
      </c>
      <c r="P6" s="6" t="s">
        <v>101</v>
      </c>
    </row>
    <row r="7" spans="1:19" x14ac:dyDescent="0.25">
      <c r="E7" s="6">
        <v>15</v>
      </c>
      <c r="F7" s="39">
        <f t="shared" si="1"/>
        <v>38.249999999999993</v>
      </c>
      <c r="H7" s="6">
        <v>6</v>
      </c>
      <c r="I7" s="43">
        <v>2</v>
      </c>
      <c r="J7" s="6">
        <f t="shared" si="2"/>
        <v>15.5</v>
      </c>
      <c r="L7" s="184"/>
      <c r="M7" s="48">
        <v>801014</v>
      </c>
      <c r="N7" s="6" t="s">
        <v>32</v>
      </c>
      <c r="P7" s="6" t="s">
        <v>101</v>
      </c>
    </row>
    <row r="8" spans="1:19" x14ac:dyDescent="0.25">
      <c r="E8" s="6">
        <v>16</v>
      </c>
      <c r="F8" s="39">
        <f t="shared" si="1"/>
        <v>40.79999999999999</v>
      </c>
      <c r="H8" s="6">
        <v>7</v>
      </c>
      <c r="I8" s="43">
        <v>2</v>
      </c>
      <c r="J8" s="6">
        <f t="shared" si="2"/>
        <v>17.5</v>
      </c>
      <c r="L8" s="184"/>
      <c r="M8" s="48">
        <v>801024</v>
      </c>
      <c r="N8" s="6" t="s">
        <v>33</v>
      </c>
      <c r="P8" s="6" t="s">
        <v>101</v>
      </c>
    </row>
    <row r="9" spans="1:19" x14ac:dyDescent="0.25">
      <c r="E9" s="6">
        <v>17</v>
      </c>
      <c r="F9" s="39">
        <f t="shared" si="1"/>
        <v>43.349999999999987</v>
      </c>
      <c r="H9" s="6">
        <v>8</v>
      </c>
      <c r="I9" s="43">
        <v>2</v>
      </c>
      <c r="J9" s="6">
        <f t="shared" si="2"/>
        <v>19.5</v>
      </c>
      <c r="L9" s="184"/>
      <c r="M9" s="48">
        <v>801044</v>
      </c>
      <c r="N9" s="6" t="s">
        <v>34</v>
      </c>
      <c r="P9" s="6" t="s">
        <v>101</v>
      </c>
    </row>
    <row r="10" spans="1:19" x14ac:dyDescent="0.25">
      <c r="E10" s="6">
        <v>18</v>
      </c>
      <c r="F10" s="39">
        <f t="shared" si="1"/>
        <v>45.899999999999984</v>
      </c>
      <c r="H10" s="6">
        <v>9</v>
      </c>
      <c r="I10" s="43">
        <v>2</v>
      </c>
      <c r="J10" s="6">
        <f t="shared" si="2"/>
        <v>21.5</v>
      </c>
      <c r="L10" s="184"/>
      <c r="M10" s="48">
        <v>802014</v>
      </c>
      <c r="N10" s="6" t="s">
        <v>35</v>
      </c>
      <c r="P10" s="6" t="s">
        <v>101</v>
      </c>
    </row>
    <row r="11" spans="1:19" x14ac:dyDescent="0.25">
      <c r="E11" s="6">
        <v>19</v>
      </c>
      <c r="F11" s="39">
        <f t="shared" si="1"/>
        <v>48.449999999999982</v>
      </c>
      <c r="H11" s="6">
        <v>10</v>
      </c>
      <c r="I11" s="43">
        <v>2</v>
      </c>
      <c r="J11" s="6">
        <f t="shared" si="2"/>
        <v>23.5</v>
      </c>
      <c r="L11" s="184"/>
      <c r="M11" s="48">
        <v>802024</v>
      </c>
      <c r="N11" s="6" t="s">
        <v>36</v>
      </c>
      <c r="P11" s="6" t="s">
        <v>101</v>
      </c>
    </row>
    <row r="12" spans="1:19" x14ac:dyDescent="0.25">
      <c r="E12" s="6">
        <v>20</v>
      </c>
      <c r="F12" s="39">
        <f t="shared" si="1"/>
        <v>50.999999999999979</v>
      </c>
      <c r="H12" s="6">
        <v>11</v>
      </c>
      <c r="I12" s="43">
        <v>2</v>
      </c>
      <c r="J12" s="6">
        <f t="shared" si="2"/>
        <v>25.5</v>
      </c>
      <c r="L12" s="184"/>
      <c r="M12" s="48">
        <v>802034</v>
      </c>
      <c r="N12" s="6" t="s">
        <v>37</v>
      </c>
      <c r="P12" s="6" t="s">
        <v>101</v>
      </c>
    </row>
    <row r="13" spans="1:19" x14ac:dyDescent="0.25">
      <c r="E13" s="6">
        <v>21</v>
      </c>
      <c r="F13" s="39">
        <f t="shared" si="1"/>
        <v>53.549999999999976</v>
      </c>
      <c r="H13" s="6">
        <v>12</v>
      </c>
      <c r="I13" s="43">
        <v>2</v>
      </c>
      <c r="J13" s="6">
        <f t="shared" si="2"/>
        <v>27.5</v>
      </c>
      <c r="L13" s="184" t="s">
        <v>90</v>
      </c>
      <c r="M13" s="185">
        <v>802122</v>
      </c>
      <c r="N13" s="6" t="s">
        <v>38</v>
      </c>
      <c r="P13" s="6" t="s">
        <v>101</v>
      </c>
    </row>
    <row r="14" spans="1:19" x14ac:dyDescent="0.25">
      <c r="E14" s="6">
        <v>22</v>
      </c>
      <c r="F14" s="39">
        <f t="shared" si="1"/>
        <v>56.099999999999973</v>
      </c>
      <c r="H14" s="6">
        <v>13</v>
      </c>
      <c r="I14" s="43">
        <v>2</v>
      </c>
      <c r="J14" s="6">
        <f t="shared" si="2"/>
        <v>29.5</v>
      </c>
      <c r="L14" s="184" t="s">
        <v>90</v>
      </c>
      <c r="M14" s="185">
        <v>802212</v>
      </c>
      <c r="N14" s="6" t="s">
        <v>92</v>
      </c>
      <c r="P14" s="6" t="s">
        <v>101</v>
      </c>
      <c r="Q14" s="204" t="s">
        <v>57</v>
      </c>
    </row>
    <row r="15" spans="1:19" x14ac:dyDescent="0.25">
      <c r="E15" s="6">
        <v>23</v>
      </c>
      <c r="F15" s="39">
        <f t="shared" si="1"/>
        <v>58.64999999999997</v>
      </c>
      <c r="H15" s="6">
        <v>14</v>
      </c>
      <c r="I15" s="43">
        <v>2</v>
      </c>
      <c r="J15" s="6">
        <f t="shared" si="2"/>
        <v>31.5</v>
      </c>
      <c r="L15" s="184"/>
      <c r="M15" s="48">
        <v>803014</v>
      </c>
      <c r="N15" s="6" t="s">
        <v>39</v>
      </c>
      <c r="P15" s="6" t="s">
        <v>101</v>
      </c>
    </row>
    <row r="16" spans="1:19" x14ac:dyDescent="0.25">
      <c r="E16" s="6">
        <v>24</v>
      </c>
      <c r="F16" s="39">
        <f t="shared" si="1"/>
        <v>61.199999999999967</v>
      </c>
      <c r="H16" s="6">
        <v>15</v>
      </c>
      <c r="I16" s="43">
        <v>2</v>
      </c>
      <c r="J16" s="6">
        <f t="shared" si="2"/>
        <v>33.5</v>
      </c>
      <c r="L16" s="184"/>
      <c r="M16" s="48">
        <v>804024</v>
      </c>
      <c r="N16" s="6" t="s">
        <v>40</v>
      </c>
      <c r="P16" s="6" t="s">
        <v>101</v>
      </c>
    </row>
    <row r="17" spans="5:16" x14ac:dyDescent="0.25">
      <c r="E17" s="6">
        <v>25</v>
      </c>
      <c r="F17" s="39">
        <f t="shared" si="1"/>
        <v>63.749999999999964</v>
      </c>
      <c r="H17" s="6">
        <v>16</v>
      </c>
      <c r="I17" s="43">
        <v>2</v>
      </c>
      <c r="J17" s="6">
        <f t="shared" si="2"/>
        <v>35.5</v>
      </c>
      <c r="L17" s="184"/>
      <c r="M17" s="48">
        <v>804064</v>
      </c>
      <c r="N17" s="6" t="s">
        <v>41</v>
      </c>
      <c r="P17" s="6" t="s">
        <v>101</v>
      </c>
    </row>
    <row r="18" spans="5:16" x14ac:dyDescent="0.25">
      <c r="E18" s="6">
        <v>26</v>
      </c>
      <c r="F18" s="39">
        <f t="shared" si="1"/>
        <v>66.299999999999969</v>
      </c>
      <c r="H18" s="6">
        <v>17</v>
      </c>
      <c r="I18" s="43">
        <v>2</v>
      </c>
      <c r="J18" s="6">
        <f t="shared" si="2"/>
        <v>37.5</v>
      </c>
      <c r="L18" s="184"/>
      <c r="M18" s="13" t="s">
        <v>30</v>
      </c>
      <c r="N18" s="6" t="s">
        <v>42</v>
      </c>
      <c r="P18" s="6" t="s">
        <v>101</v>
      </c>
    </row>
    <row r="19" spans="5:16" x14ac:dyDescent="0.25">
      <c r="E19" s="6">
        <v>27</v>
      </c>
      <c r="F19" s="39">
        <f t="shared" si="1"/>
        <v>68.849999999999966</v>
      </c>
      <c r="H19" s="6">
        <v>18</v>
      </c>
      <c r="I19" s="43">
        <v>2</v>
      </c>
      <c r="J19" s="6">
        <f t="shared" si="2"/>
        <v>39.5</v>
      </c>
    </row>
    <row r="20" spans="5:16" x14ac:dyDescent="0.25">
      <c r="E20" s="6">
        <v>28</v>
      </c>
      <c r="F20" s="39">
        <f t="shared" si="1"/>
        <v>71.399999999999963</v>
      </c>
      <c r="H20" s="6">
        <v>19</v>
      </c>
      <c r="I20" s="43">
        <v>2</v>
      </c>
      <c r="J20" s="6">
        <f t="shared" si="2"/>
        <v>41.5</v>
      </c>
    </row>
    <row r="21" spans="5:16" x14ac:dyDescent="0.25">
      <c r="E21" s="6">
        <v>29</v>
      </c>
      <c r="F21" s="39">
        <f t="shared" si="1"/>
        <v>73.94999999999996</v>
      </c>
      <c r="H21" s="6">
        <v>20</v>
      </c>
      <c r="I21" s="43">
        <v>2</v>
      </c>
      <c r="J21" s="6">
        <f t="shared" si="2"/>
        <v>43.5</v>
      </c>
      <c r="L21" s="180" t="s">
        <v>89</v>
      </c>
      <c r="N21" s="240" t="s">
        <v>91</v>
      </c>
    </row>
    <row r="22" spans="5:16" x14ac:dyDescent="0.25">
      <c r="E22" s="38">
        <v>30</v>
      </c>
      <c r="F22" s="40">
        <f t="shared" si="1"/>
        <v>76.499999999999957</v>
      </c>
      <c r="H22" s="6">
        <v>21</v>
      </c>
      <c r="I22" s="43">
        <v>2</v>
      </c>
      <c r="J22" s="6">
        <f t="shared" si="2"/>
        <v>45.5</v>
      </c>
      <c r="L22" s="6">
        <v>0</v>
      </c>
      <c r="M22" s="6">
        <v>0</v>
      </c>
      <c r="N22" s="229">
        <v>0</v>
      </c>
    </row>
    <row r="23" spans="5:16" x14ac:dyDescent="0.25">
      <c r="E23" s="6">
        <v>31</v>
      </c>
      <c r="F23" s="39">
        <f>F22+C$3</f>
        <v>78.44999999999996</v>
      </c>
      <c r="H23" s="6">
        <v>22</v>
      </c>
      <c r="I23" s="43">
        <v>2</v>
      </c>
      <c r="J23" s="6">
        <f t="shared" si="2"/>
        <v>47.5</v>
      </c>
      <c r="L23" s="6">
        <v>6</v>
      </c>
      <c r="M23" s="241">
        <f>ROUND(N23*0.98,1)</f>
        <v>2.5</v>
      </c>
      <c r="N23" s="229">
        <v>2.5</v>
      </c>
    </row>
    <row r="24" spans="5:16" x14ac:dyDescent="0.25">
      <c r="E24" s="6">
        <v>32</v>
      </c>
      <c r="F24" s="39">
        <f t="shared" ref="F24:F87" si="3">F23+C$3</f>
        <v>80.399999999999963</v>
      </c>
      <c r="H24" s="6">
        <v>23</v>
      </c>
      <c r="I24" s="43">
        <v>2</v>
      </c>
      <c r="J24" s="6">
        <f t="shared" si="2"/>
        <v>49.5</v>
      </c>
      <c r="L24" s="6">
        <v>11</v>
      </c>
      <c r="M24" s="39">
        <f t="shared" ref="M24:M51" si="4">ROUND(N24*0.98,1)</f>
        <v>2.9</v>
      </c>
      <c r="N24" s="229">
        <v>3</v>
      </c>
    </row>
    <row r="25" spans="5:16" x14ac:dyDescent="0.25">
      <c r="E25" s="6">
        <v>33</v>
      </c>
      <c r="F25" s="39">
        <f t="shared" si="3"/>
        <v>82.349999999999966</v>
      </c>
      <c r="H25" s="6">
        <v>24</v>
      </c>
      <c r="I25" s="43">
        <v>2</v>
      </c>
      <c r="J25" s="6">
        <f t="shared" si="2"/>
        <v>51.5</v>
      </c>
      <c r="L25" s="6">
        <v>40</v>
      </c>
      <c r="M25" s="39">
        <f t="shared" si="4"/>
        <v>3.1</v>
      </c>
      <c r="N25" s="229">
        <v>3.2</v>
      </c>
    </row>
    <row r="26" spans="5:16" x14ac:dyDescent="0.25">
      <c r="E26" s="6">
        <v>34</v>
      </c>
      <c r="F26" s="39">
        <f t="shared" si="3"/>
        <v>84.299999999999969</v>
      </c>
      <c r="H26" s="6">
        <v>25</v>
      </c>
      <c r="I26" s="43">
        <v>2</v>
      </c>
      <c r="J26" s="6">
        <f t="shared" si="2"/>
        <v>53.5</v>
      </c>
      <c r="L26" s="6">
        <v>48</v>
      </c>
      <c r="M26" s="39">
        <f t="shared" si="4"/>
        <v>3.3</v>
      </c>
      <c r="N26" s="229">
        <v>3.4</v>
      </c>
    </row>
    <row r="27" spans="5:16" x14ac:dyDescent="0.25">
      <c r="E27" s="6">
        <v>35</v>
      </c>
      <c r="F27" s="39">
        <f t="shared" si="3"/>
        <v>86.249999999999972</v>
      </c>
      <c r="H27" s="6">
        <v>26</v>
      </c>
      <c r="I27" s="43">
        <v>2</v>
      </c>
      <c r="J27" s="6">
        <f t="shared" si="2"/>
        <v>55.5</v>
      </c>
      <c r="L27" s="6">
        <v>56</v>
      </c>
      <c r="M27" s="39">
        <f t="shared" si="4"/>
        <v>3.5</v>
      </c>
      <c r="N27" s="229">
        <v>3.6</v>
      </c>
    </row>
    <row r="28" spans="5:16" x14ac:dyDescent="0.25">
      <c r="E28" s="6">
        <v>36</v>
      </c>
      <c r="F28" s="39">
        <f t="shared" si="3"/>
        <v>88.199999999999974</v>
      </c>
      <c r="H28" s="6">
        <v>27</v>
      </c>
      <c r="I28" s="43">
        <v>2</v>
      </c>
      <c r="J28" s="6">
        <f t="shared" si="2"/>
        <v>57.5</v>
      </c>
      <c r="L28" s="6">
        <v>64</v>
      </c>
      <c r="M28" s="39">
        <f t="shared" si="4"/>
        <v>3.7</v>
      </c>
      <c r="N28" s="229">
        <v>3.8</v>
      </c>
    </row>
    <row r="29" spans="5:16" x14ac:dyDescent="0.25">
      <c r="E29" s="6">
        <v>37</v>
      </c>
      <c r="F29" s="39">
        <f t="shared" si="3"/>
        <v>90.149999999999977</v>
      </c>
      <c r="H29" s="6">
        <v>28</v>
      </c>
      <c r="I29" s="43">
        <v>2</v>
      </c>
      <c r="J29" s="6">
        <f t="shared" si="2"/>
        <v>59.5</v>
      </c>
      <c r="L29" s="6">
        <v>72</v>
      </c>
      <c r="M29" s="39">
        <f t="shared" si="4"/>
        <v>3.9</v>
      </c>
      <c r="N29" s="229">
        <v>4</v>
      </c>
    </row>
    <row r="30" spans="5:16" x14ac:dyDescent="0.25">
      <c r="E30" s="6">
        <v>38</v>
      </c>
      <c r="F30" s="39">
        <f t="shared" si="3"/>
        <v>92.09999999999998</v>
      </c>
      <c r="H30" s="6">
        <v>29</v>
      </c>
      <c r="I30" s="43">
        <v>2</v>
      </c>
      <c r="J30" s="6">
        <f t="shared" si="2"/>
        <v>61.5</v>
      </c>
      <c r="L30" s="6">
        <v>80</v>
      </c>
      <c r="M30" s="39">
        <f t="shared" si="4"/>
        <v>4.0999999999999996</v>
      </c>
      <c r="N30" s="229">
        <v>4.2</v>
      </c>
    </row>
    <row r="31" spans="5:16" x14ac:dyDescent="0.25">
      <c r="E31" s="6">
        <v>39</v>
      </c>
      <c r="F31" s="39">
        <f t="shared" si="3"/>
        <v>94.049999999999983</v>
      </c>
      <c r="H31" s="6">
        <v>30</v>
      </c>
      <c r="I31" s="43">
        <v>2</v>
      </c>
      <c r="J31" s="6">
        <f t="shared" si="2"/>
        <v>63.5</v>
      </c>
      <c r="L31" s="6">
        <v>87</v>
      </c>
      <c r="M31" s="39">
        <f t="shared" si="4"/>
        <v>4.2</v>
      </c>
      <c r="N31" s="229">
        <v>4.3</v>
      </c>
    </row>
    <row r="32" spans="5:16" x14ac:dyDescent="0.25">
      <c r="E32" s="6">
        <v>40</v>
      </c>
      <c r="F32" s="39">
        <f t="shared" si="3"/>
        <v>95.999999999999986</v>
      </c>
      <c r="H32" s="6">
        <v>31</v>
      </c>
      <c r="I32" s="43">
        <v>2</v>
      </c>
      <c r="J32" s="6">
        <f t="shared" ref="J32:J95" si="5">J31+I32</f>
        <v>65.5</v>
      </c>
      <c r="L32" s="6">
        <v>95</v>
      </c>
      <c r="M32" s="39">
        <f t="shared" si="4"/>
        <v>4.3</v>
      </c>
      <c r="N32" s="229">
        <v>4.4000000000000004</v>
      </c>
    </row>
    <row r="33" spans="5:14" x14ac:dyDescent="0.25">
      <c r="E33" s="6">
        <v>41</v>
      </c>
      <c r="F33" s="39">
        <f t="shared" si="3"/>
        <v>97.949999999999989</v>
      </c>
      <c r="H33" s="6">
        <v>32</v>
      </c>
      <c r="I33" s="43">
        <v>2</v>
      </c>
      <c r="J33" s="6">
        <f t="shared" si="5"/>
        <v>67.5</v>
      </c>
      <c r="L33" s="6">
        <v>104</v>
      </c>
      <c r="M33" s="39">
        <f t="shared" si="4"/>
        <v>4.4000000000000004</v>
      </c>
      <c r="N33" s="229">
        <v>4.5</v>
      </c>
    </row>
    <row r="34" spans="5:14" x14ac:dyDescent="0.25">
      <c r="E34" s="6">
        <v>42</v>
      </c>
      <c r="F34" s="39">
        <f t="shared" si="3"/>
        <v>99.899999999999991</v>
      </c>
      <c r="H34" s="6">
        <v>33</v>
      </c>
      <c r="I34" s="43">
        <v>2</v>
      </c>
      <c r="J34" s="6">
        <f t="shared" si="5"/>
        <v>69.5</v>
      </c>
      <c r="L34" s="6">
        <v>114</v>
      </c>
      <c r="M34" s="39">
        <f t="shared" si="4"/>
        <v>4.5</v>
      </c>
      <c r="N34" s="229">
        <v>4.5999999999999996</v>
      </c>
    </row>
    <row r="35" spans="5:14" x14ac:dyDescent="0.25">
      <c r="E35" s="6">
        <v>43</v>
      </c>
      <c r="F35" s="39">
        <f t="shared" si="3"/>
        <v>101.85</v>
      </c>
      <c r="H35" s="6">
        <v>34</v>
      </c>
      <c r="I35" s="43">
        <v>2</v>
      </c>
      <c r="J35" s="6">
        <f t="shared" si="5"/>
        <v>71.5</v>
      </c>
      <c r="L35" s="6">
        <v>125</v>
      </c>
      <c r="M35" s="39">
        <f t="shared" si="4"/>
        <v>4.5999999999999996</v>
      </c>
      <c r="N35" s="229">
        <v>4.7</v>
      </c>
    </row>
    <row r="36" spans="5:14" x14ac:dyDescent="0.25">
      <c r="E36" s="6">
        <v>44</v>
      </c>
      <c r="F36" s="39">
        <f t="shared" si="3"/>
        <v>103.8</v>
      </c>
      <c r="H36" s="6">
        <v>35</v>
      </c>
      <c r="I36" s="43">
        <v>2</v>
      </c>
      <c r="J36" s="6">
        <f t="shared" si="5"/>
        <v>73.5</v>
      </c>
      <c r="L36" s="6">
        <v>137</v>
      </c>
      <c r="M36" s="39">
        <f t="shared" si="4"/>
        <v>4.7</v>
      </c>
      <c r="N36" s="229">
        <v>4.8</v>
      </c>
    </row>
    <row r="37" spans="5:14" x14ac:dyDescent="0.25">
      <c r="E37" s="6">
        <v>45</v>
      </c>
      <c r="F37" s="39">
        <f t="shared" si="3"/>
        <v>105.75</v>
      </c>
      <c r="H37" s="6">
        <v>36</v>
      </c>
      <c r="I37" s="43">
        <v>2</v>
      </c>
      <c r="J37" s="6">
        <f t="shared" si="5"/>
        <v>75.5</v>
      </c>
      <c r="L37" s="6">
        <v>150</v>
      </c>
      <c r="M37" s="39">
        <f t="shared" si="4"/>
        <v>4.8</v>
      </c>
      <c r="N37" s="229">
        <v>4.9000000000000004</v>
      </c>
    </row>
    <row r="38" spans="5:14" x14ac:dyDescent="0.25">
      <c r="E38" s="6">
        <v>46</v>
      </c>
      <c r="F38" s="39">
        <f t="shared" si="3"/>
        <v>107.7</v>
      </c>
      <c r="H38" s="6">
        <v>37</v>
      </c>
      <c r="I38" s="43">
        <v>2</v>
      </c>
      <c r="J38" s="6">
        <f t="shared" si="5"/>
        <v>77.5</v>
      </c>
      <c r="L38" s="6">
        <v>164</v>
      </c>
      <c r="M38" s="39">
        <f t="shared" si="4"/>
        <v>4.9000000000000004</v>
      </c>
      <c r="N38" s="229">
        <v>5</v>
      </c>
    </row>
    <row r="39" spans="5:14" x14ac:dyDescent="0.25">
      <c r="E39" s="6">
        <v>47</v>
      </c>
      <c r="F39" s="39">
        <f t="shared" si="3"/>
        <v>109.65</v>
      </c>
      <c r="H39" s="6">
        <v>38</v>
      </c>
      <c r="I39" s="43">
        <v>2</v>
      </c>
      <c r="J39" s="6">
        <f t="shared" si="5"/>
        <v>79.5</v>
      </c>
      <c r="L39" s="6">
        <v>179</v>
      </c>
      <c r="M39" s="39">
        <f t="shared" si="4"/>
        <v>5</v>
      </c>
      <c r="N39" s="229">
        <v>5.0999999999999996</v>
      </c>
    </row>
    <row r="40" spans="5:14" x14ac:dyDescent="0.25">
      <c r="E40" s="6">
        <v>48</v>
      </c>
      <c r="F40" s="39">
        <f t="shared" si="3"/>
        <v>111.60000000000001</v>
      </c>
      <c r="H40" s="6">
        <v>39</v>
      </c>
      <c r="I40" s="43">
        <v>2</v>
      </c>
      <c r="J40" s="6">
        <f t="shared" si="5"/>
        <v>81.5</v>
      </c>
      <c r="L40" s="6">
        <v>195</v>
      </c>
      <c r="M40" s="39">
        <f t="shared" si="4"/>
        <v>5.0999999999999996</v>
      </c>
      <c r="N40" s="229">
        <v>5.2</v>
      </c>
    </row>
    <row r="41" spans="5:14" x14ac:dyDescent="0.25">
      <c r="E41" s="6">
        <v>49</v>
      </c>
      <c r="F41" s="39">
        <f t="shared" si="3"/>
        <v>113.55000000000001</v>
      </c>
      <c r="H41" s="6">
        <v>40</v>
      </c>
      <c r="I41" s="43">
        <v>2</v>
      </c>
      <c r="J41" s="6">
        <f t="shared" si="5"/>
        <v>83.5</v>
      </c>
      <c r="L41" s="6">
        <v>212</v>
      </c>
      <c r="M41" s="39">
        <f t="shared" si="4"/>
        <v>5.2</v>
      </c>
      <c r="N41" s="229">
        <v>5.3</v>
      </c>
    </row>
    <row r="42" spans="5:14" x14ac:dyDescent="0.25">
      <c r="E42" s="6">
        <v>50</v>
      </c>
      <c r="F42" s="39">
        <f t="shared" si="3"/>
        <v>115.50000000000001</v>
      </c>
      <c r="H42" s="6">
        <v>41</v>
      </c>
      <c r="I42" s="43">
        <v>2</v>
      </c>
      <c r="J42" s="6">
        <f t="shared" si="5"/>
        <v>85.5</v>
      </c>
      <c r="L42" s="6">
        <v>230</v>
      </c>
      <c r="M42" s="39">
        <f t="shared" si="4"/>
        <v>5.3</v>
      </c>
      <c r="N42" s="229">
        <v>5.4</v>
      </c>
    </row>
    <row r="43" spans="5:14" x14ac:dyDescent="0.25">
      <c r="E43" s="6">
        <v>51</v>
      </c>
      <c r="F43" s="39">
        <f t="shared" si="3"/>
        <v>117.45000000000002</v>
      </c>
      <c r="H43" s="6">
        <v>42</v>
      </c>
      <c r="I43" s="43">
        <v>2</v>
      </c>
      <c r="J43" s="6">
        <f t="shared" si="5"/>
        <v>87.5</v>
      </c>
      <c r="L43" s="6">
        <v>249</v>
      </c>
      <c r="M43" s="39">
        <f t="shared" si="4"/>
        <v>5.4</v>
      </c>
      <c r="N43" s="229">
        <v>5.5</v>
      </c>
    </row>
    <row r="44" spans="5:14" x14ac:dyDescent="0.25">
      <c r="E44" s="6">
        <v>52</v>
      </c>
      <c r="F44" s="39">
        <f t="shared" si="3"/>
        <v>119.40000000000002</v>
      </c>
      <c r="H44" s="6">
        <v>43</v>
      </c>
      <c r="I44" s="43">
        <v>2</v>
      </c>
      <c r="J44" s="6">
        <f t="shared" si="5"/>
        <v>89.5</v>
      </c>
      <c r="L44" s="6">
        <v>269</v>
      </c>
      <c r="M44" s="39">
        <f t="shared" si="4"/>
        <v>5.5</v>
      </c>
      <c r="N44" s="229">
        <v>5.6</v>
      </c>
    </row>
    <row r="45" spans="5:14" x14ac:dyDescent="0.25">
      <c r="E45" s="6">
        <v>53</v>
      </c>
      <c r="F45" s="39">
        <f t="shared" si="3"/>
        <v>121.35000000000002</v>
      </c>
      <c r="H45" s="6">
        <v>44</v>
      </c>
      <c r="I45" s="43">
        <v>2</v>
      </c>
      <c r="J45" s="6">
        <f t="shared" si="5"/>
        <v>91.5</v>
      </c>
      <c r="L45" s="6">
        <v>290</v>
      </c>
      <c r="M45" s="39">
        <f t="shared" si="4"/>
        <v>5.6</v>
      </c>
      <c r="N45" s="229">
        <v>5.7</v>
      </c>
    </row>
    <row r="46" spans="5:14" x14ac:dyDescent="0.25">
      <c r="E46" s="6">
        <v>54</v>
      </c>
      <c r="F46" s="39">
        <f t="shared" si="3"/>
        <v>123.30000000000003</v>
      </c>
      <c r="H46" s="6">
        <v>45</v>
      </c>
      <c r="I46" s="43">
        <v>2</v>
      </c>
      <c r="J46" s="6">
        <f t="shared" si="5"/>
        <v>93.5</v>
      </c>
      <c r="L46" s="6">
        <v>312</v>
      </c>
      <c r="M46" s="39">
        <f t="shared" si="4"/>
        <v>5.7</v>
      </c>
      <c r="N46" s="229">
        <v>5.8</v>
      </c>
    </row>
    <row r="47" spans="5:14" x14ac:dyDescent="0.25">
      <c r="E47" s="6">
        <v>55</v>
      </c>
      <c r="F47" s="39">
        <f t="shared" si="3"/>
        <v>125.25000000000003</v>
      </c>
      <c r="H47" s="6">
        <v>46</v>
      </c>
      <c r="I47" s="43">
        <v>2</v>
      </c>
      <c r="J47" s="6">
        <f t="shared" si="5"/>
        <v>95.5</v>
      </c>
      <c r="L47" s="6">
        <v>335</v>
      </c>
      <c r="M47" s="39">
        <f t="shared" si="4"/>
        <v>5.8</v>
      </c>
      <c r="N47" s="229">
        <v>5.9</v>
      </c>
    </row>
    <row r="48" spans="5:14" x14ac:dyDescent="0.25">
      <c r="E48" s="6">
        <v>56</v>
      </c>
      <c r="F48" s="39">
        <f t="shared" si="3"/>
        <v>127.20000000000003</v>
      </c>
      <c r="H48" s="6">
        <v>47</v>
      </c>
      <c r="I48" s="43">
        <v>2</v>
      </c>
      <c r="J48" s="6">
        <f t="shared" si="5"/>
        <v>97.5</v>
      </c>
      <c r="L48" s="6">
        <v>359</v>
      </c>
      <c r="M48" s="39">
        <f t="shared" si="4"/>
        <v>5.9</v>
      </c>
      <c r="N48" s="229">
        <v>6</v>
      </c>
    </row>
    <row r="49" spans="5:14" x14ac:dyDescent="0.25">
      <c r="E49" s="6">
        <v>57</v>
      </c>
      <c r="F49" s="39">
        <f t="shared" si="3"/>
        <v>129.15000000000003</v>
      </c>
      <c r="H49" s="6">
        <v>48</v>
      </c>
      <c r="I49" s="43">
        <v>2</v>
      </c>
      <c r="J49" s="6">
        <f t="shared" si="5"/>
        <v>99.5</v>
      </c>
      <c r="L49" s="6">
        <v>384</v>
      </c>
      <c r="M49" s="39">
        <f t="shared" si="4"/>
        <v>6</v>
      </c>
      <c r="N49" s="229">
        <v>6.1</v>
      </c>
    </row>
    <row r="50" spans="5:14" x14ac:dyDescent="0.25">
      <c r="E50" s="6">
        <v>58</v>
      </c>
      <c r="F50" s="39">
        <f t="shared" si="3"/>
        <v>131.10000000000002</v>
      </c>
      <c r="H50" s="6">
        <v>49</v>
      </c>
      <c r="I50" s="43">
        <v>2</v>
      </c>
      <c r="J50" s="6">
        <f t="shared" si="5"/>
        <v>101.5</v>
      </c>
      <c r="L50" s="6">
        <v>410</v>
      </c>
      <c r="M50" s="39">
        <f t="shared" si="4"/>
        <v>6.1</v>
      </c>
      <c r="N50" s="229">
        <v>6.2</v>
      </c>
    </row>
    <row r="51" spans="5:14" x14ac:dyDescent="0.25">
      <c r="E51" s="6">
        <v>59</v>
      </c>
      <c r="F51" s="39">
        <f t="shared" si="3"/>
        <v>133.05000000000001</v>
      </c>
      <c r="H51" s="6">
        <v>50</v>
      </c>
      <c r="I51" s="43">
        <v>2</v>
      </c>
      <c r="J51" s="6">
        <f t="shared" si="5"/>
        <v>103.5</v>
      </c>
      <c r="L51" s="6">
        <v>437</v>
      </c>
      <c r="M51" s="39">
        <f t="shared" si="4"/>
        <v>6.2</v>
      </c>
      <c r="N51" s="229">
        <v>6.3</v>
      </c>
    </row>
    <row r="52" spans="5:14" x14ac:dyDescent="0.25">
      <c r="E52" s="6">
        <v>60</v>
      </c>
      <c r="F52" s="39">
        <f t="shared" si="3"/>
        <v>135</v>
      </c>
      <c r="H52" s="6">
        <v>51</v>
      </c>
      <c r="I52" s="43">
        <v>2</v>
      </c>
      <c r="J52" s="6">
        <f t="shared" si="5"/>
        <v>105.5</v>
      </c>
    </row>
    <row r="53" spans="5:14" x14ac:dyDescent="0.25">
      <c r="E53" s="6">
        <v>61</v>
      </c>
      <c r="F53" s="39">
        <f t="shared" si="3"/>
        <v>136.94999999999999</v>
      </c>
      <c r="H53" s="6">
        <v>52</v>
      </c>
      <c r="I53" s="43">
        <v>2</v>
      </c>
      <c r="J53" s="6">
        <f t="shared" si="5"/>
        <v>107.5</v>
      </c>
    </row>
    <row r="54" spans="5:14" x14ac:dyDescent="0.25">
      <c r="E54" s="6">
        <v>62</v>
      </c>
      <c r="F54" s="39">
        <f t="shared" si="3"/>
        <v>138.89999999999998</v>
      </c>
      <c r="H54" s="6">
        <v>53</v>
      </c>
      <c r="I54" s="43">
        <v>2</v>
      </c>
      <c r="J54" s="6">
        <f t="shared" si="5"/>
        <v>109.5</v>
      </c>
    </row>
    <row r="55" spans="5:14" x14ac:dyDescent="0.25">
      <c r="E55" s="6">
        <v>63</v>
      </c>
      <c r="F55" s="39">
        <f t="shared" si="3"/>
        <v>140.84999999999997</v>
      </c>
      <c r="H55" s="6">
        <v>54</v>
      </c>
      <c r="I55" s="43">
        <v>2</v>
      </c>
      <c r="J55" s="6">
        <f t="shared" si="5"/>
        <v>111.5</v>
      </c>
    </row>
    <row r="56" spans="5:14" x14ac:dyDescent="0.25">
      <c r="E56" s="6">
        <v>64</v>
      </c>
      <c r="F56" s="39">
        <f t="shared" si="3"/>
        <v>142.79999999999995</v>
      </c>
      <c r="H56" s="6">
        <v>55</v>
      </c>
      <c r="I56" s="43">
        <v>2</v>
      </c>
      <c r="J56" s="6">
        <f t="shared" si="5"/>
        <v>113.5</v>
      </c>
    </row>
    <row r="57" spans="5:14" x14ac:dyDescent="0.25">
      <c r="E57" s="6">
        <v>65</v>
      </c>
      <c r="F57" s="39">
        <f t="shared" si="3"/>
        <v>144.74999999999994</v>
      </c>
      <c r="H57" s="6">
        <v>56</v>
      </c>
      <c r="I57" s="43">
        <v>2</v>
      </c>
      <c r="J57" s="6">
        <f t="shared" si="5"/>
        <v>115.5</v>
      </c>
    </row>
    <row r="58" spans="5:14" x14ac:dyDescent="0.25">
      <c r="E58" s="6">
        <v>66</v>
      </c>
      <c r="F58" s="39">
        <f t="shared" si="3"/>
        <v>146.69999999999993</v>
      </c>
      <c r="H58" s="6">
        <v>57</v>
      </c>
      <c r="I58" s="43">
        <v>2</v>
      </c>
      <c r="J58" s="6">
        <f t="shared" si="5"/>
        <v>117.5</v>
      </c>
    </row>
    <row r="59" spans="5:14" x14ac:dyDescent="0.25">
      <c r="E59" s="6">
        <v>67</v>
      </c>
      <c r="F59" s="39">
        <f t="shared" si="3"/>
        <v>148.64999999999992</v>
      </c>
      <c r="H59" s="6">
        <v>58</v>
      </c>
      <c r="I59" s="43">
        <v>2</v>
      </c>
      <c r="J59" s="6">
        <f t="shared" si="5"/>
        <v>119.5</v>
      </c>
    </row>
    <row r="60" spans="5:14" x14ac:dyDescent="0.25">
      <c r="E60" s="6">
        <v>68</v>
      </c>
      <c r="F60" s="39">
        <f t="shared" si="3"/>
        <v>150.59999999999991</v>
      </c>
      <c r="H60" s="6">
        <v>59</v>
      </c>
      <c r="I60" s="43">
        <v>2</v>
      </c>
      <c r="J60" s="6">
        <f t="shared" si="5"/>
        <v>121.5</v>
      </c>
    </row>
    <row r="61" spans="5:14" x14ac:dyDescent="0.25">
      <c r="E61" s="6">
        <v>69</v>
      </c>
      <c r="F61" s="39">
        <f t="shared" si="3"/>
        <v>152.5499999999999</v>
      </c>
      <c r="H61" s="6">
        <v>60</v>
      </c>
      <c r="I61" s="43">
        <v>2</v>
      </c>
      <c r="J61" s="6">
        <f t="shared" si="5"/>
        <v>123.5</v>
      </c>
    </row>
    <row r="62" spans="5:14" x14ac:dyDescent="0.25">
      <c r="E62" s="6">
        <v>70</v>
      </c>
      <c r="F62" s="39">
        <f t="shared" si="3"/>
        <v>154.49999999999989</v>
      </c>
      <c r="H62" s="6">
        <v>61</v>
      </c>
      <c r="I62" s="43">
        <v>2</v>
      </c>
      <c r="J62" s="6">
        <f t="shared" si="5"/>
        <v>125.5</v>
      </c>
    </row>
    <row r="63" spans="5:14" x14ac:dyDescent="0.25">
      <c r="E63" s="6">
        <v>71</v>
      </c>
      <c r="F63" s="39">
        <f t="shared" si="3"/>
        <v>156.44999999999987</v>
      </c>
      <c r="H63" s="6">
        <v>62</v>
      </c>
      <c r="I63" s="43">
        <v>2</v>
      </c>
      <c r="J63" s="6">
        <f t="shared" si="5"/>
        <v>127.5</v>
      </c>
    </row>
    <row r="64" spans="5:14" x14ac:dyDescent="0.25">
      <c r="E64" s="6">
        <v>72</v>
      </c>
      <c r="F64" s="39">
        <f t="shared" si="3"/>
        <v>158.39999999999986</v>
      </c>
      <c r="H64" s="6">
        <v>63</v>
      </c>
      <c r="I64" s="43">
        <v>2</v>
      </c>
      <c r="J64" s="6">
        <f t="shared" si="5"/>
        <v>129.5</v>
      </c>
    </row>
    <row r="65" spans="5:10" x14ac:dyDescent="0.25">
      <c r="E65" s="6">
        <v>73</v>
      </c>
      <c r="F65" s="39">
        <f t="shared" si="3"/>
        <v>160.34999999999985</v>
      </c>
      <c r="H65" s="6">
        <v>64</v>
      </c>
      <c r="I65" s="43">
        <v>2</v>
      </c>
      <c r="J65" s="6">
        <f t="shared" si="5"/>
        <v>131.5</v>
      </c>
    </row>
    <row r="66" spans="5:10" x14ac:dyDescent="0.25">
      <c r="E66" s="6">
        <v>74</v>
      </c>
      <c r="F66" s="39">
        <f t="shared" si="3"/>
        <v>162.29999999999984</v>
      </c>
      <c r="H66" s="6">
        <v>65</v>
      </c>
      <c r="I66" s="43">
        <v>2</v>
      </c>
      <c r="J66" s="6">
        <f t="shared" si="5"/>
        <v>133.5</v>
      </c>
    </row>
    <row r="67" spans="5:10" x14ac:dyDescent="0.25">
      <c r="E67" s="6">
        <v>75</v>
      </c>
      <c r="F67" s="39">
        <f t="shared" si="3"/>
        <v>164.24999999999983</v>
      </c>
      <c r="H67" s="6">
        <v>66</v>
      </c>
      <c r="I67" s="43">
        <v>2</v>
      </c>
      <c r="J67" s="6">
        <f t="shared" si="5"/>
        <v>135.5</v>
      </c>
    </row>
    <row r="68" spans="5:10" x14ac:dyDescent="0.25">
      <c r="E68" s="6">
        <v>76</v>
      </c>
      <c r="F68" s="39">
        <f t="shared" si="3"/>
        <v>166.19999999999982</v>
      </c>
      <c r="H68" s="6">
        <v>67</v>
      </c>
      <c r="I68" s="43">
        <v>2</v>
      </c>
      <c r="J68" s="6">
        <f t="shared" si="5"/>
        <v>137.5</v>
      </c>
    </row>
    <row r="69" spans="5:10" x14ac:dyDescent="0.25">
      <c r="E69" s="6">
        <v>77</v>
      </c>
      <c r="F69" s="39">
        <f t="shared" si="3"/>
        <v>168.14999999999981</v>
      </c>
      <c r="H69" s="6">
        <v>68</v>
      </c>
      <c r="I69" s="43">
        <v>2</v>
      </c>
      <c r="J69" s="6">
        <f t="shared" si="5"/>
        <v>139.5</v>
      </c>
    </row>
    <row r="70" spans="5:10" x14ac:dyDescent="0.25">
      <c r="E70" s="6">
        <v>78</v>
      </c>
      <c r="F70" s="39">
        <f t="shared" si="3"/>
        <v>170.0999999999998</v>
      </c>
      <c r="H70" s="6">
        <v>69</v>
      </c>
      <c r="I70" s="43">
        <v>2</v>
      </c>
      <c r="J70" s="6">
        <f t="shared" si="5"/>
        <v>141.5</v>
      </c>
    </row>
    <row r="71" spans="5:10" x14ac:dyDescent="0.25">
      <c r="E71" s="6">
        <v>79</v>
      </c>
      <c r="F71" s="39">
        <f t="shared" si="3"/>
        <v>172.04999999999978</v>
      </c>
      <c r="H71" s="6">
        <v>70</v>
      </c>
      <c r="I71" s="43">
        <v>2</v>
      </c>
      <c r="J71" s="6">
        <f t="shared" si="5"/>
        <v>143.5</v>
      </c>
    </row>
    <row r="72" spans="5:10" x14ac:dyDescent="0.25">
      <c r="E72" s="6">
        <v>80</v>
      </c>
      <c r="F72" s="39">
        <f t="shared" si="3"/>
        <v>173.99999999999977</v>
      </c>
      <c r="H72" s="6">
        <v>71</v>
      </c>
      <c r="I72" s="43">
        <v>2</v>
      </c>
      <c r="J72" s="6">
        <f t="shared" si="5"/>
        <v>145.5</v>
      </c>
    </row>
    <row r="73" spans="5:10" x14ac:dyDescent="0.25">
      <c r="E73" s="6">
        <v>81</v>
      </c>
      <c r="F73" s="39">
        <f t="shared" si="3"/>
        <v>175.94999999999976</v>
      </c>
      <c r="H73" s="6">
        <v>72</v>
      </c>
      <c r="I73" s="43">
        <v>2</v>
      </c>
      <c r="J73" s="6">
        <f t="shared" si="5"/>
        <v>147.5</v>
      </c>
    </row>
    <row r="74" spans="5:10" x14ac:dyDescent="0.25">
      <c r="E74" s="6">
        <v>82</v>
      </c>
      <c r="F74" s="39">
        <f t="shared" si="3"/>
        <v>177.89999999999975</v>
      </c>
      <c r="H74" s="6">
        <v>73</v>
      </c>
      <c r="I74" s="43">
        <v>2</v>
      </c>
      <c r="J74" s="6">
        <f t="shared" si="5"/>
        <v>149.5</v>
      </c>
    </row>
    <row r="75" spans="5:10" x14ac:dyDescent="0.25">
      <c r="E75" s="6">
        <v>83</v>
      </c>
      <c r="F75" s="39">
        <f t="shared" si="3"/>
        <v>179.84999999999974</v>
      </c>
      <c r="H75" s="6">
        <v>74</v>
      </c>
      <c r="I75" s="43">
        <v>2</v>
      </c>
      <c r="J75" s="6">
        <f t="shared" si="5"/>
        <v>151.5</v>
      </c>
    </row>
    <row r="76" spans="5:10" x14ac:dyDescent="0.25">
      <c r="E76" s="6">
        <v>84</v>
      </c>
      <c r="F76" s="39">
        <f t="shared" si="3"/>
        <v>181.79999999999973</v>
      </c>
      <c r="H76" s="6">
        <v>75</v>
      </c>
      <c r="I76" s="43">
        <v>2</v>
      </c>
      <c r="J76" s="6">
        <f t="shared" si="5"/>
        <v>153.5</v>
      </c>
    </row>
    <row r="77" spans="5:10" x14ac:dyDescent="0.25">
      <c r="E77" s="6">
        <v>85</v>
      </c>
      <c r="F77" s="39">
        <f t="shared" si="3"/>
        <v>183.74999999999972</v>
      </c>
      <c r="H77" s="6">
        <v>76</v>
      </c>
      <c r="I77" s="43">
        <v>2</v>
      </c>
      <c r="J77" s="6">
        <f t="shared" si="5"/>
        <v>155.5</v>
      </c>
    </row>
    <row r="78" spans="5:10" x14ac:dyDescent="0.25">
      <c r="E78" s="6">
        <v>86</v>
      </c>
      <c r="F78" s="39">
        <f t="shared" si="3"/>
        <v>185.6999999999997</v>
      </c>
      <c r="H78" s="6">
        <v>77</v>
      </c>
      <c r="I78" s="43">
        <v>2</v>
      </c>
      <c r="J78" s="6">
        <f t="shared" si="5"/>
        <v>157.5</v>
      </c>
    </row>
    <row r="79" spans="5:10" x14ac:dyDescent="0.25">
      <c r="E79" s="6">
        <v>87</v>
      </c>
      <c r="F79" s="39">
        <f t="shared" si="3"/>
        <v>187.64999999999969</v>
      </c>
      <c r="H79" s="6">
        <v>78</v>
      </c>
      <c r="I79" s="43">
        <v>2</v>
      </c>
      <c r="J79" s="6">
        <f t="shared" si="5"/>
        <v>159.5</v>
      </c>
    </row>
    <row r="80" spans="5:10" x14ac:dyDescent="0.25">
      <c r="E80" s="6">
        <v>88</v>
      </c>
      <c r="F80" s="39">
        <f t="shared" si="3"/>
        <v>189.59999999999968</v>
      </c>
      <c r="H80" s="6">
        <v>79</v>
      </c>
      <c r="I80" s="43">
        <v>2</v>
      </c>
      <c r="J80" s="6">
        <f t="shared" si="5"/>
        <v>161.5</v>
      </c>
    </row>
    <row r="81" spans="5:10" x14ac:dyDescent="0.25">
      <c r="E81" s="6">
        <v>89</v>
      </c>
      <c r="F81" s="39">
        <f t="shared" si="3"/>
        <v>191.54999999999967</v>
      </c>
      <c r="H81" s="6">
        <v>80</v>
      </c>
      <c r="I81" s="43">
        <v>2</v>
      </c>
      <c r="J81" s="6">
        <f t="shared" si="5"/>
        <v>163.5</v>
      </c>
    </row>
    <row r="82" spans="5:10" x14ac:dyDescent="0.25">
      <c r="E82" s="6">
        <v>90</v>
      </c>
      <c r="F82" s="39">
        <f t="shared" si="3"/>
        <v>193.49999999999966</v>
      </c>
      <c r="H82" s="6">
        <v>81</v>
      </c>
      <c r="I82" s="43">
        <v>2</v>
      </c>
      <c r="J82" s="6">
        <f t="shared" si="5"/>
        <v>165.5</v>
      </c>
    </row>
    <row r="83" spans="5:10" x14ac:dyDescent="0.25">
      <c r="E83" s="6">
        <v>91</v>
      </c>
      <c r="F83" s="39">
        <f t="shared" si="3"/>
        <v>195.44999999999965</v>
      </c>
      <c r="H83" s="6">
        <v>82</v>
      </c>
      <c r="I83" s="43">
        <v>2</v>
      </c>
      <c r="J83" s="6">
        <f t="shared" si="5"/>
        <v>167.5</v>
      </c>
    </row>
    <row r="84" spans="5:10" x14ac:dyDescent="0.25">
      <c r="E84" s="6">
        <v>92</v>
      </c>
      <c r="F84" s="39">
        <f t="shared" si="3"/>
        <v>197.39999999999964</v>
      </c>
      <c r="H84" s="6">
        <v>83</v>
      </c>
      <c r="I84" s="43">
        <v>2</v>
      </c>
      <c r="J84" s="6">
        <f t="shared" si="5"/>
        <v>169.5</v>
      </c>
    </row>
    <row r="85" spans="5:10" x14ac:dyDescent="0.25">
      <c r="E85" s="6">
        <v>93</v>
      </c>
      <c r="F85" s="39">
        <f t="shared" si="3"/>
        <v>199.34999999999962</v>
      </c>
      <c r="H85" s="6">
        <v>84</v>
      </c>
      <c r="I85" s="43">
        <v>2</v>
      </c>
      <c r="J85" s="6">
        <f t="shared" si="5"/>
        <v>171.5</v>
      </c>
    </row>
    <row r="86" spans="5:10" x14ac:dyDescent="0.25">
      <c r="E86" s="6">
        <v>94</v>
      </c>
      <c r="F86" s="39">
        <f t="shared" si="3"/>
        <v>201.29999999999961</v>
      </c>
      <c r="H86" s="6">
        <v>85</v>
      </c>
      <c r="I86" s="43">
        <v>2</v>
      </c>
      <c r="J86" s="6">
        <f t="shared" si="5"/>
        <v>173.5</v>
      </c>
    </row>
    <row r="87" spans="5:10" x14ac:dyDescent="0.25">
      <c r="E87" s="6">
        <v>95</v>
      </c>
      <c r="F87" s="39">
        <f t="shared" si="3"/>
        <v>203.2499999999996</v>
      </c>
      <c r="H87" s="6">
        <v>86</v>
      </c>
      <c r="I87" s="43">
        <v>2</v>
      </c>
      <c r="J87" s="6">
        <f t="shared" si="5"/>
        <v>175.5</v>
      </c>
    </row>
    <row r="88" spans="5:10" x14ac:dyDescent="0.25">
      <c r="E88" s="6">
        <v>96</v>
      </c>
      <c r="F88" s="39">
        <f t="shared" ref="F88:F92" si="6">F87+C$3</f>
        <v>205.19999999999959</v>
      </c>
      <c r="H88" s="6">
        <v>87</v>
      </c>
      <c r="I88" s="43">
        <v>2</v>
      </c>
      <c r="J88" s="6">
        <f t="shared" si="5"/>
        <v>177.5</v>
      </c>
    </row>
    <row r="89" spans="5:10" x14ac:dyDescent="0.25">
      <c r="E89" s="6">
        <v>97</v>
      </c>
      <c r="F89" s="39">
        <f t="shared" si="6"/>
        <v>207.14999999999958</v>
      </c>
      <c r="H89" s="6">
        <v>88</v>
      </c>
      <c r="I89" s="43">
        <v>2</v>
      </c>
      <c r="J89" s="6">
        <f t="shared" si="5"/>
        <v>179.5</v>
      </c>
    </row>
    <row r="90" spans="5:10" x14ac:dyDescent="0.25">
      <c r="E90" s="6">
        <v>98</v>
      </c>
      <c r="F90" s="39">
        <f t="shared" si="6"/>
        <v>209.09999999999957</v>
      </c>
      <c r="H90" s="6">
        <v>89</v>
      </c>
      <c r="I90" s="43">
        <v>2</v>
      </c>
      <c r="J90" s="6">
        <f t="shared" si="5"/>
        <v>181.5</v>
      </c>
    </row>
    <row r="91" spans="5:10" x14ac:dyDescent="0.25">
      <c r="E91" s="6">
        <v>99</v>
      </c>
      <c r="F91" s="39">
        <f t="shared" si="6"/>
        <v>211.04999999999956</v>
      </c>
      <c r="H91" s="6">
        <v>90</v>
      </c>
      <c r="I91" s="43">
        <v>2</v>
      </c>
      <c r="J91" s="6">
        <f t="shared" si="5"/>
        <v>183.5</v>
      </c>
    </row>
    <row r="92" spans="5:10" x14ac:dyDescent="0.25">
      <c r="E92" s="38">
        <v>100</v>
      </c>
      <c r="F92" s="40">
        <f t="shared" si="6"/>
        <v>212.99999999999955</v>
      </c>
      <c r="H92" s="6">
        <v>91</v>
      </c>
      <c r="I92" s="43">
        <v>2</v>
      </c>
      <c r="J92" s="6">
        <f t="shared" si="5"/>
        <v>185.5</v>
      </c>
    </row>
    <row r="93" spans="5:10" x14ac:dyDescent="0.25">
      <c r="E93" s="6">
        <v>101</v>
      </c>
      <c r="F93" s="39">
        <f>F92+C$4</f>
        <v>214.99999999999955</v>
      </c>
      <c r="H93" s="6">
        <v>92</v>
      </c>
      <c r="I93" s="43">
        <v>2</v>
      </c>
      <c r="J93" s="6">
        <f t="shared" si="5"/>
        <v>187.5</v>
      </c>
    </row>
    <row r="94" spans="5:10" x14ac:dyDescent="0.25">
      <c r="E94" s="6">
        <v>102</v>
      </c>
      <c r="F94" s="39">
        <f t="shared" ref="F94:F157" si="7">F93+C$4</f>
        <v>216.99999999999955</v>
      </c>
      <c r="H94" s="6">
        <v>93</v>
      </c>
      <c r="I94" s="43">
        <v>2</v>
      </c>
      <c r="J94" s="6">
        <f t="shared" si="5"/>
        <v>189.5</v>
      </c>
    </row>
    <row r="95" spans="5:10" x14ac:dyDescent="0.25">
      <c r="E95" s="6">
        <v>103</v>
      </c>
      <c r="F95" s="39">
        <f t="shared" si="7"/>
        <v>218.99999999999955</v>
      </c>
      <c r="H95" s="6">
        <v>94</v>
      </c>
      <c r="I95" s="43">
        <v>2</v>
      </c>
      <c r="J95" s="6">
        <f t="shared" si="5"/>
        <v>191.5</v>
      </c>
    </row>
    <row r="96" spans="5:10" x14ac:dyDescent="0.25">
      <c r="E96" s="6">
        <v>104</v>
      </c>
      <c r="F96" s="39">
        <f t="shared" si="7"/>
        <v>220.99999999999955</v>
      </c>
      <c r="H96" s="6">
        <v>95</v>
      </c>
      <c r="I96" s="43">
        <v>2</v>
      </c>
      <c r="J96" s="6">
        <f t="shared" ref="J96:J159" si="8">J95+I96</f>
        <v>193.5</v>
      </c>
    </row>
    <row r="97" spans="5:10" x14ac:dyDescent="0.25">
      <c r="E97" s="6">
        <v>105</v>
      </c>
      <c r="F97" s="39">
        <f t="shared" si="7"/>
        <v>222.99999999999955</v>
      </c>
      <c r="H97" s="6">
        <v>96</v>
      </c>
      <c r="I97" s="43">
        <v>2</v>
      </c>
      <c r="J97" s="6">
        <f t="shared" si="8"/>
        <v>195.5</v>
      </c>
    </row>
    <row r="98" spans="5:10" x14ac:dyDescent="0.25">
      <c r="E98" s="6">
        <v>106</v>
      </c>
      <c r="F98" s="39">
        <f t="shared" si="7"/>
        <v>224.99999999999955</v>
      </c>
      <c r="H98" s="6">
        <v>97</v>
      </c>
      <c r="I98" s="43">
        <v>2</v>
      </c>
      <c r="J98" s="6">
        <f t="shared" si="8"/>
        <v>197.5</v>
      </c>
    </row>
    <row r="99" spans="5:10" x14ac:dyDescent="0.25">
      <c r="E99" s="6">
        <v>107</v>
      </c>
      <c r="F99" s="39">
        <f t="shared" si="7"/>
        <v>226.99999999999955</v>
      </c>
      <c r="H99" s="6">
        <v>98</v>
      </c>
      <c r="I99" s="43">
        <v>2</v>
      </c>
      <c r="J99" s="6">
        <f t="shared" si="8"/>
        <v>199.5</v>
      </c>
    </row>
    <row r="100" spans="5:10" x14ac:dyDescent="0.25">
      <c r="E100" s="6">
        <v>108</v>
      </c>
      <c r="F100" s="39">
        <f t="shared" si="7"/>
        <v>228.99999999999955</v>
      </c>
      <c r="H100" s="6">
        <v>99</v>
      </c>
      <c r="I100" s="43">
        <v>2</v>
      </c>
      <c r="J100" s="6">
        <f t="shared" si="8"/>
        <v>201.5</v>
      </c>
    </row>
    <row r="101" spans="5:10" x14ac:dyDescent="0.25">
      <c r="E101" s="6">
        <v>109</v>
      </c>
      <c r="F101" s="39">
        <f t="shared" si="7"/>
        <v>230.99999999999955</v>
      </c>
      <c r="H101" s="6">
        <v>100</v>
      </c>
      <c r="I101" s="43">
        <v>2</v>
      </c>
      <c r="J101" s="6">
        <f t="shared" si="8"/>
        <v>203.5</v>
      </c>
    </row>
    <row r="102" spans="5:10" x14ac:dyDescent="0.25">
      <c r="E102" s="6">
        <v>110</v>
      </c>
      <c r="F102" s="39">
        <f t="shared" si="7"/>
        <v>232.99999999999955</v>
      </c>
      <c r="H102" s="6">
        <v>101</v>
      </c>
      <c r="I102" s="43">
        <v>2</v>
      </c>
      <c r="J102" s="6">
        <f t="shared" si="8"/>
        <v>205.5</v>
      </c>
    </row>
    <row r="103" spans="5:10" x14ac:dyDescent="0.25">
      <c r="E103" s="6">
        <v>111</v>
      </c>
      <c r="F103" s="39">
        <f t="shared" si="7"/>
        <v>234.99999999999955</v>
      </c>
      <c r="H103" s="6">
        <v>102</v>
      </c>
      <c r="I103" s="43">
        <v>2</v>
      </c>
      <c r="J103" s="6">
        <f t="shared" si="8"/>
        <v>207.5</v>
      </c>
    </row>
    <row r="104" spans="5:10" x14ac:dyDescent="0.25">
      <c r="E104" s="6">
        <v>112</v>
      </c>
      <c r="F104" s="39">
        <f t="shared" si="7"/>
        <v>236.99999999999955</v>
      </c>
      <c r="H104" s="6">
        <v>103</v>
      </c>
      <c r="I104" s="43">
        <v>2</v>
      </c>
      <c r="J104" s="6">
        <f t="shared" si="8"/>
        <v>209.5</v>
      </c>
    </row>
    <row r="105" spans="5:10" x14ac:dyDescent="0.25">
      <c r="E105" s="6">
        <v>113</v>
      </c>
      <c r="F105" s="39">
        <f t="shared" si="7"/>
        <v>238.99999999999955</v>
      </c>
      <c r="H105" s="6">
        <v>104</v>
      </c>
      <c r="I105" s="43">
        <v>2</v>
      </c>
      <c r="J105" s="6">
        <f t="shared" si="8"/>
        <v>211.5</v>
      </c>
    </row>
    <row r="106" spans="5:10" x14ac:dyDescent="0.25">
      <c r="E106" s="6">
        <v>114</v>
      </c>
      <c r="F106" s="39">
        <f t="shared" si="7"/>
        <v>240.99999999999955</v>
      </c>
      <c r="H106" s="6">
        <v>105</v>
      </c>
      <c r="I106" s="43">
        <v>2</v>
      </c>
      <c r="J106" s="6">
        <f t="shared" si="8"/>
        <v>213.5</v>
      </c>
    </row>
    <row r="107" spans="5:10" x14ac:dyDescent="0.25">
      <c r="E107" s="6">
        <v>115</v>
      </c>
      <c r="F107" s="39">
        <f t="shared" si="7"/>
        <v>242.99999999999955</v>
      </c>
      <c r="H107" s="6">
        <v>106</v>
      </c>
      <c r="I107" s="43">
        <v>2</v>
      </c>
      <c r="J107" s="6">
        <f t="shared" si="8"/>
        <v>215.5</v>
      </c>
    </row>
    <row r="108" spans="5:10" x14ac:dyDescent="0.25">
      <c r="E108" s="6">
        <v>116</v>
      </c>
      <c r="F108" s="39">
        <f t="shared" si="7"/>
        <v>244.99999999999955</v>
      </c>
      <c r="H108" s="6">
        <v>107</v>
      </c>
      <c r="I108" s="43">
        <v>2</v>
      </c>
      <c r="J108" s="6">
        <f t="shared" si="8"/>
        <v>217.5</v>
      </c>
    </row>
    <row r="109" spans="5:10" x14ac:dyDescent="0.25">
      <c r="E109" s="6">
        <v>117</v>
      </c>
      <c r="F109" s="39">
        <f t="shared" si="7"/>
        <v>246.99999999999955</v>
      </c>
      <c r="H109" s="6">
        <v>108</v>
      </c>
      <c r="I109" s="43">
        <v>2</v>
      </c>
      <c r="J109" s="6">
        <f t="shared" si="8"/>
        <v>219.5</v>
      </c>
    </row>
    <row r="110" spans="5:10" x14ac:dyDescent="0.25">
      <c r="E110" s="6">
        <v>118</v>
      </c>
      <c r="F110" s="39">
        <f t="shared" si="7"/>
        <v>248.99999999999955</v>
      </c>
      <c r="H110" s="6">
        <v>109</v>
      </c>
      <c r="I110" s="43">
        <v>2</v>
      </c>
      <c r="J110" s="6">
        <f t="shared" si="8"/>
        <v>221.5</v>
      </c>
    </row>
    <row r="111" spans="5:10" x14ac:dyDescent="0.25">
      <c r="E111" s="6">
        <v>119</v>
      </c>
      <c r="F111" s="39">
        <f t="shared" si="7"/>
        <v>250.99999999999955</v>
      </c>
      <c r="H111" s="6">
        <v>110</v>
      </c>
      <c r="I111" s="43">
        <v>2</v>
      </c>
      <c r="J111" s="6">
        <f t="shared" si="8"/>
        <v>223.5</v>
      </c>
    </row>
    <row r="112" spans="5:10" x14ac:dyDescent="0.25">
      <c r="E112" s="6">
        <v>120</v>
      </c>
      <c r="F112" s="39">
        <f t="shared" si="7"/>
        <v>252.99999999999955</v>
      </c>
      <c r="H112" s="6">
        <v>111</v>
      </c>
      <c r="I112" s="43">
        <v>2</v>
      </c>
      <c r="J112" s="6">
        <f t="shared" si="8"/>
        <v>225.5</v>
      </c>
    </row>
    <row r="113" spans="5:10" x14ac:dyDescent="0.25">
      <c r="E113" s="6">
        <v>121</v>
      </c>
      <c r="F113" s="39">
        <f t="shared" si="7"/>
        <v>254.99999999999955</v>
      </c>
      <c r="H113" s="6">
        <v>112</v>
      </c>
      <c r="I113" s="43">
        <v>2</v>
      </c>
      <c r="J113" s="6">
        <f t="shared" si="8"/>
        <v>227.5</v>
      </c>
    </row>
    <row r="114" spans="5:10" x14ac:dyDescent="0.25">
      <c r="E114" s="6">
        <v>122</v>
      </c>
      <c r="F114" s="39">
        <f t="shared" si="7"/>
        <v>256.99999999999955</v>
      </c>
      <c r="H114" s="6">
        <v>113</v>
      </c>
      <c r="I114" s="43">
        <v>2</v>
      </c>
      <c r="J114" s="6">
        <f t="shared" si="8"/>
        <v>229.5</v>
      </c>
    </row>
    <row r="115" spans="5:10" x14ac:dyDescent="0.25">
      <c r="E115" s="6">
        <v>123</v>
      </c>
      <c r="F115" s="39">
        <f t="shared" si="7"/>
        <v>258.99999999999955</v>
      </c>
      <c r="H115" s="6">
        <v>114</v>
      </c>
      <c r="I115" s="43">
        <v>2</v>
      </c>
      <c r="J115" s="6">
        <f t="shared" si="8"/>
        <v>231.5</v>
      </c>
    </row>
    <row r="116" spans="5:10" x14ac:dyDescent="0.25">
      <c r="E116" s="6">
        <v>124</v>
      </c>
      <c r="F116" s="39">
        <f t="shared" si="7"/>
        <v>260.99999999999955</v>
      </c>
      <c r="H116" s="6">
        <v>115</v>
      </c>
      <c r="I116" s="43">
        <v>2</v>
      </c>
      <c r="J116" s="6">
        <f t="shared" si="8"/>
        <v>233.5</v>
      </c>
    </row>
    <row r="117" spans="5:10" x14ac:dyDescent="0.25">
      <c r="E117" s="6">
        <v>125</v>
      </c>
      <c r="F117" s="39">
        <f t="shared" si="7"/>
        <v>262.99999999999955</v>
      </c>
      <c r="H117" s="6">
        <v>116</v>
      </c>
      <c r="I117" s="43">
        <v>2</v>
      </c>
      <c r="J117" s="6">
        <f t="shared" si="8"/>
        <v>235.5</v>
      </c>
    </row>
    <row r="118" spans="5:10" x14ac:dyDescent="0.25">
      <c r="E118" s="6">
        <v>126</v>
      </c>
      <c r="F118" s="39">
        <f t="shared" si="7"/>
        <v>264.99999999999955</v>
      </c>
      <c r="H118" s="6">
        <v>117</v>
      </c>
      <c r="I118" s="43">
        <v>2</v>
      </c>
      <c r="J118" s="6">
        <f t="shared" si="8"/>
        <v>237.5</v>
      </c>
    </row>
    <row r="119" spans="5:10" x14ac:dyDescent="0.25">
      <c r="E119" s="6">
        <v>127</v>
      </c>
      <c r="F119" s="39">
        <f t="shared" si="7"/>
        <v>266.99999999999955</v>
      </c>
      <c r="H119" s="6">
        <v>118</v>
      </c>
      <c r="I119" s="43">
        <v>2</v>
      </c>
      <c r="J119" s="6">
        <f t="shared" si="8"/>
        <v>239.5</v>
      </c>
    </row>
    <row r="120" spans="5:10" x14ac:dyDescent="0.25">
      <c r="E120" s="6">
        <v>128</v>
      </c>
      <c r="F120" s="39">
        <f t="shared" si="7"/>
        <v>268.99999999999955</v>
      </c>
      <c r="H120" s="6">
        <v>119</v>
      </c>
      <c r="I120" s="43">
        <v>2</v>
      </c>
      <c r="J120" s="6">
        <f t="shared" si="8"/>
        <v>241.5</v>
      </c>
    </row>
    <row r="121" spans="5:10" x14ac:dyDescent="0.25">
      <c r="E121" s="6">
        <v>129</v>
      </c>
      <c r="F121" s="39">
        <f t="shared" si="7"/>
        <v>270.99999999999955</v>
      </c>
      <c r="H121" s="6">
        <v>120</v>
      </c>
      <c r="I121" s="43">
        <v>2</v>
      </c>
      <c r="J121" s="6">
        <f t="shared" si="8"/>
        <v>243.5</v>
      </c>
    </row>
    <row r="122" spans="5:10" x14ac:dyDescent="0.25">
      <c r="E122" s="6">
        <v>130</v>
      </c>
      <c r="F122" s="39">
        <f t="shared" si="7"/>
        <v>272.99999999999955</v>
      </c>
      <c r="H122" s="6">
        <v>121</v>
      </c>
      <c r="I122" s="43">
        <v>2</v>
      </c>
      <c r="J122" s="6">
        <f t="shared" si="8"/>
        <v>245.5</v>
      </c>
    </row>
    <row r="123" spans="5:10" x14ac:dyDescent="0.25">
      <c r="E123" s="6">
        <v>131</v>
      </c>
      <c r="F123" s="39">
        <f t="shared" si="7"/>
        <v>274.99999999999955</v>
      </c>
      <c r="H123" s="6">
        <v>122</v>
      </c>
      <c r="I123" s="43">
        <v>2</v>
      </c>
      <c r="J123" s="6">
        <f t="shared" si="8"/>
        <v>247.5</v>
      </c>
    </row>
    <row r="124" spans="5:10" x14ac:dyDescent="0.25">
      <c r="E124" s="6">
        <v>132</v>
      </c>
      <c r="F124" s="39">
        <f t="shared" si="7"/>
        <v>276.99999999999955</v>
      </c>
      <c r="H124" s="6">
        <v>123</v>
      </c>
      <c r="I124" s="43">
        <v>2</v>
      </c>
      <c r="J124" s="6">
        <f t="shared" si="8"/>
        <v>249.5</v>
      </c>
    </row>
    <row r="125" spans="5:10" x14ac:dyDescent="0.25">
      <c r="E125" s="6">
        <v>133</v>
      </c>
      <c r="F125" s="39">
        <f t="shared" si="7"/>
        <v>278.99999999999955</v>
      </c>
      <c r="H125" s="6">
        <v>124</v>
      </c>
      <c r="I125" s="43">
        <v>2</v>
      </c>
      <c r="J125" s="6">
        <f t="shared" si="8"/>
        <v>251.5</v>
      </c>
    </row>
    <row r="126" spans="5:10" x14ac:dyDescent="0.25">
      <c r="E126" s="6">
        <v>134</v>
      </c>
      <c r="F126" s="39">
        <f t="shared" si="7"/>
        <v>280.99999999999955</v>
      </c>
      <c r="H126" s="6">
        <v>125</v>
      </c>
      <c r="I126" s="43">
        <v>2</v>
      </c>
      <c r="J126" s="6">
        <f t="shared" si="8"/>
        <v>253.5</v>
      </c>
    </row>
    <row r="127" spans="5:10" x14ac:dyDescent="0.25">
      <c r="E127" s="6">
        <v>135</v>
      </c>
      <c r="F127" s="39">
        <f t="shared" si="7"/>
        <v>282.99999999999955</v>
      </c>
      <c r="H127" s="6">
        <v>126</v>
      </c>
      <c r="I127" s="43">
        <v>2</v>
      </c>
      <c r="J127" s="6">
        <f t="shared" si="8"/>
        <v>255.5</v>
      </c>
    </row>
    <row r="128" spans="5:10" x14ac:dyDescent="0.25">
      <c r="E128" s="6">
        <v>136</v>
      </c>
      <c r="F128" s="39">
        <f t="shared" si="7"/>
        <v>284.99999999999955</v>
      </c>
      <c r="H128" s="6">
        <v>127</v>
      </c>
      <c r="I128" s="43">
        <v>2</v>
      </c>
      <c r="J128" s="6">
        <f t="shared" si="8"/>
        <v>257.5</v>
      </c>
    </row>
    <row r="129" spans="5:10" x14ac:dyDescent="0.25">
      <c r="E129" s="6">
        <v>137</v>
      </c>
      <c r="F129" s="39">
        <f t="shared" si="7"/>
        <v>286.99999999999955</v>
      </c>
      <c r="H129" s="6">
        <v>128</v>
      </c>
      <c r="I129" s="43">
        <v>2</v>
      </c>
      <c r="J129" s="6">
        <f t="shared" si="8"/>
        <v>259.5</v>
      </c>
    </row>
    <row r="130" spans="5:10" x14ac:dyDescent="0.25">
      <c r="E130" s="6">
        <v>138</v>
      </c>
      <c r="F130" s="39">
        <f t="shared" si="7"/>
        <v>288.99999999999955</v>
      </c>
      <c r="H130" s="6">
        <v>129</v>
      </c>
      <c r="I130" s="43">
        <v>2</v>
      </c>
      <c r="J130" s="6">
        <f t="shared" si="8"/>
        <v>261.5</v>
      </c>
    </row>
    <row r="131" spans="5:10" x14ac:dyDescent="0.25">
      <c r="E131" s="6">
        <v>139</v>
      </c>
      <c r="F131" s="39">
        <f t="shared" si="7"/>
        <v>290.99999999999955</v>
      </c>
      <c r="H131" s="6">
        <v>130</v>
      </c>
      <c r="I131" s="43">
        <v>2</v>
      </c>
      <c r="J131" s="6">
        <f t="shared" si="8"/>
        <v>263.5</v>
      </c>
    </row>
    <row r="132" spans="5:10" x14ac:dyDescent="0.25">
      <c r="E132" s="6">
        <v>140</v>
      </c>
      <c r="F132" s="39">
        <f t="shared" si="7"/>
        <v>292.99999999999955</v>
      </c>
      <c r="H132" s="6">
        <v>131</v>
      </c>
      <c r="I132" s="43">
        <v>2</v>
      </c>
      <c r="J132" s="6">
        <f t="shared" si="8"/>
        <v>265.5</v>
      </c>
    </row>
    <row r="133" spans="5:10" x14ac:dyDescent="0.25">
      <c r="E133" s="6">
        <v>141</v>
      </c>
      <c r="F133" s="39">
        <f t="shared" si="7"/>
        <v>294.99999999999955</v>
      </c>
      <c r="H133" s="6">
        <v>132</v>
      </c>
      <c r="I133" s="43">
        <v>2</v>
      </c>
      <c r="J133" s="6">
        <f t="shared" si="8"/>
        <v>267.5</v>
      </c>
    </row>
    <row r="134" spans="5:10" x14ac:dyDescent="0.25">
      <c r="E134" s="6">
        <v>142</v>
      </c>
      <c r="F134" s="39">
        <f t="shared" si="7"/>
        <v>296.99999999999955</v>
      </c>
      <c r="H134" s="6">
        <v>133</v>
      </c>
      <c r="I134" s="43">
        <v>2</v>
      </c>
      <c r="J134" s="6">
        <f t="shared" si="8"/>
        <v>269.5</v>
      </c>
    </row>
    <row r="135" spans="5:10" x14ac:dyDescent="0.25">
      <c r="E135" s="6">
        <v>143</v>
      </c>
      <c r="F135" s="39">
        <f t="shared" si="7"/>
        <v>298.99999999999955</v>
      </c>
      <c r="H135" s="6">
        <v>134</v>
      </c>
      <c r="I135" s="43">
        <v>2</v>
      </c>
      <c r="J135" s="6">
        <f t="shared" si="8"/>
        <v>271.5</v>
      </c>
    </row>
    <row r="136" spans="5:10" x14ac:dyDescent="0.25">
      <c r="E136" s="6">
        <v>144</v>
      </c>
      <c r="F136" s="39">
        <f t="shared" si="7"/>
        <v>300.99999999999955</v>
      </c>
      <c r="H136" s="6">
        <v>135</v>
      </c>
      <c r="I136" s="43">
        <v>2</v>
      </c>
      <c r="J136" s="6">
        <f t="shared" si="8"/>
        <v>273.5</v>
      </c>
    </row>
    <row r="137" spans="5:10" x14ac:dyDescent="0.25">
      <c r="E137" s="6">
        <v>145</v>
      </c>
      <c r="F137" s="39">
        <f t="shared" si="7"/>
        <v>302.99999999999955</v>
      </c>
      <c r="H137" s="6">
        <v>136</v>
      </c>
      <c r="I137" s="43">
        <v>2</v>
      </c>
      <c r="J137" s="6">
        <f t="shared" si="8"/>
        <v>275.5</v>
      </c>
    </row>
    <row r="138" spans="5:10" x14ac:dyDescent="0.25">
      <c r="E138" s="6">
        <v>146</v>
      </c>
      <c r="F138" s="39">
        <f t="shared" si="7"/>
        <v>304.99999999999955</v>
      </c>
      <c r="H138" s="6">
        <v>137</v>
      </c>
      <c r="I138" s="43">
        <v>2</v>
      </c>
      <c r="J138" s="6">
        <f t="shared" si="8"/>
        <v>277.5</v>
      </c>
    </row>
    <row r="139" spans="5:10" x14ac:dyDescent="0.25">
      <c r="E139" s="6">
        <v>147</v>
      </c>
      <c r="F139" s="39">
        <f t="shared" si="7"/>
        <v>306.99999999999955</v>
      </c>
      <c r="H139" s="6">
        <v>138</v>
      </c>
      <c r="I139" s="43">
        <v>2</v>
      </c>
      <c r="J139" s="6">
        <f t="shared" si="8"/>
        <v>279.5</v>
      </c>
    </row>
    <row r="140" spans="5:10" x14ac:dyDescent="0.25">
      <c r="E140" s="6">
        <v>148</v>
      </c>
      <c r="F140" s="39">
        <f t="shared" si="7"/>
        <v>308.99999999999955</v>
      </c>
      <c r="H140" s="6">
        <v>139</v>
      </c>
      <c r="I140" s="43">
        <v>2</v>
      </c>
      <c r="J140" s="6">
        <f t="shared" si="8"/>
        <v>281.5</v>
      </c>
    </row>
    <row r="141" spans="5:10" x14ac:dyDescent="0.25">
      <c r="E141" s="6">
        <v>149</v>
      </c>
      <c r="F141" s="39">
        <f t="shared" si="7"/>
        <v>310.99999999999955</v>
      </c>
      <c r="H141" s="6">
        <v>140</v>
      </c>
      <c r="I141" s="43">
        <v>2</v>
      </c>
      <c r="J141" s="6">
        <f t="shared" si="8"/>
        <v>283.5</v>
      </c>
    </row>
    <row r="142" spans="5:10" x14ac:dyDescent="0.25">
      <c r="E142" s="6">
        <v>150</v>
      </c>
      <c r="F142" s="39">
        <f t="shared" si="7"/>
        <v>312.99999999999955</v>
      </c>
      <c r="H142" s="6">
        <v>141</v>
      </c>
      <c r="I142" s="43">
        <v>2</v>
      </c>
      <c r="J142" s="6">
        <f t="shared" si="8"/>
        <v>285.5</v>
      </c>
    </row>
    <row r="143" spans="5:10" x14ac:dyDescent="0.25">
      <c r="E143" s="6">
        <v>151</v>
      </c>
      <c r="F143" s="39">
        <f t="shared" si="7"/>
        <v>314.99999999999955</v>
      </c>
      <c r="H143" s="6">
        <v>142</v>
      </c>
      <c r="I143" s="43">
        <v>2</v>
      </c>
      <c r="J143" s="6">
        <f t="shared" si="8"/>
        <v>287.5</v>
      </c>
    </row>
    <row r="144" spans="5:10" x14ac:dyDescent="0.25">
      <c r="E144" s="6">
        <v>152</v>
      </c>
      <c r="F144" s="39">
        <f t="shared" si="7"/>
        <v>316.99999999999955</v>
      </c>
      <c r="H144" s="6">
        <v>143</v>
      </c>
      <c r="I144" s="43">
        <v>2</v>
      </c>
      <c r="J144" s="6">
        <f t="shared" si="8"/>
        <v>289.5</v>
      </c>
    </row>
    <row r="145" spans="5:10" x14ac:dyDescent="0.25">
      <c r="E145" s="6">
        <v>153</v>
      </c>
      <c r="F145" s="39">
        <f t="shared" si="7"/>
        <v>318.99999999999955</v>
      </c>
      <c r="H145" s="6">
        <v>144</v>
      </c>
      <c r="I145" s="43">
        <v>2</v>
      </c>
      <c r="J145" s="6">
        <f t="shared" si="8"/>
        <v>291.5</v>
      </c>
    </row>
    <row r="146" spans="5:10" x14ac:dyDescent="0.25">
      <c r="E146" s="6">
        <v>154</v>
      </c>
      <c r="F146" s="39">
        <f t="shared" si="7"/>
        <v>320.99999999999955</v>
      </c>
      <c r="H146" s="6">
        <v>145</v>
      </c>
      <c r="I146" s="43">
        <v>2</v>
      </c>
      <c r="J146" s="6">
        <f t="shared" si="8"/>
        <v>293.5</v>
      </c>
    </row>
    <row r="147" spans="5:10" x14ac:dyDescent="0.25">
      <c r="E147" s="6">
        <v>155</v>
      </c>
      <c r="F147" s="39">
        <f t="shared" si="7"/>
        <v>322.99999999999955</v>
      </c>
      <c r="H147" s="6">
        <v>146</v>
      </c>
      <c r="I147" s="43">
        <v>2</v>
      </c>
      <c r="J147" s="6">
        <f t="shared" si="8"/>
        <v>295.5</v>
      </c>
    </row>
    <row r="148" spans="5:10" x14ac:dyDescent="0.25">
      <c r="E148" s="6">
        <v>156</v>
      </c>
      <c r="F148" s="39">
        <f t="shared" si="7"/>
        <v>324.99999999999955</v>
      </c>
      <c r="H148" s="6">
        <v>147</v>
      </c>
      <c r="I148" s="43">
        <v>2</v>
      </c>
      <c r="J148" s="6">
        <f t="shared" si="8"/>
        <v>297.5</v>
      </c>
    </row>
    <row r="149" spans="5:10" x14ac:dyDescent="0.25">
      <c r="E149" s="6">
        <v>157</v>
      </c>
      <c r="F149" s="39">
        <f t="shared" si="7"/>
        <v>326.99999999999955</v>
      </c>
      <c r="H149" s="6">
        <v>148</v>
      </c>
      <c r="I149" s="43">
        <v>2</v>
      </c>
      <c r="J149" s="6">
        <f t="shared" si="8"/>
        <v>299.5</v>
      </c>
    </row>
    <row r="150" spans="5:10" x14ac:dyDescent="0.25">
      <c r="E150" s="6">
        <v>158</v>
      </c>
      <c r="F150" s="39">
        <f t="shared" si="7"/>
        <v>328.99999999999955</v>
      </c>
      <c r="H150" s="6">
        <v>149</v>
      </c>
      <c r="I150" s="43">
        <v>2</v>
      </c>
      <c r="J150" s="6">
        <f t="shared" si="8"/>
        <v>301.5</v>
      </c>
    </row>
    <row r="151" spans="5:10" x14ac:dyDescent="0.25">
      <c r="E151" s="6">
        <v>159</v>
      </c>
      <c r="F151" s="39">
        <f t="shared" si="7"/>
        <v>330.99999999999955</v>
      </c>
      <c r="H151" s="6">
        <v>150</v>
      </c>
      <c r="I151" s="43">
        <v>2</v>
      </c>
      <c r="J151" s="6">
        <f t="shared" si="8"/>
        <v>303.5</v>
      </c>
    </row>
    <row r="152" spans="5:10" x14ac:dyDescent="0.25">
      <c r="E152" s="6">
        <v>160</v>
      </c>
      <c r="F152" s="39">
        <f t="shared" si="7"/>
        <v>332.99999999999955</v>
      </c>
      <c r="H152" s="6">
        <v>151</v>
      </c>
      <c r="I152" s="43">
        <v>2</v>
      </c>
      <c r="J152" s="6">
        <f t="shared" si="8"/>
        <v>305.5</v>
      </c>
    </row>
    <row r="153" spans="5:10" x14ac:dyDescent="0.25">
      <c r="E153" s="6">
        <v>161</v>
      </c>
      <c r="F153" s="39">
        <f t="shared" si="7"/>
        <v>334.99999999999955</v>
      </c>
      <c r="H153" s="6">
        <v>152</v>
      </c>
      <c r="I153" s="43">
        <v>2</v>
      </c>
      <c r="J153" s="6">
        <f t="shared" si="8"/>
        <v>307.5</v>
      </c>
    </row>
    <row r="154" spans="5:10" x14ac:dyDescent="0.25">
      <c r="E154" s="6">
        <v>162</v>
      </c>
      <c r="F154" s="39">
        <f t="shared" si="7"/>
        <v>336.99999999999955</v>
      </c>
      <c r="H154" s="6">
        <v>153</v>
      </c>
      <c r="I154" s="43">
        <v>2</v>
      </c>
      <c r="J154" s="6">
        <f t="shared" si="8"/>
        <v>309.5</v>
      </c>
    </row>
    <row r="155" spans="5:10" x14ac:dyDescent="0.25">
      <c r="E155" s="6">
        <v>163</v>
      </c>
      <c r="F155" s="39">
        <f t="shared" si="7"/>
        <v>338.99999999999955</v>
      </c>
      <c r="H155" s="6">
        <v>154</v>
      </c>
      <c r="I155" s="43">
        <v>2</v>
      </c>
      <c r="J155" s="6">
        <f t="shared" si="8"/>
        <v>311.5</v>
      </c>
    </row>
    <row r="156" spans="5:10" x14ac:dyDescent="0.25">
      <c r="E156" s="6">
        <v>164</v>
      </c>
      <c r="F156" s="39">
        <f t="shared" si="7"/>
        <v>340.99999999999955</v>
      </c>
      <c r="H156" s="6">
        <v>155</v>
      </c>
      <c r="I156" s="43">
        <v>2</v>
      </c>
      <c r="J156" s="6">
        <f t="shared" si="8"/>
        <v>313.5</v>
      </c>
    </row>
    <row r="157" spans="5:10" x14ac:dyDescent="0.25">
      <c r="E157" s="6">
        <v>165</v>
      </c>
      <c r="F157" s="39">
        <f t="shared" si="7"/>
        <v>342.99999999999955</v>
      </c>
      <c r="H157" s="6">
        <v>156</v>
      </c>
      <c r="I157" s="43">
        <v>2</v>
      </c>
      <c r="J157" s="6">
        <f t="shared" si="8"/>
        <v>315.5</v>
      </c>
    </row>
    <row r="158" spans="5:10" x14ac:dyDescent="0.25">
      <c r="E158" s="6">
        <v>166</v>
      </c>
      <c r="F158" s="39">
        <f t="shared" ref="F158:F221" si="9">F157+C$4</f>
        <v>344.99999999999955</v>
      </c>
      <c r="H158" s="6">
        <v>157</v>
      </c>
      <c r="I158" s="43">
        <v>2</v>
      </c>
      <c r="J158" s="6">
        <f t="shared" si="8"/>
        <v>317.5</v>
      </c>
    </row>
    <row r="159" spans="5:10" x14ac:dyDescent="0.25">
      <c r="E159" s="6">
        <v>167</v>
      </c>
      <c r="F159" s="39">
        <f t="shared" si="9"/>
        <v>346.99999999999955</v>
      </c>
      <c r="H159" s="6">
        <v>158</v>
      </c>
      <c r="I159" s="43">
        <v>2</v>
      </c>
      <c r="J159" s="6">
        <f t="shared" si="8"/>
        <v>319.5</v>
      </c>
    </row>
    <row r="160" spans="5:10" x14ac:dyDescent="0.25">
      <c r="E160" s="6">
        <v>168</v>
      </c>
      <c r="F160" s="39">
        <f t="shared" si="9"/>
        <v>348.99999999999955</v>
      </c>
      <c r="H160" s="6">
        <v>159</v>
      </c>
      <c r="I160" s="43">
        <v>2</v>
      </c>
      <c r="J160" s="6">
        <f t="shared" ref="J160:J223" si="10">J159+I160</f>
        <v>321.5</v>
      </c>
    </row>
    <row r="161" spans="5:10" x14ac:dyDescent="0.25">
      <c r="E161" s="6">
        <v>169</v>
      </c>
      <c r="F161" s="39">
        <f t="shared" si="9"/>
        <v>350.99999999999955</v>
      </c>
      <c r="H161" s="6">
        <v>160</v>
      </c>
      <c r="I161" s="43">
        <v>2</v>
      </c>
      <c r="J161" s="6">
        <f t="shared" si="10"/>
        <v>323.5</v>
      </c>
    </row>
    <row r="162" spans="5:10" x14ac:dyDescent="0.25">
      <c r="E162" s="6">
        <v>170</v>
      </c>
      <c r="F162" s="39">
        <f t="shared" si="9"/>
        <v>352.99999999999955</v>
      </c>
      <c r="H162" s="6">
        <v>161</v>
      </c>
      <c r="I162" s="43">
        <v>2</v>
      </c>
      <c r="J162" s="6">
        <f t="shared" si="10"/>
        <v>325.5</v>
      </c>
    </row>
    <row r="163" spans="5:10" x14ac:dyDescent="0.25">
      <c r="E163" s="6">
        <v>171</v>
      </c>
      <c r="F163" s="39">
        <f t="shared" si="9"/>
        <v>354.99999999999955</v>
      </c>
      <c r="H163" s="6">
        <v>162</v>
      </c>
      <c r="I163" s="43">
        <v>2</v>
      </c>
      <c r="J163" s="6">
        <f t="shared" si="10"/>
        <v>327.5</v>
      </c>
    </row>
    <row r="164" spans="5:10" x14ac:dyDescent="0.25">
      <c r="E164" s="6">
        <v>172</v>
      </c>
      <c r="F164" s="39">
        <f t="shared" si="9"/>
        <v>356.99999999999955</v>
      </c>
      <c r="H164" s="6">
        <v>163</v>
      </c>
      <c r="I164" s="43">
        <v>2</v>
      </c>
      <c r="J164" s="6">
        <f t="shared" si="10"/>
        <v>329.5</v>
      </c>
    </row>
    <row r="165" spans="5:10" x14ac:dyDescent="0.25">
      <c r="E165" s="6">
        <v>173</v>
      </c>
      <c r="F165" s="39">
        <f t="shared" si="9"/>
        <v>358.99999999999955</v>
      </c>
      <c r="H165" s="6">
        <v>164</v>
      </c>
      <c r="I165" s="43">
        <v>2</v>
      </c>
      <c r="J165" s="6">
        <f t="shared" si="10"/>
        <v>331.5</v>
      </c>
    </row>
    <row r="166" spans="5:10" x14ac:dyDescent="0.25">
      <c r="E166" s="6">
        <v>174</v>
      </c>
      <c r="F166" s="39">
        <f t="shared" si="9"/>
        <v>360.99999999999955</v>
      </c>
      <c r="H166" s="6">
        <v>165</v>
      </c>
      <c r="I166" s="43">
        <v>2</v>
      </c>
      <c r="J166" s="6">
        <f t="shared" si="10"/>
        <v>333.5</v>
      </c>
    </row>
    <row r="167" spans="5:10" x14ac:dyDescent="0.25">
      <c r="E167" s="6">
        <v>175</v>
      </c>
      <c r="F167" s="39">
        <f t="shared" si="9"/>
        <v>362.99999999999955</v>
      </c>
      <c r="H167" s="6">
        <v>166</v>
      </c>
      <c r="I167" s="43">
        <v>2</v>
      </c>
      <c r="J167" s="6">
        <f t="shared" si="10"/>
        <v>335.5</v>
      </c>
    </row>
    <row r="168" spans="5:10" x14ac:dyDescent="0.25">
      <c r="E168" s="6">
        <v>176</v>
      </c>
      <c r="F168" s="39">
        <f t="shared" si="9"/>
        <v>364.99999999999955</v>
      </c>
      <c r="H168" s="6">
        <v>167</v>
      </c>
      <c r="I168" s="43">
        <v>2</v>
      </c>
      <c r="J168" s="6">
        <f t="shared" si="10"/>
        <v>337.5</v>
      </c>
    </row>
    <row r="169" spans="5:10" x14ac:dyDescent="0.25">
      <c r="E169" s="6">
        <v>177</v>
      </c>
      <c r="F169" s="39">
        <f t="shared" si="9"/>
        <v>366.99999999999955</v>
      </c>
      <c r="H169" s="6">
        <v>168</v>
      </c>
      <c r="I169" s="43">
        <v>2</v>
      </c>
      <c r="J169" s="6">
        <f t="shared" si="10"/>
        <v>339.5</v>
      </c>
    </row>
    <row r="170" spans="5:10" x14ac:dyDescent="0.25">
      <c r="E170" s="6">
        <v>178</v>
      </c>
      <c r="F170" s="39">
        <f t="shared" si="9"/>
        <v>368.99999999999955</v>
      </c>
      <c r="H170" s="6">
        <v>169</v>
      </c>
      <c r="I170" s="43">
        <v>2</v>
      </c>
      <c r="J170" s="6">
        <f t="shared" si="10"/>
        <v>341.5</v>
      </c>
    </row>
    <row r="171" spans="5:10" x14ac:dyDescent="0.25">
      <c r="E171" s="6">
        <v>179</v>
      </c>
      <c r="F171" s="39">
        <f t="shared" si="9"/>
        <v>370.99999999999955</v>
      </c>
      <c r="H171" s="6">
        <v>170</v>
      </c>
      <c r="I171" s="43">
        <v>2</v>
      </c>
      <c r="J171" s="6">
        <f t="shared" si="10"/>
        <v>343.5</v>
      </c>
    </row>
    <row r="172" spans="5:10" x14ac:dyDescent="0.25">
      <c r="E172" s="6">
        <v>180</v>
      </c>
      <c r="F172" s="39">
        <f t="shared" si="9"/>
        <v>372.99999999999955</v>
      </c>
      <c r="H172" s="6">
        <v>171</v>
      </c>
      <c r="I172" s="43">
        <v>2</v>
      </c>
      <c r="J172" s="6">
        <f t="shared" si="10"/>
        <v>345.5</v>
      </c>
    </row>
    <row r="173" spans="5:10" x14ac:dyDescent="0.25">
      <c r="E173" s="6">
        <v>181</v>
      </c>
      <c r="F173" s="39">
        <f t="shared" si="9"/>
        <v>374.99999999999955</v>
      </c>
      <c r="H173" s="6">
        <v>172</v>
      </c>
      <c r="I173" s="43">
        <v>2</v>
      </c>
      <c r="J173" s="6">
        <f t="shared" si="10"/>
        <v>347.5</v>
      </c>
    </row>
    <row r="174" spans="5:10" x14ac:dyDescent="0.25">
      <c r="E174" s="6">
        <v>182</v>
      </c>
      <c r="F174" s="39">
        <f t="shared" si="9"/>
        <v>376.99999999999955</v>
      </c>
      <c r="H174" s="6">
        <v>173</v>
      </c>
      <c r="I174" s="43">
        <v>2</v>
      </c>
      <c r="J174" s="6">
        <f t="shared" si="10"/>
        <v>349.5</v>
      </c>
    </row>
    <row r="175" spans="5:10" x14ac:dyDescent="0.25">
      <c r="E175" s="6">
        <v>183</v>
      </c>
      <c r="F175" s="39">
        <f t="shared" si="9"/>
        <v>378.99999999999955</v>
      </c>
      <c r="H175" s="6">
        <v>174</v>
      </c>
      <c r="I175" s="43">
        <v>2</v>
      </c>
      <c r="J175" s="6">
        <f t="shared" si="10"/>
        <v>351.5</v>
      </c>
    </row>
    <row r="176" spans="5:10" x14ac:dyDescent="0.25">
      <c r="E176" s="6">
        <v>184</v>
      </c>
      <c r="F176" s="39">
        <f t="shared" si="9"/>
        <v>380.99999999999955</v>
      </c>
      <c r="H176" s="6">
        <v>175</v>
      </c>
      <c r="I176" s="43">
        <v>2</v>
      </c>
      <c r="J176" s="6">
        <f t="shared" si="10"/>
        <v>353.5</v>
      </c>
    </row>
    <row r="177" spans="5:10" x14ac:dyDescent="0.25">
      <c r="E177" s="6">
        <v>185</v>
      </c>
      <c r="F177" s="39">
        <f t="shared" si="9"/>
        <v>382.99999999999955</v>
      </c>
      <c r="H177" s="6">
        <v>176</v>
      </c>
      <c r="I177" s="43">
        <v>2</v>
      </c>
      <c r="J177" s="6">
        <f t="shared" si="10"/>
        <v>355.5</v>
      </c>
    </row>
    <row r="178" spans="5:10" x14ac:dyDescent="0.25">
      <c r="E178" s="6">
        <v>186</v>
      </c>
      <c r="F178" s="39">
        <f t="shared" si="9"/>
        <v>384.99999999999955</v>
      </c>
      <c r="H178" s="6">
        <v>177</v>
      </c>
      <c r="I178" s="43">
        <v>2</v>
      </c>
      <c r="J178" s="6">
        <f t="shared" si="10"/>
        <v>357.5</v>
      </c>
    </row>
    <row r="179" spans="5:10" x14ac:dyDescent="0.25">
      <c r="E179" s="6">
        <v>187</v>
      </c>
      <c r="F179" s="39">
        <f t="shared" si="9"/>
        <v>386.99999999999955</v>
      </c>
      <c r="H179" s="6">
        <v>178</v>
      </c>
      <c r="I179" s="43">
        <v>2</v>
      </c>
      <c r="J179" s="6">
        <f t="shared" si="10"/>
        <v>359.5</v>
      </c>
    </row>
    <row r="180" spans="5:10" x14ac:dyDescent="0.25">
      <c r="E180" s="6">
        <v>188</v>
      </c>
      <c r="F180" s="39">
        <f t="shared" si="9"/>
        <v>388.99999999999955</v>
      </c>
      <c r="H180" s="6">
        <v>179</v>
      </c>
      <c r="I180" s="43">
        <v>2</v>
      </c>
      <c r="J180" s="6">
        <f t="shared" si="10"/>
        <v>361.5</v>
      </c>
    </row>
    <row r="181" spans="5:10" x14ac:dyDescent="0.25">
      <c r="E181" s="6">
        <v>189</v>
      </c>
      <c r="F181" s="39">
        <f t="shared" si="9"/>
        <v>390.99999999999955</v>
      </c>
      <c r="H181" s="6">
        <v>180</v>
      </c>
      <c r="I181" s="43">
        <v>2</v>
      </c>
      <c r="J181" s="6">
        <f t="shared" si="10"/>
        <v>363.5</v>
      </c>
    </row>
    <row r="182" spans="5:10" x14ac:dyDescent="0.25">
      <c r="E182" s="6">
        <v>190</v>
      </c>
      <c r="F182" s="39">
        <f t="shared" si="9"/>
        <v>392.99999999999955</v>
      </c>
      <c r="H182" s="6">
        <v>181</v>
      </c>
      <c r="I182" s="43">
        <v>2</v>
      </c>
      <c r="J182" s="6">
        <f t="shared" si="10"/>
        <v>365.5</v>
      </c>
    </row>
    <row r="183" spans="5:10" x14ac:dyDescent="0.25">
      <c r="E183" s="6">
        <v>191</v>
      </c>
      <c r="F183" s="39">
        <f t="shared" si="9"/>
        <v>394.99999999999955</v>
      </c>
      <c r="H183" s="6">
        <v>182</v>
      </c>
      <c r="I183" s="43">
        <v>2</v>
      </c>
      <c r="J183" s="6">
        <f t="shared" si="10"/>
        <v>367.5</v>
      </c>
    </row>
    <row r="184" spans="5:10" x14ac:dyDescent="0.25">
      <c r="E184" s="6">
        <v>192</v>
      </c>
      <c r="F184" s="39">
        <f t="shared" si="9"/>
        <v>396.99999999999955</v>
      </c>
      <c r="H184" s="6">
        <v>183</v>
      </c>
      <c r="I184" s="43">
        <v>2</v>
      </c>
      <c r="J184" s="6">
        <f t="shared" si="10"/>
        <v>369.5</v>
      </c>
    </row>
    <row r="185" spans="5:10" x14ac:dyDescent="0.25">
      <c r="E185" s="6">
        <v>193</v>
      </c>
      <c r="F185" s="39">
        <f t="shared" si="9"/>
        <v>398.99999999999955</v>
      </c>
      <c r="H185" s="6">
        <v>184</v>
      </c>
      <c r="I185" s="43">
        <v>2</v>
      </c>
      <c r="J185" s="6">
        <f t="shared" si="10"/>
        <v>371.5</v>
      </c>
    </row>
    <row r="186" spans="5:10" x14ac:dyDescent="0.25">
      <c r="E186" s="6">
        <v>194</v>
      </c>
      <c r="F186" s="39">
        <f t="shared" si="9"/>
        <v>400.99999999999955</v>
      </c>
      <c r="H186" s="6">
        <v>185</v>
      </c>
      <c r="I186" s="43">
        <v>2</v>
      </c>
      <c r="J186" s="6">
        <f t="shared" si="10"/>
        <v>373.5</v>
      </c>
    </row>
    <row r="187" spans="5:10" x14ac:dyDescent="0.25">
      <c r="E187" s="6">
        <v>195</v>
      </c>
      <c r="F187" s="39">
        <f t="shared" si="9"/>
        <v>402.99999999999955</v>
      </c>
      <c r="H187" s="6">
        <v>186</v>
      </c>
      <c r="I187" s="43">
        <v>2</v>
      </c>
      <c r="J187" s="6">
        <f t="shared" si="10"/>
        <v>375.5</v>
      </c>
    </row>
    <row r="188" spans="5:10" x14ac:dyDescent="0.25">
      <c r="E188" s="6">
        <v>196</v>
      </c>
      <c r="F188" s="39">
        <f t="shared" si="9"/>
        <v>404.99999999999955</v>
      </c>
      <c r="H188" s="6">
        <v>187</v>
      </c>
      <c r="I188" s="43">
        <v>2</v>
      </c>
      <c r="J188" s="6">
        <f t="shared" si="10"/>
        <v>377.5</v>
      </c>
    </row>
    <row r="189" spans="5:10" x14ac:dyDescent="0.25">
      <c r="E189" s="6">
        <v>197</v>
      </c>
      <c r="F189" s="39">
        <f t="shared" si="9"/>
        <v>406.99999999999955</v>
      </c>
      <c r="H189" s="6">
        <v>188</v>
      </c>
      <c r="I189" s="43">
        <v>2</v>
      </c>
      <c r="J189" s="6">
        <f t="shared" si="10"/>
        <v>379.5</v>
      </c>
    </row>
    <row r="190" spans="5:10" x14ac:dyDescent="0.25">
      <c r="E190" s="6">
        <v>198</v>
      </c>
      <c r="F190" s="39">
        <f t="shared" si="9"/>
        <v>408.99999999999955</v>
      </c>
      <c r="H190" s="6">
        <v>189</v>
      </c>
      <c r="I190" s="43">
        <v>2</v>
      </c>
      <c r="J190" s="6">
        <f t="shared" si="10"/>
        <v>381.5</v>
      </c>
    </row>
    <row r="191" spans="5:10" x14ac:dyDescent="0.25">
      <c r="E191" s="6">
        <v>199</v>
      </c>
      <c r="F191" s="39">
        <f t="shared" si="9"/>
        <v>410.99999999999955</v>
      </c>
      <c r="H191" s="6">
        <v>190</v>
      </c>
      <c r="I191" s="43">
        <v>2</v>
      </c>
      <c r="J191" s="6">
        <f t="shared" si="10"/>
        <v>383.5</v>
      </c>
    </row>
    <row r="192" spans="5:10" x14ac:dyDescent="0.25">
      <c r="E192" s="6">
        <v>200</v>
      </c>
      <c r="F192" s="39">
        <f t="shared" si="9"/>
        <v>412.99999999999955</v>
      </c>
      <c r="H192" s="6">
        <v>191</v>
      </c>
      <c r="I192" s="43">
        <v>2</v>
      </c>
      <c r="J192" s="6">
        <f t="shared" si="10"/>
        <v>385.5</v>
      </c>
    </row>
    <row r="193" spans="5:10" x14ac:dyDescent="0.25">
      <c r="E193" s="6">
        <v>201</v>
      </c>
      <c r="F193" s="39">
        <f t="shared" si="9"/>
        <v>414.99999999999955</v>
      </c>
      <c r="H193" s="6">
        <v>192</v>
      </c>
      <c r="I193" s="43">
        <v>2</v>
      </c>
      <c r="J193" s="6">
        <f t="shared" si="10"/>
        <v>387.5</v>
      </c>
    </row>
    <row r="194" spans="5:10" x14ac:dyDescent="0.25">
      <c r="E194" s="6">
        <v>202</v>
      </c>
      <c r="F194" s="39">
        <f t="shared" si="9"/>
        <v>416.99999999999955</v>
      </c>
      <c r="H194" s="6">
        <v>193</v>
      </c>
      <c r="I194" s="43">
        <v>2</v>
      </c>
      <c r="J194" s="6">
        <f t="shared" si="10"/>
        <v>389.5</v>
      </c>
    </row>
    <row r="195" spans="5:10" x14ac:dyDescent="0.25">
      <c r="E195" s="6">
        <v>203</v>
      </c>
      <c r="F195" s="39">
        <f t="shared" si="9"/>
        <v>418.99999999999955</v>
      </c>
      <c r="H195" s="6">
        <v>194</v>
      </c>
      <c r="I195" s="43">
        <v>2</v>
      </c>
      <c r="J195" s="6">
        <f t="shared" si="10"/>
        <v>391.5</v>
      </c>
    </row>
    <row r="196" spans="5:10" x14ac:dyDescent="0.25">
      <c r="E196" s="6">
        <v>204</v>
      </c>
      <c r="F196" s="39">
        <f t="shared" si="9"/>
        <v>420.99999999999955</v>
      </c>
      <c r="H196" s="6">
        <v>195</v>
      </c>
      <c r="I196" s="43">
        <v>2</v>
      </c>
      <c r="J196" s="6">
        <f t="shared" si="10"/>
        <v>393.5</v>
      </c>
    </row>
    <row r="197" spans="5:10" x14ac:dyDescent="0.25">
      <c r="E197" s="6">
        <v>205</v>
      </c>
      <c r="F197" s="39">
        <f t="shared" si="9"/>
        <v>422.99999999999955</v>
      </c>
      <c r="H197" s="6">
        <v>196</v>
      </c>
      <c r="I197" s="43">
        <v>2</v>
      </c>
      <c r="J197" s="6">
        <f t="shared" si="10"/>
        <v>395.5</v>
      </c>
    </row>
    <row r="198" spans="5:10" x14ac:dyDescent="0.25">
      <c r="E198" s="6">
        <v>206</v>
      </c>
      <c r="F198" s="39">
        <f t="shared" si="9"/>
        <v>424.99999999999955</v>
      </c>
      <c r="H198" s="6">
        <v>197</v>
      </c>
      <c r="I198" s="43">
        <v>2</v>
      </c>
      <c r="J198" s="6">
        <f t="shared" si="10"/>
        <v>397.5</v>
      </c>
    </row>
    <row r="199" spans="5:10" x14ac:dyDescent="0.25">
      <c r="E199" s="6">
        <v>207</v>
      </c>
      <c r="F199" s="39">
        <f t="shared" si="9"/>
        <v>426.99999999999955</v>
      </c>
      <c r="H199" s="6">
        <v>198</v>
      </c>
      <c r="I199" s="43">
        <v>2</v>
      </c>
      <c r="J199" s="6">
        <f t="shared" si="10"/>
        <v>399.5</v>
      </c>
    </row>
    <row r="200" spans="5:10" x14ac:dyDescent="0.25">
      <c r="E200" s="6">
        <v>208</v>
      </c>
      <c r="F200" s="39">
        <f t="shared" si="9"/>
        <v>428.99999999999955</v>
      </c>
      <c r="H200" s="6">
        <v>199</v>
      </c>
      <c r="I200" s="43">
        <v>2</v>
      </c>
      <c r="J200" s="6">
        <f t="shared" si="10"/>
        <v>401.5</v>
      </c>
    </row>
    <row r="201" spans="5:10" x14ac:dyDescent="0.25">
      <c r="E201" s="6">
        <v>209</v>
      </c>
      <c r="F201" s="39">
        <f t="shared" si="9"/>
        <v>430.99999999999955</v>
      </c>
      <c r="H201" s="6">
        <v>200</v>
      </c>
      <c r="I201" s="43">
        <v>2</v>
      </c>
      <c r="J201" s="6">
        <f t="shared" si="10"/>
        <v>403.5</v>
      </c>
    </row>
    <row r="202" spans="5:10" x14ac:dyDescent="0.25">
      <c r="E202" s="6">
        <v>210</v>
      </c>
      <c r="F202" s="39">
        <f t="shared" si="9"/>
        <v>432.99999999999955</v>
      </c>
      <c r="H202" s="6">
        <v>201</v>
      </c>
      <c r="I202" s="43">
        <v>2</v>
      </c>
      <c r="J202" s="6">
        <f t="shared" si="10"/>
        <v>405.5</v>
      </c>
    </row>
    <row r="203" spans="5:10" x14ac:dyDescent="0.25">
      <c r="E203" s="6">
        <v>211</v>
      </c>
      <c r="F203" s="39">
        <f t="shared" si="9"/>
        <v>434.99999999999955</v>
      </c>
      <c r="H203" s="6">
        <v>202</v>
      </c>
      <c r="I203" s="43">
        <v>2</v>
      </c>
      <c r="J203" s="6">
        <f t="shared" si="10"/>
        <v>407.5</v>
      </c>
    </row>
    <row r="204" spans="5:10" x14ac:dyDescent="0.25">
      <c r="E204" s="6">
        <v>212</v>
      </c>
      <c r="F204" s="39">
        <f t="shared" si="9"/>
        <v>436.99999999999955</v>
      </c>
      <c r="H204" s="6">
        <v>203</v>
      </c>
      <c r="I204" s="43">
        <v>2</v>
      </c>
      <c r="J204" s="6">
        <f t="shared" si="10"/>
        <v>409.5</v>
      </c>
    </row>
    <row r="205" spans="5:10" x14ac:dyDescent="0.25">
      <c r="E205" s="6">
        <v>213</v>
      </c>
      <c r="F205" s="39">
        <f t="shared" si="9"/>
        <v>438.99999999999955</v>
      </c>
      <c r="H205" s="6">
        <v>204</v>
      </c>
      <c r="I205" s="43">
        <v>2</v>
      </c>
      <c r="J205" s="6">
        <f t="shared" si="10"/>
        <v>411.5</v>
      </c>
    </row>
    <row r="206" spans="5:10" x14ac:dyDescent="0.25">
      <c r="E206" s="6">
        <v>214</v>
      </c>
      <c r="F206" s="39">
        <f t="shared" si="9"/>
        <v>440.99999999999955</v>
      </c>
      <c r="H206" s="6">
        <v>205</v>
      </c>
      <c r="I206" s="43">
        <v>2</v>
      </c>
      <c r="J206" s="6">
        <f t="shared" si="10"/>
        <v>413.5</v>
      </c>
    </row>
    <row r="207" spans="5:10" x14ac:dyDescent="0.25">
      <c r="E207" s="6">
        <v>215</v>
      </c>
      <c r="F207" s="39">
        <f t="shared" si="9"/>
        <v>442.99999999999955</v>
      </c>
      <c r="H207" s="6">
        <v>206</v>
      </c>
      <c r="I207" s="43">
        <v>2</v>
      </c>
      <c r="J207" s="6">
        <f t="shared" si="10"/>
        <v>415.5</v>
      </c>
    </row>
    <row r="208" spans="5:10" x14ac:dyDescent="0.25">
      <c r="E208" s="6">
        <v>216</v>
      </c>
      <c r="F208" s="39">
        <f t="shared" si="9"/>
        <v>444.99999999999955</v>
      </c>
      <c r="H208" s="6">
        <v>207</v>
      </c>
      <c r="I208" s="43">
        <v>2</v>
      </c>
      <c r="J208" s="6">
        <f t="shared" si="10"/>
        <v>417.5</v>
      </c>
    </row>
    <row r="209" spans="5:10" x14ac:dyDescent="0.25">
      <c r="E209" s="6">
        <v>217</v>
      </c>
      <c r="F209" s="39">
        <f t="shared" si="9"/>
        <v>446.99999999999955</v>
      </c>
      <c r="H209" s="6">
        <v>208</v>
      </c>
      <c r="I209" s="43">
        <v>2</v>
      </c>
      <c r="J209" s="6">
        <f t="shared" si="10"/>
        <v>419.5</v>
      </c>
    </row>
    <row r="210" spans="5:10" x14ac:dyDescent="0.25">
      <c r="E210" s="6">
        <v>218</v>
      </c>
      <c r="F210" s="39">
        <f t="shared" si="9"/>
        <v>448.99999999999955</v>
      </c>
      <c r="H210" s="6">
        <v>209</v>
      </c>
      <c r="I210" s="43">
        <v>2</v>
      </c>
      <c r="J210" s="6">
        <f t="shared" si="10"/>
        <v>421.5</v>
      </c>
    </row>
    <row r="211" spans="5:10" x14ac:dyDescent="0.25">
      <c r="E211" s="6">
        <v>219</v>
      </c>
      <c r="F211" s="39">
        <f t="shared" si="9"/>
        <v>450.99999999999955</v>
      </c>
      <c r="H211" s="6">
        <v>210</v>
      </c>
      <c r="I211" s="43">
        <v>2</v>
      </c>
      <c r="J211" s="6">
        <f t="shared" si="10"/>
        <v>423.5</v>
      </c>
    </row>
    <row r="212" spans="5:10" x14ac:dyDescent="0.25">
      <c r="E212" s="6">
        <v>220</v>
      </c>
      <c r="F212" s="39">
        <f t="shared" si="9"/>
        <v>452.99999999999955</v>
      </c>
      <c r="H212" s="6">
        <v>211</v>
      </c>
      <c r="I212" s="43">
        <v>2</v>
      </c>
      <c r="J212" s="6">
        <f t="shared" si="10"/>
        <v>425.5</v>
      </c>
    </row>
    <row r="213" spans="5:10" x14ac:dyDescent="0.25">
      <c r="E213" s="6">
        <v>221</v>
      </c>
      <c r="F213" s="39">
        <f t="shared" si="9"/>
        <v>454.99999999999955</v>
      </c>
      <c r="H213" s="6">
        <v>212</v>
      </c>
      <c r="I213" s="43">
        <v>2</v>
      </c>
      <c r="J213" s="6">
        <f t="shared" si="10"/>
        <v>427.5</v>
      </c>
    </row>
    <row r="214" spans="5:10" x14ac:dyDescent="0.25">
      <c r="E214" s="6">
        <v>222</v>
      </c>
      <c r="F214" s="39">
        <f t="shared" si="9"/>
        <v>456.99999999999955</v>
      </c>
      <c r="H214" s="6">
        <v>213</v>
      </c>
      <c r="I214" s="43">
        <v>2</v>
      </c>
      <c r="J214" s="6">
        <f t="shared" si="10"/>
        <v>429.5</v>
      </c>
    </row>
    <row r="215" spans="5:10" x14ac:dyDescent="0.25">
      <c r="E215" s="6">
        <v>223</v>
      </c>
      <c r="F215" s="39">
        <f t="shared" si="9"/>
        <v>458.99999999999955</v>
      </c>
      <c r="H215" s="6">
        <v>214</v>
      </c>
      <c r="I215" s="43">
        <v>2</v>
      </c>
      <c r="J215" s="6">
        <f t="shared" si="10"/>
        <v>431.5</v>
      </c>
    </row>
    <row r="216" spans="5:10" x14ac:dyDescent="0.25">
      <c r="E216" s="6">
        <v>224</v>
      </c>
      <c r="F216" s="39">
        <f t="shared" si="9"/>
        <v>460.99999999999955</v>
      </c>
      <c r="H216" s="6">
        <v>215</v>
      </c>
      <c r="I216" s="43">
        <v>2</v>
      </c>
      <c r="J216" s="6">
        <f t="shared" si="10"/>
        <v>433.5</v>
      </c>
    </row>
    <row r="217" spans="5:10" x14ac:dyDescent="0.25">
      <c r="E217" s="6">
        <v>225</v>
      </c>
      <c r="F217" s="39">
        <f t="shared" si="9"/>
        <v>462.99999999999955</v>
      </c>
      <c r="H217" s="6">
        <v>216</v>
      </c>
      <c r="I217" s="43">
        <v>2</v>
      </c>
      <c r="J217" s="6">
        <f t="shared" si="10"/>
        <v>435.5</v>
      </c>
    </row>
    <row r="218" spans="5:10" x14ac:dyDescent="0.25">
      <c r="E218" s="6">
        <v>226</v>
      </c>
      <c r="F218" s="39">
        <f t="shared" si="9"/>
        <v>464.99999999999955</v>
      </c>
      <c r="H218" s="6">
        <v>217</v>
      </c>
      <c r="I218" s="43">
        <v>2</v>
      </c>
      <c r="J218" s="6">
        <f t="shared" si="10"/>
        <v>437.5</v>
      </c>
    </row>
    <row r="219" spans="5:10" x14ac:dyDescent="0.25">
      <c r="E219" s="6">
        <v>227</v>
      </c>
      <c r="F219" s="39">
        <f t="shared" si="9"/>
        <v>466.99999999999955</v>
      </c>
      <c r="H219" s="6">
        <v>218</v>
      </c>
      <c r="I219" s="43">
        <v>2</v>
      </c>
      <c r="J219" s="6">
        <f t="shared" si="10"/>
        <v>439.5</v>
      </c>
    </row>
    <row r="220" spans="5:10" x14ac:dyDescent="0.25">
      <c r="E220" s="6">
        <v>228</v>
      </c>
      <c r="F220" s="39">
        <f t="shared" si="9"/>
        <v>468.99999999999955</v>
      </c>
      <c r="H220" s="6">
        <v>219</v>
      </c>
      <c r="I220" s="43">
        <v>2</v>
      </c>
      <c r="J220" s="6">
        <f t="shared" si="10"/>
        <v>441.5</v>
      </c>
    </row>
    <row r="221" spans="5:10" x14ac:dyDescent="0.25">
      <c r="E221" s="6">
        <v>229</v>
      </c>
      <c r="F221" s="39">
        <f t="shared" si="9"/>
        <v>470.99999999999955</v>
      </c>
      <c r="H221" s="6">
        <v>220</v>
      </c>
      <c r="I221" s="43">
        <v>2</v>
      </c>
      <c r="J221" s="6">
        <f t="shared" si="10"/>
        <v>443.5</v>
      </c>
    </row>
    <row r="222" spans="5:10" x14ac:dyDescent="0.25">
      <c r="E222" s="6">
        <v>230</v>
      </c>
      <c r="F222" s="39">
        <f t="shared" ref="F222:F285" si="11">F221+C$4</f>
        <v>472.99999999999955</v>
      </c>
      <c r="H222" s="6">
        <v>221</v>
      </c>
      <c r="I222" s="43">
        <v>2</v>
      </c>
      <c r="J222" s="6">
        <f t="shared" si="10"/>
        <v>445.5</v>
      </c>
    </row>
    <row r="223" spans="5:10" x14ac:dyDescent="0.25">
      <c r="E223" s="6">
        <v>231</v>
      </c>
      <c r="F223" s="39">
        <f t="shared" si="11"/>
        <v>474.99999999999955</v>
      </c>
      <c r="H223" s="6">
        <v>222</v>
      </c>
      <c r="I223" s="43">
        <v>2</v>
      </c>
      <c r="J223" s="6">
        <f t="shared" si="10"/>
        <v>447.5</v>
      </c>
    </row>
    <row r="224" spans="5:10" x14ac:dyDescent="0.25">
      <c r="E224" s="6">
        <v>232</v>
      </c>
      <c r="F224" s="39">
        <f t="shared" si="11"/>
        <v>476.99999999999955</v>
      </c>
    </row>
    <row r="225" spans="5:6" x14ac:dyDescent="0.25">
      <c r="E225" s="6">
        <v>233</v>
      </c>
      <c r="F225" s="39">
        <f t="shared" si="11"/>
        <v>478.99999999999955</v>
      </c>
    </row>
    <row r="226" spans="5:6" x14ac:dyDescent="0.25">
      <c r="E226" s="6">
        <v>234</v>
      </c>
      <c r="F226" s="39">
        <f t="shared" si="11"/>
        <v>480.99999999999955</v>
      </c>
    </row>
    <row r="227" spans="5:6" x14ac:dyDescent="0.25">
      <c r="E227" s="6">
        <v>235</v>
      </c>
      <c r="F227" s="39">
        <f t="shared" si="11"/>
        <v>482.99999999999955</v>
      </c>
    </row>
    <row r="228" spans="5:6" x14ac:dyDescent="0.25">
      <c r="E228" s="6">
        <v>236</v>
      </c>
      <c r="F228" s="39">
        <f t="shared" si="11"/>
        <v>484.99999999999955</v>
      </c>
    </row>
    <row r="229" spans="5:6" x14ac:dyDescent="0.25">
      <c r="E229" s="6">
        <v>237</v>
      </c>
      <c r="F229" s="39">
        <f t="shared" si="11"/>
        <v>486.99999999999955</v>
      </c>
    </row>
    <row r="230" spans="5:6" x14ac:dyDescent="0.25">
      <c r="E230" s="6">
        <v>238</v>
      </c>
      <c r="F230" s="39">
        <f t="shared" si="11"/>
        <v>488.99999999999955</v>
      </c>
    </row>
    <row r="231" spans="5:6" x14ac:dyDescent="0.25">
      <c r="E231" s="6">
        <v>239</v>
      </c>
      <c r="F231" s="39">
        <f t="shared" si="11"/>
        <v>490.99999999999955</v>
      </c>
    </row>
    <row r="232" spans="5:6" x14ac:dyDescent="0.25">
      <c r="E232" s="6">
        <v>240</v>
      </c>
      <c r="F232" s="39">
        <f t="shared" si="11"/>
        <v>492.99999999999955</v>
      </c>
    </row>
    <row r="233" spans="5:6" x14ac:dyDescent="0.25">
      <c r="E233" s="6">
        <v>241</v>
      </c>
      <c r="F233" s="39">
        <f t="shared" si="11"/>
        <v>494.99999999999955</v>
      </c>
    </row>
    <row r="234" spans="5:6" x14ac:dyDescent="0.25">
      <c r="E234" s="6">
        <v>242</v>
      </c>
      <c r="F234" s="39">
        <f t="shared" si="11"/>
        <v>496.99999999999955</v>
      </c>
    </row>
    <row r="235" spans="5:6" x14ac:dyDescent="0.25">
      <c r="E235" s="6">
        <v>243</v>
      </c>
      <c r="F235" s="39">
        <f t="shared" si="11"/>
        <v>498.99999999999955</v>
      </c>
    </row>
    <row r="236" spans="5:6" x14ac:dyDescent="0.25">
      <c r="E236" s="6">
        <v>244</v>
      </c>
      <c r="F236" s="39">
        <f t="shared" si="11"/>
        <v>500.99999999999955</v>
      </c>
    </row>
    <row r="237" spans="5:6" x14ac:dyDescent="0.25">
      <c r="E237" s="6">
        <v>245</v>
      </c>
      <c r="F237" s="39">
        <f t="shared" si="11"/>
        <v>502.99999999999955</v>
      </c>
    </row>
    <row r="238" spans="5:6" x14ac:dyDescent="0.25">
      <c r="E238" s="6">
        <v>246</v>
      </c>
      <c r="F238" s="39">
        <f t="shared" si="11"/>
        <v>504.99999999999955</v>
      </c>
    </row>
    <row r="239" spans="5:6" x14ac:dyDescent="0.25">
      <c r="E239" s="6">
        <v>247</v>
      </c>
      <c r="F239" s="39">
        <f t="shared" si="11"/>
        <v>506.99999999999955</v>
      </c>
    </row>
    <row r="240" spans="5:6" x14ac:dyDescent="0.25">
      <c r="E240" s="6">
        <v>248</v>
      </c>
      <c r="F240" s="39">
        <f t="shared" si="11"/>
        <v>508.99999999999955</v>
      </c>
    </row>
    <row r="241" spans="5:6" x14ac:dyDescent="0.25">
      <c r="E241" s="6">
        <v>249</v>
      </c>
      <c r="F241" s="39">
        <f t="shared" si="11"/>
        <v>510.99999999999955</v>
      </c>
    </row>
    <row r="242" spans="5:6" x14ac:dyDescent="0.25">
      <c r="E242" s="6">
        <v>250</v>
      </c>
      <c r="F242" s="39">
        <f t="shared" si="11"/>
        <v>512.99999999999955</v>
      </c>
    </row>
    <row r="243" spans="5:6" x14ac:dyDescent="0.25">
      <c r="E243" s="6">
        <v>251</v>
      </c>
      <c r="F243" s="39">
        <f t="shared" si="11"/>
        <v>514.99999999999955</v>
      </c>
    </row>
    <row r="244" spans="5:6" x14ac:dyDescent="0.25">
      <c r="E244" s="6">
        <v>252</v>
      </c>
      <c r="F244" s="39">
        <f t="shared" si="11"/>
        <v>516.99999999999955</v>
      </c>
    </row>
    <row r="245" spans="5:6" x14ac:dyDescent="0.25">
      <c r="E245" s="6">
        <v>253</v>
      </c>
      <c r="F245" s="39">
        <f t="shared" si="11"/>
        <v>518.99999999999955</v>
      </c>
    </row>
    <row r="246" spans="5:6" x14ac:dyDescent="0.25">
      <c r="E246" s="6">
        <v>254</v>
      </c>
      <c r="F246" s="39">
        <f t="shared" si="11"/>
        <v>520.99999999999955</v>
      </c>
    </row>
    <row r="247" spans="5:6" x14ac:dyDescent="0.25">
      <c r="E247" s="6">
        <v>255</v>
      </c>
      <c r="F247" s="39">
        <f t="shared" si="11"/>
        <v>522.99999999999955</v>
      </c>
    </row>
    <row r="248" spans="5:6" x14ac:dyDescent="0.25">
      <c r="E248" s="6">
        <v>256</v>
      </c>
      <c r="F248" s="39">
        <f t="shared" si="11"/>
        <v>524.99999999999955</v>
      </c>
    </row>
    <row r="249" spans="5:6" x14ac:dyDescent="0.25">
      <c r="E249" s="6">
        <v>257</v>
      </c>
      <c r="F249" s="39">
        <f t="shared" si="11"/>
        <v>526.99999999999955</v>
      </c>
    </row>
    <row r="250" spans="5:6" x14ac:dyDescent="0.25">
      <c r="E250" s="6">
        <v>258</v>
      </c>
      <c r="F250" s="39">
        <f t="shared" si="11"/>
        <v>528.99999999999955</v>
      </c>
    </row>
    <row r="251" spans="5:6" x14ac:dyDescent="0.25">
      <c r="E251" s="6">
        <v>259</v>
      </c>
      <c r="F251" s="39">
        <f t="shared" si="11"/>
        <v>530.99999999999955</v>
      </c>
    </row>
    <row r="252" spans="5:6" x14ac:dyDescent="0.25">
      <c r="E252" s="6">
        <v>260</v>
      </c>
      <c r="F252" s="39">
        <f t="shared" si="11"/>
        <v>532.99999999999955</v>
      </c>
    </row>
    <row r="253" spans="5:6" x14ac:dyDescent="0.25">
      <c r="E253" s="6">
        <v>261</v>
      </c>
      <c r="F253" s="39">
        <f t="shared" si="11"/>
        <v>534.99999999999955</v>
      </c>
    </row>
    <row r="254" spans="5:6" x14ac:dyDescent="0.25">
      <c r="E254" s="6">
        <v>262</v>
      </c>
      <c r="F254" s="39">
        <f t="shared" si="11"/>
        <v>536.99999999999955</v>
      </c>
    </row>
    <row r="255" spans="5:6" x14ac:dyDescent="0.25">
      <c r="E255" s="6">
        <v>263</v>
      </c>
      <c r="F255" s="39">
        <f t="shared" si="11"/>
        <v>538.99999999999955</v>
      </c>
    </row>
    <row r="256" spans="5:6" x14ac:dyDescent="0.25">
      <c r="E256" s="6">
        <v>264</v>
      </c>
      <c r="F256" s="39">
        <f t="shared" si="11"/>
        <v>540.99999999999955</v>
      </c>
    </row>
    <row r="257" spans="5:6" x14ac:dyDescent="0.25">
      <c r="E257" s="6">
        <v>265</v>
      </c>
      <c r="F257" s="39">
        <f t="shared" si="11"/>
        <v>542.99999999999955</v>
      </c>
    </row>
    <row r="258" spans="5:6" x14ac:dyDescent="0.25">
      <c r="E258" s="6">
        <v>266</v>
      </c>
      <c r="F258" s="39">
        <f t="shared" si="11"/>
        <v>544.99999999999955</v>
      </c>
    </row>
    <row r="259" spans="5:6" x14ac:dyDescent="0.25">
      <c r="E259" s="6">
        <v>267</v>
      </c>
      <c r="F259" s="39">
        <f t="shared" si="11"/>
        <v>546.99999999999955</v>
      </c>
    </row>
    <row r="260" spans="5:6" x14ac:dyDescent="0.25">
      <c r="E260" s="6">
        <v>268</v>
      </c>
      <c r="F260" s="39">
        <f t="shared" si="11"/>
        <v>548.99999999999955</v>
      </c>
    </row>
    <row r="261" spans="5:6" x14ac:dyDescent="0.25">
      <c r="E261" s="6">
        <v>269</v>
      </c>
      <c r="F261" s="39">
        <f t="shared" si="11"/>
        <v>550.99999999999955</v>
      </c>
    </row>
    <row r="262" spans="5:6" x14ac:dyDescent="0.25">
      <c r="E262" s="6">
        <v>270</v>
      </c>
      <c r="F262" s="39">
        <f t="shared" si="11"/>
        <v>552.99999999999955</v>
      </c>
    </row>
    <row r="263" spans="5:6" x14ac:dyDescent="0.25">
      <c r="E263" s="6">
        <v>271</v>
      </c>
      <c r="F263" s="39">
        <f t="shared" si="11"/>
        <v>554.99999999999955</v>
      </c>
    </row>
    <row r="264" spans="5:6" x14ac:dyDescent="0.25">
      <c r="E264" s="6">
        <v>272</v>
      </c>
      <c r="F264" s="39">
        <f t="shared" si="11"/>
        <v>556.99999999999955</v>
      </c>
    </row>
    <row r="265" spans="5:6" x14ac:dyDescent="0.25">
      <c r="E265" s="6">
        <v>273</v>
      </c>
      <c r="F265" s="39">
        <f t="shared" si="11"/>
        <v>558.99999999999955</v>
      </c>
    </row>
    <row r="266" spans="5:6" x14ac:dyDescent="0.25">
      <c r="E266" s="6">
        <v>274</v>
      </c>
      <c r="F266" s="39">
        <f t="shared" si="11"/>
        <v>560.99999999999955</v>
      </c>
    </row>
    <row r="267" spans="5:6" x14ac:dyDescent="0.25">
      <c r="E267" s="6">
        <v>275</v>
      </c>
      <c r="F267" s="39">
        <f t="shared" si="11"/>
        <v>562.99999999999955</v>
      </c>
    </row>
    <row r="268" spans="5:6" x14ac:dyDescent="0.25">
      <c r="E268" s="6">
        <v>276</v>
      </c>
      <c r="F268" s="39">
        <f t="shared" si="11"/>
        <v>564.99999999999955</v>
      </c>
    </row>
    <row r="269" spans="5:6" x14ac:dyDescent="0.25">
      <c r="E269" s="6">
        <v>277</v>
      </c>
      <c r="F269" s="39">
        <f t="shared" si="11"/>
        <v>566.99999999999955</v>
      </c>
    </row>
    <row r="270" spans="5:6" x14ac:dyDescent="0.25">
      <c r="E270" s="6">
        <v>278</v>
      </c>
      <c r="F270" s="39">
        <f t="shared" si="11"/>
        <v>568.99999999999955</v>
      </c>
    </row>
    <row r="271" spans="5:6" x14ac:dyDescent="0.25">
      <c r="E271" s="6">
        <v>279</v>
      </c>
      <c r="F271" s="39">
        <f t="shared" si="11"/>
        <v>570.99999999999955</v>
      </c>
    </row>
    <row r="272" spans="5:6" x14ac:dyDescent="0.25">
      <c r="E272" s="6">
        <v>280</v>
      </c>
      <c r="F272" s="39">
        <f t="shared" si="11"/>
        <v>572.99999999999955</v>
      </c>
    </row>
    <row r="273" spans="5:6" x14ac:dyDescent="0.25">
      <c r="E273" s="6">
        <v>281</v>
      </c>
      <c r="F273" s="39">
        <f t="shared" si="11"/>
        <v>574.99999999999955</v>
      </c>
    </row>
    <row r="274" spans="5:6" x14ac:dyDescent="0.25">
      <c r="E274" s="6">
        <v>282</v>
      </c>
      <c r="F274" s="39">
        <f t="shared" si="11"/>
        <v>576.99999999999955</v>
      </c>
    </row>
    <row r="275" spans="5:6" x14ac:dyDescent="0.25">
      <c r="E275" s="6">
        <v>283</v>
      </c>
      <c r="F275" s="39">
        <f t="shared" si="11"/>
        <v>578.99999999999955</v>
      </c>
    </row>
    <row r="276" spans="5:6" x14ac:dyDescent="0.25">
      <c r="E276" s="6">
        <v>284</v>
      </c>
      <c r="F276" s="39">
        <f t="shared" si="11"/>
        <v>580.99999999999955</v>
      </c>
    </row>
    <row r="277" spans="5:6" x14ac:dyDescent="0.25">
      <c r="E277" s="6">
        <v>285</v>
      </c>
      <c r="F277" s="39">
        <f t="shared" si="11"/>
        <v>582.99999999999955</v>
      </c>
    </row>
    <row r="278" spans="5:6" x14ac:dyDescent="0.25">
      <c r="E278" s="6">
        <v>286</v>
      </c>
      <c r="F278" s="39">
        <f t="shared" si="11"/>
        <v>584.99999999999955</v>
      </c>
    </row>
    <row r="279" spans="5:6" x14ac:dyDescent="0.25">
      <c r="E279" s="6">
        <v>287</v>
      </c>
      <c r="F279" s="39">
        <f t="shared" si="11"/>
        <v>586.99999999999955</v>
      </c>
    </row>
    <row r="280" spans="5:6" x14ac:dyDescent="0.25">
      <c r="E280" s="6">
        <v>288</v>
      </c>
      <c r="F280" s="39">
        <f t="shared" si="11"/>
        <v>588.99999999999955</v>
      </c>
    </row>
    <row r="281" spans="5:6" x14ac:dyDescent="0.25">
      <c r="E281" s="6">
        <v>289</v>
      </c>
      <c r="F281" s="39">
        <f t="shared" si="11"/>
        <v>590.99999999999955</v>
      </c>
    </row>
    <row r="282" spans="5:6" x14ac:dyDescent="0.25">
      <c r="E282" s="6">
        <v>290</v>
      </c>
      <c r="F282" s="39">
        <f t="shared" si="11"/>
        <v>592.99999999999955</v>
      </c>
    </row>
    <row r="283" spans="5:6" x14ac:dyDescent="0.25">
      <c r="E283" s="6">
        <v>291</v>
      </c>
      <c r="F283" s="39">
        <f t="shared" si="11"/>
        <v>594.99999999999955</v>
      </c>
    </row>
    <row r="284" spans="5:6" x14ac:dyDescent="0.25">
      <c r="E284" s="6">
        <v>292</v>
      </c>
      <c r="F284" s="39">
        <f t="shared" si="11"/>
        <v>596.99999999999955</v>
      </c>
    </row>
    <row r="285" spans="5:6" x14ac:dyDescent="0.25">
      <c r="E285" s="6">
        <v>293</v>
      </c>
      <c r="F285" s="39">
        <f t="shared" si="11"/>
        <v>598.99999999999955</v>
      </c>
    </row>
    <row r="286" spans="5:6" x14ac:dyDescent="0.25">
      <c r="E286" s="6">
        <v>294</v>
      </c>
      <c r="F286" s="39">
        <f t="shared" ref="F286:F325" si="12">F285+C$4</f>
        <v>600.99999999999955</v>
      </c>
    </row>
    <row r="287" spans="5:6" x14ac:dyDescent="0.25">
      <c r="E287" s="6">
        <v>295</v>
      </c>
      <c r="F287" s="39">
        <f t="shared" si="12"/>
        <v>602.99999999999955</v>
      </c>
    </row>
    <row r="288" spans="5:6" x14ac:dyDescent="0.25">
      <c r="E288" s="6">
        <v>296</v>
      </c>
      <c r="F288" s="39">
        <f t="shared" si="12"/>
        <v>604.99999999999955</v>
      </c>
    </row>
    <row r="289" spans="5:6" x14ac:dyDescent="0.25">
      <c r="E289" s="6">
        <v>297</v>
      </c>
      <c r="F289" s="39">
        <f t="shared" si="12"/>
        <v>606.99999999999955</v>
      </c>
    </row>
    <row r="290" spans="5:6" x14ac:dyDescent="0.25">
      <c r="E290" s="6">
        <v>298</v>
      </c>
      <c r="F290" s="39">
        <f t="shared" si="12"/>
        <v>608.99999999999955</v>
      </c>
    </row>
    <row r="291" spans="5:6" x14ac:dyDescent="0.25">
      <c r="E291" s="6">
        <v>299</v>
      </c>
      <c r="F291" s="39">
        <f t="shared" si="12"/>
        <v>610.99999999999955</v>
      </c>
    </row>
    <row r="292" spans="5:6" x14ac:dyDescent="0.25">
      <c r="E292" s="6">
        <v>300</v>
      </c>
      <c r="F292" s="39">
        <f t="shared" si="12"/>
        <v>612.99999999999955</v>
      </c>
    </row>
    <row r="293" spans="5:6" x14ac:dyDescent="0.25">
      <c r="E293" s="6">
        <v>301</v>
      </c>
      <c r="F293" s="39">
        <f t="shared" si="12"/>
        <v>614.99999999999955</v>
      </c>
    </row>
    <row r="294" spans="5:6" x14ac:dyDescent="0.25">
      <c r="E294" s="6">
        <v>302</v>
      </c>
      <c r="F294" s="39">
        <f t="shared" si="12"/>
        <v>616.99999999999955</v>
      </c>
    </row>
    <row r="295" spans="5:6" x14ac:dyDescent="0.25">
      <c r="E295" s="6">
        <v>303</v>
      </c>
      <c r="F295" s="39">
        <f t="shared" si="12"/>
        <v>618.99999999999955</v>
      </c>
    </row>
    <row r="296" spans="5:6" x14ac:dyDescent="0.25">
      <c r="E296" s="6">
        <v>304</v>
      </c>
      <c r="F296" s="39">
        <f t="shared" si="12"/>
        <v>620.99999999999955</v>
      </c>
    </row>
    <row r="297" spans="5:6" x14ac:dyDescent="0.25">
      <c r="E297" s="6">
        <v>305</v>
      </c>
      <c r="F297" s="39">
        <f t="shared" si="12"/>
        <v>622.99999999999955</v>
      </c>
    </row>
    <row r="298" spans="5:6" x14ac:dyDescent="0.25">
      <c r="E298" s="6">
        <v>306</v>
      </c>
      <c r="F298" s="39">
        <f t="shared" si="12"/>
        <v>624.99999999999955</v>
      </c>
    </row>
    <row r="299" spans="5:6" x14ac:dyDescent="0.25">
      <c r="E299" s="6">
        <v>307</v>
      </c>
      <c r="F299" s="39">
        <f t="shared" si="12"/>
        <v>626.99999999999955</v>
      </c>
    </row>
    <row r="300" spans="5:6" x14ac:dyDescent="0.25">
      <c r="E300" s="6">
        <v>308</v>
      </c>
      <c r="F300" s="39">
        <f t="shared" si="12"/>
        <v>628.99999999999955</v>
      </c>
    </row>
    <row r="301" spans="5:6" x14ac:dyDescent="0.25">
      <c r="E301" s="6">
        <v>309</v>
      </c>
      <c r="F301" s="39">
        <f t="shared" si="12"/>
        <v>630.99999999999955</v>
      </c>
    </row>
    <row r="302" spans="5:6" x14ac:dyDescent="0.25">
      <c r="E302" s="6">
        <v>310</v>
      </c>
      <c r="F302" s="39">
        <f t="shared" si="12"/>
        <v>632.99999999999955</v>
      </c>
    </row>
    <row r="303" spans="5:6" x14ac:dyDescent="0.25">
      <c r="E303" s="6">
        <v>311</v>
      </c>
      <c r="F303" s="39">
        <f t="shared" si="12"/>
        <v>634.99999999999955</v>
      </c>
    </row>
    <row r="304" spans="5:6" x14ac:dyDescent="0.25">
      <c r="E304" s="6">
        <v>312</v>
      </c>
      <c r="F304" s="39">
        <f t="shared" si="12"/>
        <v>636.99999999999955</v>
      </c>
    </row>
    <row r="305" spans="5:6" x14ac:dyDescent="0.25">
      <c r="E305" s="6">
        <v>313</v>
      </c>
      <c r="F305" s="39">
        <f t="shared" si="12"/>
        <v>638.99999999999955</v>
      </c>
    </row>
    <row r="306" spans="5:6" x14ac:dyDescent="0.25">
      <c r="E306" s="6">
        <v>314</v>
      </c>
      <c r="F306" s="39">
        <f t="shared" si="12"/>
        <v>640.99999999999955</v>
      </c>
    </row>
    <row r="307" spans="5:6" x14ac:dyDescent="0.25">
      <c r="E307" s="6">
        <v>315</v>
      </c>
      <c r="F307" s="39">
        <f t="shared" si="12"/>
        <v>642.99999999999955</v>
      </c>
    </row>
    <row r="308" spans="5:6" x14ac:dyDescent="0.25">
      <c r="E308" s="6">
        <v>316</v>
      </c>
      <c r="F308" s="39">
        <f t="shared" si="12"/>
        <v>644.99999999999955</v>
      </c>
    </row>
    <row r="309" spans="5:6" x14ac:dyDescent="0.25">
      <c r="E309" s="6">
        <v>317</v>
      </c>
      <c r="F309" s="39">
        <f t="shared" si="12"/>
        <v>646.99999999999955</v>
      </c>
    </row>
    <row r="310" spans="5:6" x14ac:dyDescent="0.25">
      <c r="E310" s="6">
        <v>318</v>
      </c>
      <c r="F310" s="39">
        <f t="shared" si="12"/>
        <v>648.99999999999955</v>
      </c>
    </row>
    <row r="311" spans="5:6" x14ac:dyDescent="0.25">
      <c r="E311" s="6">
        <v>319</v>
      </c>
      <c r="F311" s="39">
        <f t="shared" si="12"/>
        <v>650.99999999999955</v>
      </c>
    </row>
    <row r="312" spans="5:6" x14ac:dyDescent="0.25">
      <c r="E312" s="6">
        <v>320</v>
      </c>
      <c r="F312" s="39">
        <f t="shared" si="12"/>
        <v>652.99999999999955</v>
      </c>
    </row>
    <row r="313" spans="5:6" x14ac:dyDescent="0.25">
      <c r="E313" s="6">
        <v>321</v>
      </c>
      <c r="F313" s="39">
        <f t="shared" si="12"/>
        <v>654.99999999999955</v>
      </c>
    </row>
    <row r="314" spans="5:6" x14ac:dyDescent="0.25">
      <c r="E314" s="6">
        <v>322</v>
      </c>
      <c r="F314" s="39">
        <f t="shared" si="12"/>
        <v>656.99999999999955</v>
      </c>
    </row>
    <row r="315" spans="5:6" x14ac:dyDescent="0.25">
      <c r="E315" s="6">
        <v>323</v>
      </c>
      <c r="F315" s="39">
        <f t="shared" si="12"/>
        <v>658.99999999999955</v>
      </c>
    </row>
    <row r="316" spans="5:6" x14ac:dyDescent="0.25">
      <c r="E316" s="6">
        <v>324</v>
      </c>
      <c r="F316" s="39">
        <f t="shared" si="12"/>
        <v>660.99999999999955</v>
      </c>
    </row>
    <row r="317" spans="5:6" x14ac:dyDescent="0.25">
      <c r="E317" s="6">
        <v>325</v>
      </c>
      <c r="F317" s="39">
        <f t="shared" si="12"/>
        <v>662.99999999999955</v>
      </c>
    </row>
    <row r="318" spans="5:6" x14ac:dyDescent="0.25">
      <c r="E318" s="6">
        <v>326</v>
      </c>
      <c r="F318" s="39">
        <f t="shared" si="12"/>
        <v>664.99999999999955</v>
      </c>
    </row>
    <row r="319" spans="5:6" x14ac:dyDescent="0.25">
      <c r="E319" s="6">
        <v>327</v>
      </c>
      <c r="F319" s="39">
        <f t="shared" si="12"/>
        <v>666.99999999999955</v>
      </c>
    </row>
    <row r="320" spans="5:6" x14ac:dyDescent="0.25">
      <c r="E320" s="6">
        <v>328</v>
      </c>
      <c r="F320" s="39">
        <f t="shared" si="12"/>
        <v>668.99999999999955</v>
      </c>
    </row>
    <row r="321" spans="5:6" x14ac:dyDescent="0.25">
      <c r="E321" s="6">
        <v>329</v>
      </c>
      <c r="F321" s="39">
        <f t="shared" si="12"/>
        <v>670.99999999999955</v>
      </c>
    </row>
    <row r="322" spans="5:6" x14ac:dyDescent="0.25">
      <c r="E322" s="6">
        <v>330</v>
      </c>
      <c r="F322" s="39">
        <f t="shared" si="12"/>
        <v>672.99999999999955</v>
      </c>
    </row>
    <row r="323" spans="5:6" x14ac:dyDescent="0.25">
      <c r="E323" s="6">
        <v>331</v>
      </c>
      <c r="F323" s="39">
        <f t="shared" si="12"/>
        <v>674.99999999999955</v>
      </c>
    </row>
    <row r="324" spans="5:6" x14ac:dyDescent="0.25">
      <c r="E324" s="6">
        <v>332</v>
      </c>
      <c r="F324" s="39">
        <f t="shared" si="12"/>
        <v>676.99999999999955</v>
      </c>
    </row>
    <row r="325" spans="5:6" x14ac:dyDescent="0.25">
      <c r="E325" s="6">
        <v>333</v>
      </c>
      <c r="F325" s="39">
        <f t="shared" si="12"/>
        <v>678.99999999999955</v>
      </c>
    </row>
  </sheetData>
  <sheetProtection algorithmName="SHA-512" hashValue="khxri/bm7YYBC9LKBJK2NRA3AoPfj32WvoaPMhJAl/aeEkZnThj87hU01F2l46q9eoHU30eTLhIxqB0IAcytXQ==" saltValue="0uMZ2RWdgLCTjvcrslC8fg==" spinCount="100000" sheet="1" formatRows="0"/>
  <sortState ref="M7:N17">
    <sortCondition ref="M7:M17"/>
  </sortState>
  <pageMargins left="0.70866141732283472" right="0.59055118110236227" top="0.6692913385826772" bottom="0.47244094488188981" header="0.31496062992125984" footer="0.31496062992125984"/>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CC"/>
  </sheetPr>
  <dimension ref="A1:S80"/>
  <sheetViews>
    <sheetView showGridLines="0" showZeros="0" zoomScaleNormal="100" workbookViewId="0">
      <selection activeCell="B7" sqref="B7"/>
    </sheetView>
  </sheetViews>
  <sheetFormatPr baseColWidth="10" defaultRowHeight="15" zeroHeight="1" x14ac:dyDescent="0.25"/>
  <cols>
    <col min="1" max="1" width="1.28515625" customWidth="1"/>
    <col min="4" max="4" width="10.140625" customWidth="1"/>
    <col min="5" max="5" width="9.7109375" customWidth="1"/>
    <col min="6" max="6" width="7.85546875" customWidth="1"/>
    <col min="7" max="7" width="9.5703125" customWidth="1"/>
    <col min="8" max="8" width="10.7109375" customWidth="1"/>
    <col min="9" max="9" width="6.42578125" customWidth="1"/>
    <col min="10" max="10" width="4.7109375" customWidth="1"/>
    <col min="11" max="11" width="3.28515625" customWidth="1"/>
    <col min="12" max="12" width="12.5703125" customWidth="1"/>
    <col min="16" max="16" width="5.85546875" customWidth="1"/>
    <col min="17" max="17" width="4.7109375" customWidth="1"/>
    <col min="18" max="18" width="7.7109375" bestFit="1" customWidth="1"/>
  </cols>
  <sheetData>
    <row r="1" spans="1:19" ht="23.25" x14ac:dyDescent="0.35">
      <c r="B1" s="371" t="s">
        <v>237</v>
      </c>
      <c r="C1" s="37"/>
      <c r="D1" s="37"/>
      <c r="E1" s="37"/>
      <c r="F1" s="37"/>
      <c r="G1" s="37"/>
      <c r="H1" s="707" t="str">
        <f>"PTS für "&amp;TEXT(I3,"JJJJ")&amp;"/"&amp;TEXT(I3,"JJ")+1</f>
        <v>PTS für 2023/24</v>
      </c>
      <c r="I1" s="707"/>
      <c r="J1" s="707"/>
      <c r="K1" s="339"/>
      <c r="S1" s="94" t="s">
        <v>281</v>
      </c>
    </row>
    <row r="2" spans="1:19" ht="26.25" x14ac:dyDescent="0.4">
      <c r="A2" s="21"/>
      <c r="B2" s="253" t="s">
        <v>22</v>
      </c>
      <c r="K2" s="339"/>
    </row>
    <row r="3" spans="1:19" ht="17.25" x14ac:dyDescent="0.3">
      <c r="B3" s="375" t="s">
        <v>242</v>
      </c>
      <c r="E3" s="376"/>
      <c r="H3" s="248" t="s">
        <v>386</v>
      </c>
      <c r="I3" s="716">
        <v>45187</v>
      </c>
      <c r="J3" s="716"/>
      <c r="K3" s="339"/>
      <c r="L3" s="662">
        <v>45478</v>
      </c>
    </row>
    <row r="4" spans="1:19" ht="9.75" customHeight="1" x14ac:dyDescent="0.25">
      <c r="K4" s="339"/>
    </row>
    <row r="5" spans="1:19" x14ac:dyDescent="0.25">
      <c r="K5" s="339"/>
    </row>
    <row r="6" spans="1:19" ht="18.75" x14ac:dyDescent="0.3">
      <c r="A6" s="3"/>
      <c r="B6" s="10" t="s">
        <v>0</v>
      </c>
      <c r="C6" s="79" t="s">
        <v>1</v>
      </c>
      <c r="D6" s="4"/>
      <c r="G6" s="51" t="str">
        <f>IF(L6&lt;&gt;C7,L6,"")</f>
        <v/>
      </c>
      <c r="K6" s="339"/>
      <c r="L6" s="50" t="str">
        <f>LOOKUP(B7,BasisP!M6:M18,BasisP!N6:N18)</f>
        <v>PTS  . . .</v>
      </c>
    </row>
    <row r="7" spans="1:19" ht="15.75" x14ac:dyDescent="0.25">
      <c r="B7" s="81"/>
      <c r="C7" s="80" t="str">
        <f>L6</f>
        <v>PTS  . . .</v>
      </c>
      <c r="J7" s="328">
        <v>10</v>
      </c>
      <c r="K7" s="339"/>
    </row>
    <row r="8" spans="1:19" x14ac:dyDescent="0.25">
      <c r="K8" s="339"/>
    </row>
    <row r="9" spans="1:19" x14ac:dyDescent="0.25">
      <c r="K9" s="339"/>
    </row>
    <row r="10" spans="1:19" ht="15.75" customHeight="1" x14ac:dyDescent="0.25">
      <c r="B10" s="9" t="s">
        <v>9</v>
      </c>
      <c r="C10" s="1" t="s">
        <v>10</v>
      </c>
      <c r="H10" s="708" t="s">
        <v>27</v>
      </c>
      <c r="K10" s="339"/>
    </row>
    <row r="11" spans="1:19" ht="21" x14ac:dyDescent="0.35">
      <c r="A11" s="8"/>
      <c r="B11" s="4" t="s">
        <v>2</v>
      </c>
      <c r="C11" s="5" t="s">
        <v>3</v>
      </c>
      <c r="D11" s="5" t="s">
        <v>4</v>
      </c>
      <c r="E11" s="5" t="s">
        <v>5</v>
      </c>
      <c r="G11" s="5" t="s">
        <v>6</v>
      </c>
      <c r="H11" s="709"/>
      <c r="K11" s="339"/>
    </row>
    <row r="12" spans="1:19" ht="18.75" x14ac:dyDescent="0.3">
      <c r="A12" s="3"/>
      <c r="B12" s="44" t="s">
        <v>26</v>
      </c>
      <c r="C12" s="45"/>
      <c r="D12" s="46"/>
      <c r="E12" s="46"/>
      <c r="G12" s="46"/>
      <c r="H12" s="47"/>
      <c r="K12" s="339"/>
    </row>
    <row r="13" spans="1:19" x14ac:dyDescent="0.25">
      <c r="G13" s="33">
        <v>0.3</v>
      </c>
      <c r="K13" s="339"/>
    </row>
    <row r="14" spans="1:19" x14ac:dyDescent="0.25">
      <c r="K14" s="339"/>
      <c r="L14" s="23" t="str">
        <f>RIGHT(D16,4)</f>
        <v>23,6</v>
      </c>
    </row>
    <row r="15" spans="1:19" ht="18.75" x14ac:dyDescent="0.3">
      <c r="A15" s="3"/>
      <c r="B15" s="11" t="s">
        <v>28</v>
      </c>
      <c r="K15" s="339"/>
    </row>
    <row r="16" spans="1:19" s="22" customFormat="1" x14ac:dyDescent="0.25">
      <c r="A16" s="62"/>
      <c r="C16" s="59">
        <f>IF(C12&gt;0,INT(((C12+(G12*G13))/(RIGHT(D16,4)+0.01))+1),0)</f>
        <v>0</v>
      </c>
      <c r="D16" s="69" t="s">
        <v>44</v>
      </c>
      <c r="G16" s="60">
        <f>LOOKUP(G12,BasisP!H1:H223,BasisP!J1:J223)</f>
        <v>0</v>
      </c>
      <c r="H16" s="61">
        <f>LOOKUP(SUM(H12,G12),BasisP!H1:H223,BasisP!J1:J223)-G16</f>
        <v>0</v>
      </c>
      <c r="K16" s="340"/>
      <c r="L16" s="91" t="s">
        <v>43</v>
      </c>
    </row>
    <row r="17" spans="1:12" ht="8.25" customHeight="1" x14ac:dyDescent="0.25">
      <c r="K17" s="339"/>
    </row>
    <row r="18" spans="1:12" ht="15.75" customHeight="1" x14ac:dyDescent="0.25">
      <c r="A18" s="52"/>
      <c r="B18" s="53" t="s">
        <v>18</v>
      </c>
      <c r="C18" s="54">
        <f>C16</f>
        <v>0</v>
      </c>
      <c r="D18" s="44" t="s">
        <v>19</v>
      </c>
      <c r="E18" s="57">
        <f>IF(K44=0,,".. und ")</f>
        <v>0</v>
      </c>
      <c r="F18" s="58">
        <f>K44</f>
        <v>0</v>
      </c>
      <c r="G18" s="70">
        <f>IF(K44=0,,IF(K44&lt;0," WENIGER in Absprache mit Präs/3"," ZUSÄTZLICH laut Genehmigung von"))</f>
        <v>0</v>
      </c>
      <c r="H18" s="71"/>
      <c r="I18" s="71"/>
      <c r="J18" s="71"/>
      <c r="K18" s="339"/>
      <c r="L18" s="23">
        <f>IF(C18&gt;0,C18+K44,)</f>
        <v>0</v>
      </c>
    </row>
    <row r="19" spans="1:12" ht="15.75" x14ac:dyDescent="0.25">
      <c r="A19" s="52"/>
      <c r="C19" s="55" t="str">
        <f>IF(D19&lt;&gt;L18,"..und schulautonom: ","..und tatsächlich: ")</f>
        <v xml:space="preserve">..und tatsächlich: </v>
      </c>
      <c r="D19" s="660">
        <f>C18</f>
        <v>0</v>
      </c>
      <c r="E19" s="56" t="s">
        <v>46</v>
      </c>
      <c r="G19" s="71"/>
      <c r="H19" s="71"/>
      <c r="I19" s="71"/>
      <c r="J19" s="72">
        <f>IF(K44&gt;0," Präs/3",)</f>
        <v>0</v>
      </c>
      <c r="K19" s="339"/>
    </row>
    <row r="20" spans="1:12" ht="23.25" x14ac:dyDescent="0.35">
      <c r="A20" s="212"/>
      <c r="E20" s="96">
        <f>IF(C12&gt;0,C12/D19,)</f>
        <v>0</v>
      </c>
      <c r="F20" s="97">
        <f>IF(C12&gt;0,"SuS im Durchschnitt",)</f>
        <v>0</v>
      </c>
      <c r="K20" s="339"/>
    </row>
    <row r="21" spans="1:12" ht="23.25" x14ac:dyDescent="0.35">
      <c r="A21" s="210"/>
      <c r="B21" s="209" t="s">
        <v>8</v>
      </c>
      <c r="C21" s="208"/>
      <c r="D21" s="211" t="s">
        <v>93</v>
      </c>
      <c r="E21" s="208"/>
      <c r="F21" s="208"/>
      <c r="G21" s="208"/>
      <c r="H21" s="208"/>
      <c r="I21" s="208"/>
      <c r="J21" s="208"/>
      <c r="K21" s="339"/>
      <c r="L21" s="91"/>
    </row>
    <row r="22" spans="1:12" ht="21" x14ac:dyDescent="0.35">
      <c r="A22" s="8"/>
      <c r="B22" s="4"/>
      <c r="C22" s="12" t="s">
        <v>11</v>
      </c>
      <c r="D22" s="5" t="s">
        <v>4</v>
      </c>
      <c r="E22" s="67" t="s">
        <v>5</v>
      </c>
      <c r="H22" s="364">
        <f>IF(M48&lt;&gt;0,"Abzug wg IT-Einrechnung:",)</f>
        <v>0</v>
      </c>
      <c r="K22" s="339"/>
    </row>
    <row r="23" spans="1:12" ht="15.75" x14ac:dyDescent="0.25">
      <c r="A23" s="52"/>
      <c r="B23" s="26"/>
      <c r="C23" s="63">
        <f>LOOKUP(C12,BasisP!E1:E325,BasisP!F1:F325)</f>
        <v>0</v>
      </c>
      <c r="D23" s="83">
        <f>IF(D12&gt;25,40,IF(D12&gt;7,20,IF(D12&gt;0,6,)))</f>
        <v>0</v>
      </c>
      <c r="E23" s="66">
        <f>IF(E12&gt;7,"bitte einplanen!",)</f>
        <v>0</v>
      </c>
      <c r="H23" s="363">
        <f>IF(M48&gt;0,-M48,)</f>
        <v>0</v>
      </c>
      <c r="I23" s="2"/>
      <c r="J23" s="2"/>
      <c r="K23" s="339"/>
    </row>
    <row r="24" spans="1:12" ht="15" customHeight="1" x14ac:dyDescent="0.25">
      <c r="A24" s="52"/>
      <c r="B24" s="710" t="str">
        <f>IF(C23&gt;0,IF(C12&lt;BasisP!A3,"mit "&amp;BasisP!C2&amp;" beginnend","von "&amp;BasisP!C2&amp;" beginnend 
degressiv"&amp;IF(C12&gt;BasisP!A4," über "&amp;TEXT(BasisP!C3,"0,00")&amp;" bis "," auf ")&amp;TEXT(L25,"0,00")),"")</f>
        <v/>
      </c>
      <c r="C24" s="711"/>
      <c r="D24" s="68" t="str">
        <f>IF(D23&gt;19,"DFöKL !",IF(D23=6,"DFöKurs"," "))</f>
        <v xml:space="preserve"> </v>
      </c>
      <c r="E24" s="712" t="str">
        <f>IF(E23&gt;0,"Zur Sprachförderung sind gezielte Maßnahmen im verfügbaren Stundenkontingent zu setzen","")</f>
        <v/>
      </c>
      <c r="F24" s="712"/>
      <c r="G24" s="712"/>
      <c r="H24" s="712"/>
      <c r="I24" s="712"/>
      <c r="K24" s="339"/>
      <c r="L24" s="92" t="s">
        <v>212</v>
      </c>
    </row>
    <row r="25" spans="1:12" ht="15.75" x14ac:dyDescent="0.25">
      <c r="A25" s="52"/>
      <c r="B25" s="710"/>
      <c r="C25" s="710"/>
      <c r="E25" s="712"/>
      <c r="F25" s="712"/>
      <c r="G25" s="712"/>
      <c r="H25" s="712"/>
      <c r="I25" s="712"/>
      <c r="K25" s="339"/>
      <c r="L25" s="87">
        <f>LOOKUP(C12,BasisP!A2:A4,BasisP!C2:C4)</f>
        <v>2.5499999999999998</v>
      </c>
    </row>
    <row r="26" spans="1:12" ht="15.75" x14ac:dyDescent="0.25">
      <c r="A26" s="52"/>
      <c r="D26" s="12" t="s">
        <v>55</v>
      </c>
      <c r="E26" s="35">
        <f>ROUND(SUM(C23,H23),2)</f>
        <v>0</v>
      </c>
      <c r="F26" s="95" t="s">
        <v>49</v>
      </c>
      <c r="K26" s="339"/>
    </row>
    <row r="27" spans="1:12" ht="15.75" x14ac:dyDescent="0.25">
      <c r="A27" s="52"/>
      <c r="D27" s="84">
        <f>IF(D23&gt;6,"Zusatz-Konti für DFöKL",)</f>
        <v>0</v>
      </c>
      <c r="E27" s="85">
        <f>IF(D23&gt;6,D23-6,)</f>
        <v>0</v>
      </c>
      <c r="F27" s="86" t="str">
        <f>IF(E27&gt;0,"Wochenstunden","")</f>
        <v/>
      </c>
      <c r="K27" s="339"/>
      <c r="L27" s="91" t="s">
        <v>54</v>
      </c>
    </row>
    <row r="28" spans="1:12" ht="15.75" x14ac:dyDescent="0.25">
      <c r="A28" s="52"/>
      <c r="D28" s="15" t="s">
        <v>14</v>
      </c>
      <c r="E28" s="36">
        <f>H16</f>
        <v>0</v>
      </c>
      <c r="F28" s="14" t="s">
        <v>45</v>
      </c>
      <c r="K28" s="339"/>
    </row>
    <row r="29" spans="1:12" ht="15.75" x14ac:dyDescent="0.25">
      <c r="A29" s="52"/>
      <c r="D29" s="19" t="s">
        <v>15</v>
      </c>
      <c r="E29" s="365">
        <f>ROUNDUP(SUM(E26:E28),1)</f>
        <v>0</v>
      </c>
      <c r="K29" s="339"/>
    </row>
    <row r="30" spans="1:12" ht="15.75" x14ac:dyDescent="0.25">
      <c r="A30" s="52"/>
      <c r="D30" s="12" t="s">
        <v>51</v>
      </c>
      <c r="E30" s="27">
        <f>CEILING(G16,0.5)</f>
        <v>0</v>
      </c>
      <c r="F30" s="31" t="str">
        <f>IF(E30&gt;0," ohne Stunden der schulischen Assistenz","")</f>
        <v/>
      </c>
      <c r="K30" s="339"/>
    </row>
    <row r="31" spans="1:12" ht="15.75" x14ac:dyDescent="0.25">
      <c r="A31" s="52"/>
      <c r="D31" s="12" t="s">
        <v>20</v>
      </c>
      <c r="E31" s="28"/>
      <c r="F31" s="30" t="s">
        <v>387</v>
      </c>
      <c r="K31" s="339"/>
    </row>
    <row r="32" spans="1:12" ht="5.25" customHeight="1" thickBot="1" x14ac:dyDescent="0.3">
      <c r="E32" s="4"/>
      <c r="K32" s="339"/>
    </row>
    <row r="33" spans="1:13" ht="18.75" thickTop="1" thickBot="1" x14ac:dyDescent="0.35">
      <c r="A33" s="64"/>
      <c r="D33" s="17" t="s">
        <v>16</v>
      </c>
      <c r="E33" s="29">
        <f>ROUND(SUM(E29:E32),1)</f>
        <v>0</v>
      </c>
      <c r="F33" s="16" t="s">
        <v>50</v>
      </c>
      <c r="K33" s="339"/>
    </row>
    <row r="34" spans="1:13" ht="5.25" customHeight="1" thickTop="1" x14ac:dyDescent="0.25">
      <c r="K34" s="339"/>
    </row>
    <row r="35" spans="1:13" hidden="1" x14ac:dyDescent="0.25">
      <c r="E35" s="18" t="s">
        <v>53</v>
      </c>
      <c r="F35" s="65"/>
      <c r="G35" s="82" t="str">
        <f>IF(F35&gt;0,"..kommen von der PTS Bregenz","..gehen an die PTS Lauterach")</f>
        <v>..gehen an die PTS Lauterach</v>
      </c>
      <c r="K35" s="339"/>
      <c r="L35" s="93" t="s">
        <v>52</v>
      </c>
    </row>
    <row r="36" spans="1:13" ht="15.75" x14ac:dyDescent="0.25">
      <c r="A36" s="52"/>
      <c r="E36" s="88">
        <f>IF(F36&lt;&gt;0,"Weiters wegen geänderter Klassenzahl:",)</f>
        <v>0</v>
      </c>
      <c r="F36" s="234">
        <f>L37</f>
        <v>0</v>
      </c>
      <c r="G36" s="706">
        <f>IF(L37&lt;0,"..als Reduktion wegen eingerichteter Mehrklassen",IF(L37&gt;0,"..wegen Unterschreitung der möglichen Klassenzahl",))</f>
        <v>0</v>
      </c>
      <c r="H36" s="706"/>
      <c r="I36" s="706"/>
      <c r="J36" s="706"/>
      <c r="K36" s="339"/>
      <c r="L36" s="92" t="s">
        <v>21</v>
      </c>
    </row>
    <row r="37" spans="1:13" x14ac:dyDescent="0.25">
      <c r="F37" s="24">
        <f>IF(OR(F35&lt;&gt;0,F36&lt;&gt;0),SUM(E33,F35,F36),)</f>
        <v>0</v>
      </c>
      <c r="G37" s="706"/>
      <c r="H37" s="706"/>
      <c r="I37" s="706"/>
      <c r="J37" s="706"/>
      <c r="K37" s="339"/>
      <c r="L37" s="23">
        <f>IF(AND(L18&lt;8,D19&gt;7),(L18*1.5)-18,IF(AND(D19&lt;&gt;L18,MIN(D19,L18)&lt;M37),(MIN(D19,M37)-MIN(L18,M37))*-1.5,))</f>
        <v>0</v>
      </c>
      <c r="M37" s="32">
        <v>12</v>
      </c>
    </row>
    <row r="38" spans="1:13" ht="18.75" x14ac:dyDescent="0.3">
      <c r="A38" s="230"/>
      <c r="B38" s="231" t="s">
        <v>98</v>
      </c>
      <c r="C38" s="205" t="s">
        <v>58</v>
      </c>
      <c r="D38" s="206"/>
      <c r="E38" s="206"/>
      <c r="F38" s="232"/>
      <c r="G38" s="233" t="s">
        <v>99</v>
      </c>
      <c r="H38" s="232"/>
      <c r="I38" s="228"/>
      <c r="J38" s="236">
        <f>E40</f>
        <v>0</v>
      </c>
      <c r="K38" s="339"/>
    </row>
    <row r="39" spans="1:13" ht="15.75" x14ac:dyDescent="0.25">
      <c r="A39" s="52"/>
      <c r="B39" s="74" t="s">
        <v>48</v>
      </c>
      <c r="K39" s="339"/>
      <c r="L39" s="675" t="s">
        <v>405</v>
      </c>
    </row>
    <row r="40" spans="1:13" ht="15.75" x14ac:dyDescent="0.25">
      <c r="A40" s="52"/>
      <c r="D40" s="20" t="s">
        <v>243</v>
      </c>
      <c r="E40" s="237">
        <f>IF(GTS!A30&gt;0,GTS!A29,GTS!A28)</f>
        <v>0</v>
      </c>
      <c r="F40" s="76"/>
      <c r="G40" s="76"/>
      <c r="H40" s="77" t="s">
        <v>244</v>
      </c>
      <c r="I40" s="238">
        <f>GTS!C6</f>
        <v>0</v>
      </c>
      <c r="J40" s="73" t="s">
        <v>47</v>
      </c>
      <c r="K40" s="339"/>
      <c r="L40" s="239">
        <f>IF(E40=0,,"..die ILZ-Stunden sind *0,5 einbezogen")</f>
        <v>0</v>
      </c>
    </row>
    <row r="41" spans="1:13" ht="18.75" x14ac:dyDescent="0.3">
      <c r="A41" s="3"/>
      <c r="B41" s="75" t="s">
        <v>17</v>
      </c>
      <c r="D41" s="76"/>
      <c r="E41" s="705">
        <f>IF(SUM(E37:E40)=0,,SUM(E37:E40,E33:F36))</f>
        <v>0</v>
      </c>
      <c r="F41" s="705"/>
      <c r="G41" s="78"/>
      <c r="H41" s="78"/>
      <c r="I41" s="78"/>
      <c r="J41" s="78"/>
      <c r="K41" s="339"/>
    </row>
    <row r="42" spans="1:13" ht="18.75" x14ac:dyDescent="0.3">
      <c r="A42" s="3"/>
      <c r="B42" s="704"/>
      <c r="C42" s="704"/>
      <c r="D42" s="704"/>
      <c r="E42" s="704"/>
      <c r="F42" s="704"/>
      <c r="G42" s="704"/>
      <c r="H42" s="704"/>
      <c r="I42" s="704"/>
      <c r="J42" s="704"/>
      <c r="K42" s="339"/>
    </row>
    <row r="43" spans="1:13" ht="18.75" x14ac:dyDescent="0.3">
      <c r="A43" s="3"/>
      <c r="B43" s="704"/>
      <c r="C43" s="704"/>
      <c r="D43" s="704"/>
      <c r="E43" s="704"/>
      <c r="F43" s="704"/>
      <c r="G43" s="704"/>
      <c r="H43" s="704"/>
      <c r="I43" s="704"/>
      <c r="J43" s="704"/>
      <c r="K43" s="339"/>
    </row>
    <row r="44" spans="1:13" ht="18.75" x14ac:dyDescent="0.3">
      <c r="A44" s="3"/>
      <c r="B44" s="704"/>
      <c r="C44" s="704"/>
      <c r="D44" s="704"/>
      <c r="E44" s="704"/>
      <c r="F44" s="704"/>
      <c r="G44" s="704"/>
      <c r="H44" s="704"/>
      <c r="I44" s="704"/>
      <c r="J44" s="704"/>
      <c r="K44" s="341"/>
      <c r="L44" s="34">
        <f>IF(K44&lt;&gt;0," KL genehmigt durch BilDi",)</f>
        <v>0</v>
      </c>
    </row>
    <row r="45" spans="1:13" ht="10.5" customHeight="1" x14ac:dyDescent="0.25">
      <c r="K45" s="339"/>
    </row>
    <row r="46" spans="1:13" ht="18.75" x14ac:dyDescent="0.3">
      <c r="A46" s="207"/>
      <c r="B46" s="205" t="s">
        <v>94</v>
      </c>
      <c r="C46" s="208"/>
      <c r="D46" s="206" t="s">
        <v>95</v>
      </c>
      <c r="E46" s="208"/>
      <c r="F46" s="208"/>
      <c r="G46" s="208"/>
      <c r="H46" s="208"/>
      <c r="I46" s="208"/>
      <c r="J46" s="208"/>
      <c r="K46" s="339"/>
      <c r="L46" s="235">
        <f>LOOKUP(B7,BasisP!M6:M18,BasisP!L6:L18)</f>
        <v>0</v>
      </c>
    </row>
    <row r="47" spans="1:13" ht="6" customHeight="1" x14ac:dyDescent="0.25">
      <c r="A47" s="92"/>
      <c r="B47" s="92"/>
      <c r="K47" s="339"/>
    </row>
    <row r="48" spans="1:13" ht="15.75" x14ac:dyDescent="0.25">
      <c r="A48" s="213"/>
      <c r="B48" s="92"/>
      <c r="D48" s="214" t="s">
        <v>96</v>
      </c>
      <c r="E48" s="215"/>
      <c r="F48" s="216" t="s">
        <v>97</v>
      </c>
      <c r="G48" s="217"/>
      <c r="H48" s="218"/>
      <c r="I48" s="218"/>
      <c r="J48" s="218"/>
      <c r="K48" s="310"/>
      <c r="L48" s="219">
        <f>IF(L46&gt;0,,LOOKUP(E48,BasisP!L22:L51,BasisP!M22:M51))</f>
        <v>0</v>
      </c>
      <c r="M48" s="92">
        <f>IF(AND(H50&lt;&gt;" ",H50&gt;L48),H50-L48,)</f>
        <v>0</v>
      </c>
    </row>
    <row r="49" spans="1:15" ht="15.75" x14ac:dyDescent="0.25">
      <c r="A49" s="213"/>
      <c r="B49" s="92"/>
      <c r="D49" s="220"/>
      <c r="E49" s="221" t="str">
        <f>IF(E48&gt;0,"Das mögliche Ausmaß beträgt: "," ")</f>
        <v xml:space="preserve"> </v>
      </c>
      <c r="F49" s="222" t="str">
        <f>IF(AND(E48&gt;5,L46=0)," maximal  "&amp;TEXT(L48,"0,0")&amp;"  für die umfassende Betreuung",IF(E48&gt;0,"nichts möglich"," "))</f>
        <v xml:space="preserve"> </v>
      </c>
      <c r="G49" s="223"/>
      <c r="H49" s="220"/>
      <c r="I49" s="220"/>
      <c r="K49" s="339"/>
      <c r="L49" s="217">
        <f>IF(L48&gt;=2.5,0.1,)+L48</f>
        <v>0</v>
      </c>
      <c r="M49" s="22">
        <f>IF(L49&gt;L48," um max. 0,1 darf erhöht werden ..zulasten des Unterr.-Kontingentes",)</f>
        <v>0</v>
      </c>
    </row>
    <row r="50" spans="1:15" ht="15.75" x14ac:dyDescent="0.25">
      <c r="A50" s="213"/>
      <c r="B50" s="92"/>
      <c r="D50" s="224"/>
      <c r="E50" s="225"/>
      <c r="F50" s="218"/>
      <c r="G50" s="226" t="str">
        <f>IF(L48&gt;0,"Die tatsächl. Betreuung berechtigt als LV-Einrechnung: ","")</f>
        <v/>
      </c>
      <c r="H50" s="227" t="str">
        <f>IF(L48&gt;0,L48," ")</f>
        <v xml:space="preserve"> </v>
      </c>
      <c r="I50" s="217" t="str">
        <f>IF(H50&lt;&gt;" ","  wöchentlich","")</f>
        <v/>
      </c>
      <c r="K50" s="339"/>
      <c r="L50">
        <f>IF(B7=0,,LOOKUP(B7,CI!C3:C224,CI!N3:N224))</f>
        <v>0</v>
      </c>
      <c r="M50" s="686">
        <f>IF(L50&lt;0,"IT Aufgaben teilweise übertragen. Daher Kürzung der Einrechnung für die IT-Betreuung um 0,5 Stunden.",)</f>
        <v>0</v>
      </c>
    </row>
    <row r="51" spans="1:15" ht="11.25" customHeight="1" x14ac:dyDescent="0.25">
      <c r="A51" s="92"/>
      <c r="B51" s="228"/>
      <c r="K51" s="339"/>
    </row>
    <row r="52" spans="1:15" ht="15.75" x14ac:dyDescent="0.25">
      <c r="A52" s="213"/>
      <c r="B52" s="254"/>
      <c r="C52" s="255" t="s">
        <v>123</v>
      </c>
      <c r="D52" s="256"/>
      <c r="F52" s="225"/>
      <c r="G52" s="225"/>
      <c r="H52" s="257"/>
      <c r="I52" s="217" t="str">
        <f>IF(H52&gt;0,"  wöchentlich","")</f>
        <v/>
      </c>
      <c r="K52" s="339"/>
      <c r="L52" s="260">
        <f>SUBTOTAL(102,H50:H52)</f>
        <v>0</v>
      </c>
    </row>
    <row r="53" spans="1:15" x14ac:dyDescent="0.25">
      <c r="A53" s="92"/>
      <c r="B53" s="228"/>
      <c r="I53" s="258">
        <f>IF(OR(L53=0,L52&lt;2),,TEXT(L53,"0,0")&amp;" in Summe")</f>
        <v>0</v>
      </c>
      <c r="K53" s="339"/>
      <c r="L53" s="259">
        <f>SUM(H43:H52)</f>
        <v>0</v>
      </c>
      <c r="M53" s="242" t="str">
        <f>LOOKUP(B7,BasisP!M6:M18,BasisP!P6:P18)</f>
        <v>Altr.</v>
      </c>
      <c r="N53" s="242">
        <f>L46</f>
        <v>0</v>
      </c>
    </row>
    <row r="54" spans="1:15" ht="6" customHeight="1" x14ac:dyDescent="0.25">
      <c r="K54" s="339"/>
    </row>
    <row r="55" spans="1:15" ht="15.75" x14ac:dyDescent="0.25">
      <c r="A55" s="92"/>
      <c r="B55" s="243" t="s">
        <v>102</v>
      </c>
      <c r="E55" s="44" t="s">
        <v>103</v>
      </c>
      <c r="F55" s="713" t="str">
        <f>IF(L46="angeschl.",M57,IF(M53="PD",M56,M55))</f>
        <v xml:space="preserve"> ist im Altrecht angestellt (meist L2a2)</v>
      </c>
      <c r="G55" s="714"/>
      <c r="H55" s="714"/>
      <c r="I55" s="714"/>
      <c r="J55" s="715"/>
      <c r="K55" s="339"/>
      <c r="L55" s="338" t="str">
        <f>LOOKUP(F55,M55:M57,N55:N57)</f>
        <v>a</v>
      </c>
      <c r="M55" s="244" t="s">
        <v>104</v>
      </c>
      <c r="N55" s="244" t="s">
        <v>105</v>
      </c>
    </row>
    <row r="56" spans="1:15" ht="7.5" customHeight="1" x14ac:dyDescent="0.25">
      <c r="A56" s="92"/>
      <c r="B56" s="92"/>
      <c r="K56" s="339"/>
      <c r="M56" s="244" t="s">
        <v>106</v>
      </c>
      <c r="N56" s="244" t="s">
        <v>107</v>
      </c>
    </row>
    <row r="57" spans="1:15" x14ac:dyDescent="0.25">
      <c r="A57" s="92"/>
      <c r="B57" s="245" t="s">
        <v>108</v>
      </c>
      <c r="D57" s="2" t="s">
        <v>109</v>
      </c>
      <c r="E57" s="246" t="s">
        <v>110</v>
      </c>
      <c r="F57" s="2"/>
      <c r="G57" s="2" t="s">
        <v>111</v>
      </c>
      <c r="K57" s="339"/>
      <c r="M57" s="244" t="s">
        <v>112</v>
      </c>
      <c r="N57" s="244" t="s">
        <v>113</v>
      </c>
      <c r="O57" s="247" t="s">
        <v>114</v>
      </c>
    </row>
    <row r="58" spans="1:15" x14ac:dyDescent="0.25">
      <c r="A58" s="92"/>
      <c r="B58" s="92"/>
      <c r="C58" s="248" t="s">
        <v>115</v>
      </c>
      <c r="D58" s="249">
        <f>IF(AND(L55="a",C12&gt;0),-2,)</f>
        <v>0</v>
      </c>
      <c r="E58" s="249">
        <f>-D19*1.5</f>
        <v>0</v>
      </c>
      <c r="F58" s="250"/>
      <c r="G58" s="250">
        <f>IF(OR(GTS!AK26=0,M71="PD",L55="b"),,GTS!BD30*-0.75)</f>
        <v>0</v>
      </c>
      <c r="I58" s="703">
        <f>IF(OR(M53="PD",L55="b"),,IF(SUM(D58:H58)&lt;-20,"-20 maximal",SUM(D58:H58)))</f>
        <v>0</v>
      </c>
      <c r="J58" s="703"/>
      <c r="K58" s="339"/>
    </row>
    <row r="59" spans="1:15" x14ac:dyDescent="0.25">
      <c r="A59" s="92"/>
      <c r="B59" s="92"/>
      <c r="C59" s="261" t="str">
        <f>IF(OR(M53&lt;&gt;"Altr.",L55="b",L46="angeschl."),,IF(D19&gt;7,"SchulleiterIn ist freigestellt!","Schulleit. mit Unterr.Verpflichtung"))</f>
        <v>Schulleit. mit Unterr.Verpflichtung</v>
      </c>
      <c r="G59" s="251">
        <f>IF(LEFT(G58,1)="?","siehe SOK",)</f>
        <v>0</v>
      </c>
      <c r="H59" s="702" t="str">
        <f>IF(L55="b","",IF(SUM(D58:G58)&lt;-20,"keine Supplierverpflichtung",IF(C59="SchulleiterIn ist freigestellt!","Schulleit. mit "&amp;20+SUM(D58:G58)&amp;"
Supplierverpflichtung","somit verbleiben 
"&amp;20+SUM(D58:G58)&amp;" an wöch. Unterr.Verpfli")))</f>
        <v>somit verbleiben 
20 an wöch. Unterr.Verpfli</v>
      </c>
      <c r="I59" s="702"/>
      <c r="J59" s="702"/>
      <c r="K59" s="702"/>
      <c r="L59" s="252">
        <f>IF(AND(G59&gt;0,SUM(D58:H58)&gt;-20),"noch ohne '? ..'",)</f>
        <v>0</v>
      </c>
    </row>
    <row r="60" spans="1:15" ht="13.5" customHeight="1" x14ac:dyDescent="0.25">
      <c r="H60" s="702"/>
      <c r="I60" s="702"/>
      <c r="J60" s="702"/>
      <c r="K60" s="702"/>
    </row>
    <row r="61" spans="1:15" x14ac:dyDescent="0.25">
      <c r="A61" s="92"/>
      <c r="B61" s="92"/>
      <c r="C61" s="348" t="s">
        <v>116</v>
      </c>
      <c r="D61" s="349" t="s">
        <v>117</v>
      </c>
      <c r="K61" s="92"/>
      <c r="L61" s="242" t="s">
        <v>118</v>
      </c>
    </row>
    <row r="62" spans="1:15" ht="15.75" x14ac:dyDescent="0.25">
      <c r="A62" s="213"/>
      <c r="B62" s="92"/>
      <c r="J62" s="350" t="s">
        <v>119</v>
      </c>
      <c r="K62" s="339"/>
    </row>
    <row r="63" spans="1:15" ht="10.5" customHeight="1" x14ac:dyDescent="0.25">
      <c r="K63" s="339"/>
    </row>
    <row r="64" spans="1:15" ht="18.75" x14ac:dyDescent="0.3">
      <c r="A64" s="670"/>
      <c r="B64" s="665" t="s">
        <v>120</v>
      </c>
      <c r="C64" s="666" t="s">
        <v>121</v>
      </c>
      <c r="D64" s="667"/>
      <c r="E64" s="668"/>
      <c r="F64" s="668"/>
      <c r="G64" s="668"/>
      <c r="H64" s="668"/>
      <c r="I64" s="668"/>
      <c r="J64" s="668"/>
      <c r="K64" s="339"/>
      <c r="L64" s="669" t="s">
        <v>388</v>
      </c>
      <c r="M64" s="668"/>
      <c r="N64" s="668"/>
      <c r="O64" s="671"/>
    </row>
    <row r="65" spans="1:12" ht="6" customHeight="1" x14ac:dyDescent="0.25">
      <c r="A65" s="92"/>
      <c r="B65" s="92"/>
      <c r="K65" s="339"/>
    </row>
    <row r="66" spans="1:12" x14ac:dyDescent="0.25">
      <c r="C66" s="248" t="s">
        <v>122</v>
      </c>
      <c r="D66" s="329">
        <f>Assistenz!L61</f>
        <v>0</v>
      </c>
      <c r="E66" t="str">
        <f>" Wochenstunden"&amp;IF(D66&gt;0," für Assistenzleistungen",)&amp;IF(Assistenz!I60&gt;0," (incl. GTS)",)</f>
        <v xml:space="preserve"> Wochenstunden</v>
      </c>
      <c r="K66" s="339"/>
      <c r="L66" s="672" t="s">
        <v>389</v>
      </c>
    </row>
    <row r="67" spans="1:12" x14ac:dyDescent="0.25">
      <c r="K67" s="339"/>
    </row>
    <row r="68" spans="1:12" ht="41.25" customHeight="1" x14ac:dyDescent="0.25">
      <c r="K68" s="339"/>
    </row>
    <row r="69" spans="1:12" ht="18.75" x14ac:dyDescent="0.3">
      <c r="A69" s="230"/>
      <c r="B69" s="331"/>
      <c r="C69" s="332" t="s">
        <v>151</v>
      </c>
      <c r="D69" s="333"/>
      <c r="E69" s="333"/>
      <c r="F69" s="333"/>
      <c r="G69" s="333"/>
      <c r="H69" s="334" t="s">
        <v>245</v>
      </c>
      <c r="I69" s="333"/>
      <c r="J69" s="333"/>
      <c r="K69" s="339"/>
    </row>
    <row r="70" spans="1:12" ht="6" customHeight="1" x14ac:dyDescent="0.25">
      <c r="A70" s="92"/>
      <c r="B70" s="92"/>
      <c r="K70" s="339"/>
    </row>
    <row r="71" spans="1:12" x14ac:dyDescent="0.25">
      <c r="B71" s="335" t="s">
        <v>246</v>
      </c>
      <c r="K71" s="339"/>
    </row>
    <row r="72" spans="1:12" ht="15.75" x14ac:dyDescent="0.25">
      <c r="A72" s="52"/>
      <c r="C72" s="336" t="s">
        <v>152</v>
      </c>
      <c r="D72" s="28"/>
      <c r="E72" s="95" t="s">
        <v>155</v>
      </c>
      <c r="G72" s="337"/>
      <c r="H72" s="95" t="s">
        <v>153</v>
      </c>
      <c r="K72" s="339"/>
    </row>
    <row r="73" spans="1:12" x14ac:dyDescent="0.25">
      <c r="D73" t="s">
        <v>154</v>
      </c>
      <c r="K73" s="339"/>
    </row>
    <row r="74" spans="1:12" ht="6" customHeight="1" x14ac:dyDescent="0.25">
      <c r="A74" s="92"/>
      <c r="B74" s="92"/>
      <c r="K74" s="339"/>
    </row>
    <row r="75" spans="1:12" ht="15.75" x14ac:dyDescent="0.25">
      <c r="A75" s="52"/>
      <c r="B75" s="344" t="s">
        <v>156</v>
      </c>
      <c r="C75" s="342" t="s">
        <v>157</v>
      </c>
      <c r="D75" s="343"/>
      <c r="E75" s="95" t="s">
        <v>158</v>
      </c>
      <c r="K75" s="339"/>
    </row>
    <row r="76" spans="1:12" ht="44.25" customHeight="1" x14ac:dyDescent="0.25">
      <c r="A76" s="92"/>
      <c r="B76" s="92"/>
      <c r="K76" s="339"/>
    </row>
    <row r="77" spans="1:12" ht="15.75" x14ac:dyDescent="0.25">
      <c r="A77" s="352"/>
      <c r="B77" s="351" t="s">
        <v>160</v>
      </c>
      <c r="K77" s="339"/>
    </row>
    <row r="78" spans="1:12" x14ac:dyDescent="0.25"/>
    <row r="79" spans="1:12" x14ac:dyDescent="0.25"/>
    <row r="80" spans="1:12" x14ac:dyDescent="0.25"/>
  </sheetData>
  <sheetProtection algorithmName="SHA-512" hashValue="GNXJvTxiIXhBLygpaW1HpHpSTrTRZiIS8LzqkiO26G2pw+XI3clmFIDWELlf6FAHWxJFVCqPj9hdy+YBqqCTPg==" saltValue="hEFYuT1qogIL3KkJxq50WA==" spinCount="100000" sheet="1" formatRows="0"/>
  <mergeCells count="11">
    <mergeCell ref="H1:J1"/>
    <mergeCell ref="H10:H11"/>
    <mergeCell ref="B24:C25"/>
    <mergeCell ref="E24:I25"/>
    <mergeCell ref="F55:J55"/>
    <mergeCell ref="I3:J3"/>
    <mergeCell ref="H59:K60"/>
    <mergeCell ref="I58:J58"/>
    <mergeCell ref="B42:J44"/>
    <mergeCell ref="E41:F41"/>
    <mergeCell ref="G36:J37"/>
  </mergeCells>
  <conditionalFormatting sqref="D24">
    <cfRule type="cellIs" dxfId="223" priority="30" operator="notEqual">
      <formula>" "</formula>
    </cfRule>
  </conditionalFormatting>
  <conditionalFormatting sqref="E31">
    <cfRule type="cellIs" dxfId="222" priority="29" operator="notEqual">
      <formula>0</formula>
    </cfRule>
  </conditionalFormatting>
  <conditionalFormatting sqref="F18">
    <cfRule type="cellIs" dxfId="221" priority="25" operator="notEqual">
      <formula>0</formula>
    </cfRule>
  </conditionalFormatting>
  <conditionalFormatting sqref="F35">
    <cfRule type="cellIs" dxfId="220" priority="24" operator="notEqual">
      <formula>0</formula>
    </cfRule>
  </conditionalFormatting>
  <conditionalFormatting sqref="E23">
    <cfRule type="cellIs" dxfId="219" priority="23" operator="greaterThan">
      <formula>0</formula>
    </cfRule>
  </conditionalFormatting>
  <conditionalFormatting sqref="D23">
    <cfRule type="cellIs" dxfId="218" priority="21" operator="greaterThan">
      <formula>0</formula>
    </cfRule>
  </conditionalFormatting>
  <conditionalFormatting sqref="F49">
    <cfRule type="cellIs" dxfId="217" priority="19" stopIfTrue="1" operator="equal">
      <formula>" "</formula>
    </cfRule>
  </conditionalFormatting>
  <conditionalFormatting sqref="F36">
    <cfRule type="cellIs" dxfId="216" priority="17" operator="notEqual">
      <formula>0</formula>
    </cfRule>
  </conditionalFormatting>
  <conditionalFormatting sqref="F58:G58">
    <cfRule type="cellIs" dxfId="215" priority="15" operator="lessThan">
      <formula>0</formula>
    </cfRule>
  </conditionalFormatting>
  <conditionalFormatting sqref="D66">
    <cfRule type="cellIs" dxfId="214" priority="13" operator="notEqual">
      <formula>0</formula>
    </cfRule>
  </conditionalFormatting>
  <conditionalFormatting sqref="H52">
    <cfRule type="cellIs" dxfId="213" priority="8" operator="lessThan">
      <formula>0</formula>
    </cfRule>
    <cfRule type="cellIs" dxfId="212" priority="10" stopIfTrue="1" operator="greaterThan">
      <formula>0</formula>
    </cfRule>
  </conditionalFormatting>
  <conditionalFormatting sqref="D52">
    <cfRule type="expression" dxfId="211" priority="9">
      <formula>$H$52&lt;&gt;0</formula>
    </cfRule>
  </conditionalFormatting>
  <conditionalFormatting sqref="G58">
    <cfRule type="cellIs" dxfId="210" priority="16" operator="greaterThan">
      <formula>0</formula>
    </cfRule>
  </conditionalFormatting>
  <conditionalFormatting sqref="G59">
    <cfRule type="cellIs" dxfId="209" priority="7" operator="notEqual">
      <formula>0</formula>
    </cfRule>
  </conditionalFormatting>
  <conditionalFormatting sqref="D72">
    <cfRule type="cellIs" dxfId="208" priority="5" operator="notEqual">
      <formula>0</formula>
    </cfRule>
  </conditionalFormatting>
  <conditionalFormatting sqref="G72">
    <cfRule type="cellIs" dxfId="207" priority="4" operator="notEqual">
      <formula>0</formula>
    </cfRule>
  </conditionalFormatting>
  <conditionalFormatting sqref="I58 B57:G59">
    <cfRule type="expression" dxfId="206" priority="104">
      <formula>$L$55="b"</formula>
    </cfRule>
  </conditionalFormatting>
  <conditionalFormatting sqref="C61:J62">
    <cfRule type="expression" dxfId="205" priority="106">
      <formula>$L$55&lt;&gt;"b"</formula>
    </cfRule>
  </conditionalFormatting>
  <conditionalFormatting sqref="H23">
    <cfRule type="cellIs" dxfId="204" priority="1" operator="notEqual">
      <formula>0</formula>
    </cfRule>
  </conditionalFormatting>
  <conditionalFormatting sqref="H50">
    <cfRule type="expression" dxfId="203" priority="107">
      <formula>$M$48=0.1</formula>
    </cfRule>
    <cfRule type="cellIs" dxfId="202" priority="108" stopIfTrue="1" operator="notEqual">
      <formula>" "</formula>
    </cfRule>
  </conditionalFormatting>
  <dataValidations count="12">
    <dataValidation type="whole" allowBlank="1" showInputMessage="1" showErrorMessage="1" prompt="Bitte eine gültige Zahl zwischen 801000 und 804999 eingeben" sqref="B7">
      <formula1>801000</formula1>
      <formula2>804999</formula2>
    </dataValidation>
    <dataValidation type="whole" allowBlank="1" showInputMessage="1" showErrorMessage="1" sqref="D12:E12 G12:H12">
      <formula1>0</formula1>
      <formula2>333</formula2>
    </dataValidation>
    <dataValidation type="whole" allowBlank="1" showInputMessage="1" showErrorMessage="1" sqref="C12">
      <formula1>0</formula1>
      <formula2>555</formula2>
    </dataValidation>
    <dataValidation type="whole" allowBlank="1" showInputMessage="1" showErrorMessage="1" sqref="D19">
      <formula1>0</formula1>
      <formula2>33</formula2>
    </dataValidation>
    <dataValidation type="whole" allowBlank="1" showInputMessage="1" showErrorMessage="1" error="bitte Ganzzahl eingeben!" prompt="zu zählen sind PC u. Laptop im Unterricht, auch interaktive Tafeln;_x000a_Nicht aber Server, PC für Verwaltung und Lehrer(-Vorbereitung) .." sqref="E48">
      <formula1>1</formula1>
      <formula2>222</formula2>
    </dataValidation>
    <dataValidation type="decimal" allowBlank="1" showInputMessage="1" showErrorMessage="1" error="soviel gibt es nicht !!" sqref="H50">
      <formula1>-5</formula1>
      <formula2>L49</formula2>
    </dataValidation>
    <dataValidation type="list" allowBlank="1" showInputMessage="1" showErrorMessage="1" sqref="F55:J55">
      <formula1>$M$55:$M$57</formula1>
    </dataValidation>
    <dataValidation type="list" allowBlank="1" showDropDown="1" showInputMessage="1" showErrorMessage="1" prompt="Bitte &quot;X&quot; eingeben bei Zutreffen" sqref="D75">
      <formula1>"X,x"</formula1>
    </dataValidation>
    <dataValidation allowBlank="1" showInputMessage="1" showErrorMessage="1" prompt="Mit der Tabulator-Taste sind die zu bearbeitenden bzw änderbaren Zellen gut erreichbar.." sqref="B4"/>
    <dataValidation allowBlank="1" showInputMessage="1" showErrorMessage="1" prompt="Hier sind regionale/landesweite Tätigkeiten anzuführen (zB IT-Regionalbetreuung), _x000a_nicht jedoch, was durch eigene Lehrpersonen an einer anderen Schule (aus deren eigenen Einrechnungsstunden) übernommen wird. " sqref="D52"/>
    <dataValidation type="decimal" allowBlank="1" showInputMessage="1" showErrorMessage="1" sqref="H52">
      <formula1>0</formula1>
      <formula2>50</formula2>
    </dataValidation>
    <dataValidation type="decimal" allowBlank="1" showInputMessage="1" showErrorMessage="1" sqref="E31">
      <formula1>0</formula1>
      <formula2>400</formula2>
    </dataValidation>
  </dataValidations>
  <printOptions horizontalCentered="1"/>
  <pageMargins left="0.6692913385826772" right="0.51181102362204722" top="0.59055118110236227" bottom="0.43307086614173229" header="0.31496062992125984" footer="0.31496062992125984"/>
  <pageSetup paperSize="9" scale="110" orientation="portrait" r:id="rId1"/>
  <headerFooter scaleWithDoc="0">
    <oddFooter>&amp;C&amp;5&amp;Z&amp;11&amp;F&amp;R&amp;D</oddFooter>
  </headerFooter>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8" tint="0.59999389629810485"/>
    <pageSetUpPr fitToPage="1"/>
  </sheetPr>
  <dimension ref="A1:BN57"/>
  <sheetViews>
    <sheetView showGridLines="0" showZeros="0" zoomScaleNormal="100" workbookViewId="0">
      <selection activeCell="J5" sqref="J5:K5"/>
    </sheetView>
  </sheetViews>
  <sheetFormatPr baseColWidth="10" defaultColWidth="0" defaultRowHeight="15" zeroHeight="1" x14ac:dyDescent="0.25"/>
  <cols>
    <col min="1" max="2" width="7.5703125" style="99" customWidth="1"/>
    <col min="3" max="3" width="4.5703125" style="99" hidden="1" customWidth="1"/>
    <col min="4" max="4" width="7.140625" style="99" customWidth="1"/>
    <col min="5" max="6" width="6.5703125" style="99" customWidth="1"/>
    <col min="7" max="9" width="6" style="99" customWidth="1"/>
    <col min="10" max="10" width="1.85546875" style="99" customWidth="1"/>
    <col min="11" max="12" width="6.5703125" style="99" customWidth="1"/>
    <col min="13" max="15" width="6" style="99" customWidth="1"/>
    <col min="16" max="16" width="3" style="99" customWidth="1"/>
    <col min="17" max="18" width="6.5703125" style="99" customWidth="1"/>
    <col min="19" max="21" width="6" style="99" customWidth="1"/>
    <col min="22" max="22" width="1.85546875" style="99" customWidth="1"/>
    <col min="23" max="24" width="6.5703125" style="99" customWidth="1"/>
    <col min="25" max="27" width="6" style="99" customWidth="1"/>
    <col min="28" max="28" width="3" style="99" customWidth="1"/>
    <col min="29" max="30" width="6.5703125" style="99" customWidth="1"/>
    <col min="31" max="33" width="6" style="99" customWidth="1"/>
    <col min="34" max="34" width="3" style="99" customWidth="1"/>
    <col min="35" max="35" width="3" style="99" hidden="1" customWidth="1"/>
    <col min="36" max="45" width="5" style="99" hidden="1" customWidth="1"/>
    <col min="46" max="46" width="5.140625" style="585" hidden="1" customWidth="1"/>
    <col min="47" max="47" width="4.5703125" style="585" hidden="1" customWidth="1"/>
    <col min="48" max="48" width="4.28515625" style="585" hidden="1" customWidth="1"/>
    <col min="49" max="49" width="3.7109375" style="585" hidden="1" customWidth="1"/>
    <col min="50" max="50" width="4.5703125" style="585" hidden="1" customWidth="1"/>
    <col min="51" max="51" width="4" style="585" hidden="1" customWidth="1"/>
    <col min="52" max="52" width="4.85546875" style="585" hidden="1" customWidth="1"/>
    <col min="53" max="53" width="4.28515625" style="585" hidden="1" customWidth="1"/>
    <col min="54" max="54" width="4.7109375" style="585" hidden="1" customWidth="1"/>
    <col min="55" max="55" width="4.140625" style="585" hidden="1" customWidth="1"/>
    <col min="56" max="56" width="7.7109375" style="585" hidden="1" customWidth="1"/>
    <col min="57" max="57" width="4.5703125" style="585" hidden="1" customWidth="1"/>
    <col min="58" max="58" width="4.28515625" style="585" hidden="1" customWidth="1"/>
    <col min="59" max="59" width="3.7109375" style="585" hidden="1" customWidth="1"/>
    <col min="60" max="60" width="4.5703125" style="585" hidden="1" customWidth="1"/>
    <col min="61" max="61" width="4" style="585" hidden="1" customWidth="1"/>
    <col min="62" max="62" width="4.85546875" style="585" hidden="1" customWidth="1"/>
    <col min="63" max="63" width="4.28515625" style="585" hidden="1" customWidth="1"/>
    <col min="64" max="64" width="4.7109375" style="585" hidden="1" customWidth="1"/>
    <col min="65" max="65" width="4.140625" style="585" hidden="1" customWidth="1"/>
    <col min="66" max="66" width="11.42578125" style="585" hidden="1" customWidth="1"/>
    <col min="67" max="16384" width="0" style="585" hidden="1"/>
  </cols>
  <sheetData>
    <row r="1" spans="1:66" ht="31.5" x14ac:dyDescent="0.5">
      <c r="A1" s="98" t="s">
        <v>58</v>
      </c>
      <c r="Q1" s="100" t="s">
        <v>59</v>
      </c>
      <c r="R1" s="584" t="str">
        <f>Konti_PTS!C7</f>
        <v>PTS  . . .</v>
      </c>
      <c r="AF1" s="347" t="str">
        <f>"zum Schulstart 20"&amp;RIGHT(Konti_PTS!H1,5)</f>
        <v>zum Schulstart 2023/24</v>
      </c>
      <c r="AG1" s="347"/>
      <c r="AL1" s="101">
        <v>10</v>
      </c>
      <c r="AM1" s="102">
        <v>20</v>
      </c>
      <c r="AN1" s="103" t="s">
        <v>60</v>
      </c>
      <c r="AO1" s="101" t="s">
        <v>61</v>
      </c>
    </row>
    <row r="2" spans="1:66" ht="11.25" customHeight="1" x14ac:dyDescent="0.25">
      <c r="AL2" s="106">
        <v>4</v>
      </c>
      <c r="AM2" s="102">
        <v>7</v>
      </c>
      <c r="AN2" s="101">
        <v>3</v>
      </c>
      <c r="AO2" s="107">
        <v>2</v>
      </c>
    </row>
    <row r="3" spans="1:66" ht="13.5" customHeight="1" x14ac:dyDescent="0.25">
      <c r="A3" s="105"/>
      <c r="R3" s="585"/>
      <c r="V3" s="108" t="s">
        <v>62</v>
      </c>
      <c r="W3" s="109" t="s">
        <v>63</v>
      </c>
      <c r="AL3" s="101">
        <v>25</v>
      </c>
      <c r="AM3" s="107">
        <v>0</v>
      </c>
      <c r="AN3" s="102">
        <v>0.4</v>
      </c>
      <c r="AO3" s="103">
        <f>SUM(AN2:AO2)</f>
        <v>5</v>
      </c>
    </row>
    <row r="4" spans="1:66" ht="15.75" thickBot="1" x14ac:dyDescent="0.3">
      <c r="D4" s="110" t="s">
        <v>159</v>
      </c>
      <c r="Q4" s="585"/>
      <c r="R4" s="585"/>
      <c r="S4" s="586" t="s">
        <v>64</v>
      </c>
      <c r="T4" s="111"/>
      <c r="U4" s="111"/>
      <c r="V4" s="112" t="s">
        <v>65</v>
      </c>
      <c r="AL4" s="101"/>
      <c r="AM4" s="107">
        <v>2</v>
      </c>
      <c r="AN4" s="102">
        <v>0.62</v>
      </c>
      <c r="AO4" s="101"/>
    </row>
    <row r="5" spans="1:66" ht="20.25" thickTop="1" thickBot="1" x14ac:dyDescent="0.35">
      <c r="A5" s="113"/>
      <c r="H5" s="114" t="s">
        <v>87</v>
      </c>
      <c r="I5" s="114"/>
      <c r="J5" s="744"/>
      <c r="K5" s="745"/>
      <c r="L5" s="115" t="s">
        <v>66</v>
      </c>
      <c r="M5" s="116"/>
      <c r="N5" s="117" t="str">
        <f>IF(M5&lt;0," an anderer Schule", IF(M5&gt;0," von anderer Schule"," an/von anderer Schule"))</f>
        <v xml:space="preserve"> an/von anderer Schule</v>
      </c>
      <c r="O5" s="117"/>
      <c r="Q5" s="585"/>
      <c r="R5" s="585"/>
      <c r="S5" s="118">
        <f>IF(M5&lt;&gt;0,"= "&amp;C6,)</f>
        <v>0</v>
      </c>
      <c r="AL5" s="101"/>
      <c r="AM5" s="107">
        <v>3</v>
      </c>
      <c r="AN5" s="102">
        <v>0.84</v>
      </c>
      <c r="AO5" s="101"/>
    </row>
    <row r="6" spans="1:66" ht="19.5" thickTop="1" x14ac:dyDescent="0.3">
      <c r="A6" s="113"/>
      <c r="C6" s="119">
        <f>SUM(J5,M5)</f>
        <v>0</v>
      </c>
      <c r="P6" s="100">
        <f>IF(AO7&gt;0,"daher sind bei pr3 wöchentlich höchstens ",)</f>
        <v>0</v>
      </c>
      <c r="Q6" s="120">
        <f>IF(AO7&gt;0,AO7,)</f>
        <v>0</v>
      </c>
      <c r="R6" s="121">
        <f>ROUNDUP($AO7*0.84,1)</f>
        <v>0</v>
      </c>
      <c r="S6" s="121">
        <f>ROUNDUP($AO7*0.62,1)</f>
        <v>0</v>
      </c>
      <c r="T6" s="122">
        <f>ROUNDUP($AO7*0.4,1)</f>
        <v>0</v>
      </c>
      <c r="U6" s="587"/>
      <c r="V6" s="99">
        <f>IF(AO7&gt;0," Wochenstunden über die Lehrerbesoldung abrechenbar,",)</f>
        <v>0</v>
      </c>
      <c r="AL6" s="101"/>
      <c r="AM6" s="123">
        <v>4</v>
      </c>
      <c r="AN6" s="124">
        <v>1</v>
      </c>
    </row>
    <row r="7" spans="1:66" x14ac:dyDescent="0.25">
      <c r="A7" s="105"/>
      <c r="Q7" s="125">
        <f>IF(AO7&gt;0,"bei Lernzeiten an ..  4 od. 5, ",)</f>
        <v>0</v>
      </c>
      <c r="R7" s="126">
        <f>IF(AO7&gt;0,"an 3,",)</f>
        <v>0</v>
      </c>
      <c r="S7" s="126">
        <f>IF(AO7&gt;0,"an 2,",)</f>
        <v>0</v>
      </c>
      <c r="T7" s="127">
        <f>IF(AO7&gt;0," oder lediglich an 1 Tag(en) pro Woche.",)</f>
        <v>0</v>
      </c>
      <c r="U7" s="588"/>
      <c r="AL7" s="101">
        <v>40</v>
      </c>
      <c r="AN7" s="128">
        <f>ROUNDUP(LOOKUP(AL27,AM3:AM6,AN3:AN6)*AO7,1)</f>
        <v>0</v>
      </c>
      <c r="AO7" s="129">
        <f>IF(C6&lt;AM2,,IF(C6&lt;AL7,LOOKUP(C6,AN8:AN11,AO8:AO11),ROUNDDOWN(C6/AL$1,0)*AN$2+ROUNDDOWN(C6/AM$1,0)*AO$2))</f>
        <v>0</v>
      </c>
      <c r="AP7" s="130">
        <f>IF(C6&gt;=AM1,MAX(ROUNDDOWN(C6/AM1,0),ROUNDUP(C6/AL3,0)),IF(C6&gt;=AM2,1,))</f>
        <v>0</v>
      </c>
    </row>
    <row r="8" spans="1:66" ht="15.75" x14ac:dyDescent="0.25">
      <c r="A8" s="131" t="s">
        <v>88</v>
      </c>
      <c r="AN8" s="132">
        <v>0</v>
      </c>
      <c r="AO8" s="133">
        <f>AO3</f>
        <v>5</v>
      </c>
    </row>
    <row r="9" spans="1:66" ht="6.75" customHeight="1" x14ac:dyDescent="0.25">
      <c r="A9" s="105"/>
      <c r="AN9" s="132">
        <v>18</v>
      </c>
      <c r="AO9" s="133">
        <f>AO8*1.6</f>
        <v>8</v>
      </c>
    </row>
    <row r="10" spans="1:66" ht="21" customHeight="1" x14ac:dyDescent="0.35">
      <c r="A10" s="134"/>
      <c r="D10" s="135" t="s">
        <v>67</v>
      </c>
      <c r="E10" s="589"/>
      <c r="F10" s="730" t="s">
        <v>68</v>
      </c>
      <c r="G10" s="730"/>
      <c r="H10" s="590"/>
      <c r="I10" s="719" t="s">
        <v>356</v>
      </c>
      <c r="J10" s="591"/>
      <c r="K10" s="589"/>
      <c r="L10" s="730" t="s">
        <v>69</v>
      </c>
      <c r="M10" s="730"/>
      <c r="N10" s="590"/>
      <c r="O10" s="719" t="s">
        <v>356</v>
      </c>
      <c r="P10" s="591"/>
      <c r="Q10" s="589"/>
      <c r="R10" s="730" t="s">
        <v>70</v>
      </c>
      <c r="S10" s="730"/>
      <c r="T10" s="590"/>
      <c r="U10" s="719" t="s">
        <v>356</v>
      </c>
      <c r="V10" s="591"/>
      <c r="W10" s="589"/>
      <c r="X10" s="730" t="s">
        <v>71</v>
      </c>
      <c r="Y10" s="730"/>
      <c r="Z10" s="590"/>
      <c r="AA10" s="719" t="s">
        <v>356</v>
      </c>
      <c r="AB10" s="591"/>
      <c r="AC10" s="589"/>
      <c r="AD10" s="730" t="s">
        <v>72</v>
      </c>
      <c r="AE10" s="730"/>
      <c r="AF10" s="590"/>
      <c r="AG10" s="719" t="s">
        <v>356</v>
      </c>
      <c r="AH10" s="591"/>
      <c r="AN10" s="132">
        <v>24</v>
      </c>
      <c r="AO10" s="133">
        <f>AO8*2</f>
        <v>10</v>
      </c>
    </row>
    <row r="11" spans="1:66" ht="15" customHeight="1" x14ac:dyDescent="0.25">
      <c r="A11" s="740" t="s">
        <v>73</v>
      </c>
      <c r="B11" s="741"/>
      <c r="C11" s="136"/>
      <c r="D11" s="136"/>
      <c r="E11" s="592" t="s">
        <v>74</v>
      </c>
      <c r="F11" s="593"/>
      <c r="G11" s="726" t="s">
        <v>357</v>
      </c>
      <c r="H11" s="727"/>
      <c r="I11" s="720"/>
      <c r="J11" s="585"/>
      <c r="K11" s="592" t="s">
        <v>74</v>
      </c>
      <c r="L11" s="594"/>
      <c r="M11" s="726" t="s">
        <v>357</v>
      </c>
      <c r="N11" s="727"/>
      <c r="O11" s="720"/>
      <c r="P11" s="585"/>
      <c r="Q11" s="592" t="s">
        <v>74</v>
      </c>
      <c r="R11" s="594"/>
      <c r="S11" s="726" t="s">
        <v>357</v>
      </c>
      <c r="T11" s="727"/>
      <c r="U11" s="720"/>
      <c r="V11" s="585"/>
      <c r="W11" s="592" t="s">
        <v>74</v>
      </c>
      <c r="X11" s="594"/>
      <c r="Y11" s="726" t="s">
        <v>357</v>
      </c>
      <c r="Z11" s="727"/>
      <c r="AA11" s="720"/>
      <c r="AB11" s="585"/>
      <c r="AC11" s="592" t="s">
        <v>74</v>
      </c>
      <c r="AD11" s="594"/>
      <c r="AE11" s="726" t="s">
        <v>357</v>
      </c>
      <c r="AF11" s="727"/>
      <c r="AG11" s="720"/>
      <c r="AH11" s="585"/>
      <c r="AN11" s="132">
        <v>30</v>
      </c>
      <c r="AO11" s="133">
        <f>AO8*2.6</f>
        <v>13</v>
      </c>
    </row>
    <row r="12" spans="1:66" ht="15" customHeight="1" x14ac:dyDescent="0.25">
      <c r="A12" s="742"/>
      <c r="B12" s="743"/>
      <c r="C12" s="136"/>
      <c r="D12" s="136"/>
      <c r="E12" s="595" t="s">
        <v>75</v>
      </c>
      <c r="F12" s="596" t="s">
        <v>75</v>
      </c>
      <c r="G12" s="728"/>
      <c r="H12" s="729"/>
      <c r="I12" s="720"/>
      <c r="J12" s="585"/>
      <c r="K12" s="595" t="s">
        <v>75</v>
      </c>
      <c r="L12" s="597" t="s">
        <v>75</v>
      </c>
      <c r="M12" s="728"/>
      <c r="N12" s="729"/>
      <c r="O12" s="720"/>
      <c r="P12" s="585"/>
      <c r="Q12" s="595" t="s">
        <v>75</v>
      </c>
      <c r="R12" s="597" t="s">
        <v>75</v>
      </c>
      <c r="S12" s="728"/>
      <c r="T12" s="729"/>
      <c r="U12" s="720"/>
      <c r="V12" s="585"/>
      <c r="W12" s="595" t="s">
        <v>75</v>
      </c>
      <c r="X12" s="597" t="s">
        <v>75</v>
      </c>
      <c r="Y12" s="728"/>
      <c r="Z12" s="729"/>
      <c r="AA12" s="720"/>
      <c r="AB12" s="585"/>
      <c r="AC12" s="595" t="s">
        <v>75</v>
      </c>
      <c r="AD12" s="597" t="s">
        <v>75</v>
      </c>
      <c r="AE12" s="728"/>
      <c r="AF12" s="729"/>
      <c r="AG12" s="720"/>
      <c r="AH12" s="585"/>
      <c r="AJ12" s="137">
        <v>3.4722222222222224E-2</v>
      </c>
      <c r="AK12" s="137">
        <v>0.66666666666666663</v>
      </c>
      <c r="AL12" s="138">
        <v>0.625</v>
      </c>
      <c r="AT12" s="737" t="s">
        <v>358</v>
      </c>
      <c r="AU12" s="737"/>
      <c r="AV12" s="737"/>
      <c r="AW12" s="737"/>
      <c r="AX12" s="737"/>
      <c r="AY12" s="737"/>
      <c r="AZ12" s="737"/>
      <c r="BA12" s="737"/>
      <c r="BB12" s="737"/>
      <c r="BC12" s="737"/>
      <c r="BD12" s="738" t="s">
        <v>359</v>
      </c>
      <c r="BE12" s="738"/>
      <c r="BF12" s="738"/>
      <c r="BG12" s="738"/>
      <c r="BH12" s="738"/>
      <c r="BI12" s="738"/>
      <c r="BJ12" s="738"/>
      <c r="BK12" s="738"/>
      <c r="BL12" s="738"/>
      <c r="BM12" s="738"/>
      <c r="BN12" s="598">
        <v>25</v>
      </c>
    </row>
    <row r="13" spans="1:66" x14ac:dyDescent="0.25">
      <c r="A13" s="139" t="s">
        <v>76</v>
      </c>
      <c r="B13" s="140" t="s">
        <v>77</v>
      </c>
      <c r="C13" s="141"/>
      <c r="D13" s="141"/>
      <c r="E13" s="599" t="s">
        <v>78</v>
      </c>
      <c r="F13" s="600" t="s">
        <v>79</v>
      </c>
      <c r="G13" s="601" t="s">
        <v>78</v>
      </c>
      <c r="H13" s="602" t="s">
        <v>79</v>
      </c>
      <c r="I13" s="721"/>
      <c r="J13" s="585"/>
      <c r="K13" s="599" t="s">
        <v>78</v>
      </c>
      <c r="L13" s="600" t="s">
        <v>79</v>
      </c>
      <c r="M13" s="601" t="s">
        <v>78</v>
      </c>
      <c r="N13" s="602" t="s">
        <v>79</v>
      </c>
      <c r="O13" s="721"/>
      <c r="P13" s="585"/>
      <c r="Q13" s="599" t="s">
        <v>78</v>
      </c>
      <c r="R13" s="600" t="s">
        <v>79</v>
      </c>
      <c r="S13" s="601" t="s">
        <v>78</v>
      </c>
      <c r="T13" s="602" t="s">
        <v>79</v>
      </c>
      <c r="U13" s="721"/>
      <c r="V13" s="585"/>
      <c r="W13" s="599" t="s">
        <v>78</v>
      </c>
      <c r="X13" s="600" t="s">
        <v>79</v>
      </c>
      <c r="Y13" s="601" t="s">
        <v>78</v>
      </c>
      <c r="Z13" s="602" t="s">
        <v>79</v>
      </c>
      <c r="AA13" s="721"/>
      <c r="AB13" s="585"/>
      <c r="AC13" s="599" t="s">
        <v>78</v>
      </c>
      <c r="AD13" s="600" t="s">
        <v>79</v>
      </c>
      <c r="AE13" s="601" t="s">
        <v>78</v>
      </c>
      <c r="AF13" s="602" t="s">
        <v>79</v>
      </c>
      <c r="AG13" s="721"/>
      <c r="AH13" s="585"/>
      <c r="AT13" s="603" t="s">
        <v>360</v>
      </c>
      <c r="AU13" s="603" t="s">
        <v>361</v>
      </c>
      <c r="AV13" s="604" t="s">
        <v>362</v>
      </c>
      <c r="AW13" s="604" t="s">
        <v>363</v>
      </c>
      <c r="AX13" s="604" t="s">
        <v>364</v>
      </c>
      <c r="AY13" s="604" t="s">
        <v>365</v>
      </c>
      <c r="AZ13" s="604" t="s">
        <v>366</v>
      </c>
      <c r="BA13" s="604" t="s">
        <v>367</v>
      </c>
      <c r="BB13" s="604" t="s">
        <v>368</v>
      </c>
      <c r="BC13" s="604" t="s">
        <v>369</v>
      </c>
      <c r="BD13" s="605" t="s">
        <v>360</v>
      </c>
      <c r="BE13" s="605" t="s">
        <v>361</v>
      </c>
      <c r="BF13" s="606" t="s">
        <v>362</v>
      </c>
      <c r="BG13" s="606" t="s">
        <v>363</v>
      </c>
      <c r="BH13" s="606" t="s">
        <v>364</v>
      </c>
      <c r="BI13" s="606" t="s">
        <v>365</v>
      </c>
      <c r="BJ13" s="606" t="s">
        <v>366</v>
      </c>
      <c r="BK13" s="606" t="s">
        <v>367</v>
      </c>
      <c r="BL13" s="606" t="s">
        <v>368</v>
      </c>
      <c r="BM13" s="606" t="s">
        <v>369</v>
      </c>
      <c r="BN13" s="598" t="s">
        <v>370</v>
      </c>
    </row>
    <row r="14" spans="1:66" ht="18" x14ac:dyDescent="0.25">
      <c r="A14" s="607"/>
      <c r="B14" s="192">
        <f t="shared" ref="B14:B23" si="0">IF(A14&gt;0,A14+AJ$12,)</f>
        <v>0</v>
      </c>
      <c r="C14" s="186">
        <f>ROUND((B14-A14)*24*60,1)</f>
        <v>0</v>
      </c>
      <c r="D14" s="186">
        <f t="shared" ref="D14:D23" si="1">IF(A14&gt;0,"= "&amp;C14&amp;" min",)</f>
        <v>0</v>
      </c>
      <c r="E14" s="187"/>
      <c r="F14" s="188"/>
      <c r="G14" s="608">
        <f>AT14</f>
        <v>0</v>
      </c>
      <c r="H14" s="609">
        <f>AU14</f>
        <v>0</v>
      </c>
      <c r="I14" s="610">
        <f>G14*$C14/50+H14*$C14/50*0.5</f>
        <v>0</v>
      </c>
      <c r="J14" s="189"/>
      <c r="K14" s="187"/>
      <c r="L14" s="188"/>
      <c r="M14" s="608">
        <f t="shared" ref="M14:N23" si="2">AV14</f>
        <v>0</v>
      </c>
      <c r="N14" s="609">
        <f>AW14</f>
        <v>0</v>
      </c>
      <c r="O14" s="610">
        <f>M14*$C14/50+N14*$C14/50*0.5</f>
        <v>0</v>
      </c>
      <c r="P14" s="190"/>
      <c r="Q14" s="187"/>
      <c r="R14" s="188"/>
      <c r="S14" s="608">
        <f t="shared" ref="S14:T23" si="3">AX14</f>
        <v>0</v>
      </c>
      <c r="T14" s="609">
        <f>AY14</f>
        <v>0</v>
      </c>
      <c r="U14" s="610">
        <f>S14*$C14/50+T14*$C14/50*0.5</f>
        <v>0</v>
      </c>
      <c r="V14" s="190"/>
      <c r="W14" s="187"/>
      <c r="X14" s="188"/>
      <c r="Y14" s="608">
        <f t="shared" ref="Y14:Z23" si="4">AZ14</f>
        <v>0</v>
      </c>
      <c r="Z14" s="609">
        <f>BA14</f>
        <v>0</v>
      </c>
      <c r="AA14" s="610">
        <f>Y14*$C14/50+Z14*$C14/50*0.5</f>
        <v>0</v>
      </c>
      <c r="AB14" s="190"/>
      <c r="AC14" s="187"/>
      <c r="AD14" s="188"/>
      <c r="AE14" s="608">
        <f>BB14</f>
        <v>0</v>
      </c>
      <c r="AF14" s="609">
        <f>BC14</f>
        <v>0</v>
      </c>
      <c r="AG14" s="610">
        <f>AE14*$C14/50+AF14*$C14/50*0.5</f>
        <v>0</v>
      </c>
      <c r="AH14" s="190"/>
      <c r="AJ14" s="142">
        <f>IF(E14&gt;=AL1,ROUNDDOWN(E14/AL1,0),IF(E14&gt;0,1,))*C14/50</f>
        <v>0</v>
      </c>
      <c r="AK14" s="142">
        <f>IF(F14&gt;=AM1,MAX(ROUNDDOWN(F14/AM1,0),ROUNDUP(F14/AL3,0)),IF(F14&gt;0,1,))*C14/50*0.5</f>
        <v>0</v>
      </c>
      <c r="AL14" s="142">
        <f>IF(K14&gt;=AL1,ROUNDDOWN(K14/AL1,0),IF(K14&gt;0,1,))*C14/50</f>
        <v>0</v>
      </c>
      <c r="AM14" s="142">
        <f>IF(L14&gt;=AM1,MAX(ROUNDDOWN(L14/AM1,0),ROUNDUP(L14/AL3,0)),IF(L14&gt;0,1,))*C14/50*0.5</f>
        <v>0</v>
      </c>
      <c r="AN14" s="142">
        <f>IF(Q14&gt;=AL1,ROUNDDOWN(Q14/AL1,0),IF(Q14&gt;0,1,))*C14/50</f>
        <v>0</v>
      </c>
      <c r="AO14" s="142">
        <f>IF(R14&gt;=AM1,MAX(ROUNDDOWN(R14/AM1,0),ROUNDUP(R14/AL3,0)),IF(R14&gt;0,1,))*C14/50*0.5</f>
        <v>0</v>
      </c>
      <c r="AP14" s="142">
        <f>IF(W14&gt;=AL1,ROUNDDOWN(W14/AL1,0),IF(W14&gt;0,1,))*C14/50</f>
        <v>0</v>
      </c>
      <c r="AQ14" s="142">
        <f>IF(X14&gt;=AM1,MAX(ROUNDDOWN(X14/AM1,0),ROUNDUP(X14/AL3,0)),IF(X14&gt;0,1,))*C14/50*0.5</f>
        <v>0</v>
      </c>
      <c r="AR14" s="142">
        <f>IF(AC14&gt;=AL1,ROUNDDOWN(AC14/AL1,0),IF(AC14&gt;0,1,))*C14/50</f>
        <v>0</v>
      </c>
      <c r="AS14" s="142">
        <f>IF(AD14&gt;=AM1,MAX(ROUNDDOWN(AD14/AM1,0),ROUNDUP(AD14/AL3,0)),IF(AD14&gt;0,1,))*C14/50*0.5</f>
        <v>0</v>
      </c>
      <c r="AT14" s="611">
        <f t="shared" ref="AT14:AT23" si="5">IF(E14&gt;=$AL$1,ROUNDDOWN(E14/$AL$1,0),IF(E14&gt;0,1,))</f>
        <v>0</v>
      </c>
      <c r="AU14" s="611">
        <f t="shared" ref="AU14:AU23" si="6">IF(F14&gt;=$AM$1,ROUNDDOWN(F14/$AM$1,0),IF(F14&gt;0,1,))</f>
        <v>0</v>
      </c>
      <c r="AV14" s="611">
        <f t="shared" ref="AV14:AV23" si="7">IF(K14&gt;=AL$1,ROUNDDOWN(K14/$AL$1,0),IF(K14&gt;0,1,))</f>
        <v>0</v>
      </c>
      <c r="AW14" s="611">
        <f t="shared" ref="AW14:AW23" si="8">IF(L14&gt;=$AM$1,ROUNDDOWN(L14/$AM$1,0),IF(L14&gt;0,1,))</f>
        <v>0</v>
      </c>
      <c r="AX14" s="611">
        <f t="shared" ref="AX14:AX23" si="9">IF(Q14&gt;=$AL$1,ROUNDDOWN(Q14/$AL$1,0),IF(Q14&gt;0,1,))</f>
        <v>0</v>
      </c>
      <c r="AY14" s="611">
        <f>IF(R14&gt;=$AM$1,ROUNDDOWN(R14/$AM$1,0),IF(R14&gt;0,1,))</f>
        <v>0</v>
      </c>
      <c r="AZ14" s="611">
        <f t="shared" ref="AZ14:AZ23" si="10">IF(W14&gt;=$AL$1,ROUNDDOWN(W14/$AL$1,0),IF(W14&gt;0,1,))</f>
        <v>0</v>
      </c>
      <c r="BA14" s="611">
        <f t="shared" ref="BA14:BA23" si="11">IF(X14&gt;=$AM$1,ROUNDDOWN(X14/$AM$1,0),IF(X14&gt;0,1,))</f>
        <v>0</v>
      </c>
      <c r="BB14" s="611">
        <f t="shared" ref="BB14:BB23" si="12">IF(AC14&gt;=$AL$1,ROUNDDOWN(AC14/$AL$1,0),IF(AC14&gt;0,1,))</f>
        <v>0</v>
      </c>
      <c r="BC14" s="611">
        <f t="shared" ref="BC14:BC23" si="13">IF(AD14&gt;=$AM$1,ROUNDDOWN(AD14/$AM$1,0),IF(AD14&gt;0,1,))</f>
        <v>0</v>
      </c>
      <c r="BD14" s="612">
        <f t="shared" ref="BD14:BE23" si="14">G14</f>
        <v>0</v>
      </c>
      <c r="BE14" s="612">
        <f t="shared" si="14"/>
        <v>0</v>
      </c>
      <c r="BF14" s="612">
        <f t="shared" ref="BF14:BG23" si="15">M14</f>
        <v>0</v>
      </c>
      <c r="BG14" s="612">
        <f t="shared" si="15"/>
        <v>0</v>
      </c>
      <c r="BH14" s="612">
        <f t="shared" ref="BH14:BI23" si="16">S14</f>
        <v>0</v>
      </c>
      <c r="BI14" s="612">
        <f t="shared" si="16"/>
        <v>0</v>
      </c>
      <c r="BJ14" s="612">
        <f t="shared" ref="BJ14:BK23" si="17">Y14</f>
        <v>0</v>
      </c>
      <c r="BK14" s="612">
        <f t="shared" si="17"/>
        <v>0</v>
      </c>
      <c r="BL14" s="612">
        <f t="shared" ref="BL14:BM23" si="18">AE14</f>
        <v>0</v>
      </c>
      <c r="BM14" s="612">
        <f t="shared" si="18"/>
        <v>0</v>
      </c>
      <c r="BN14" s="598">
        <f>IF(AND($C14&gt;0,$C14&lt;$BN$12),1,)</f>
        <v>0</v>
      </c>
    </row>
    <row r="15" spans="1:66" ht="18" x14ac:dyDescent="0.25">
      <c r="A15" s="191">
        <f t="shared" ref="A15:A23" si="19">IF(OR(B14&gt;=AK$12,B14=0),,B14+IF(B14&gt;=AL$12,TIME(0,5,0),))</f>
        <v>0</v>
      </c>
      <c r="B15" s="192">
        <f t="shared" si="0"/>
        <v>0</v>
      </c>
      <c r="C15" s="186">
        <f t="shared" ref="C15:C23" si="20">ROUND((B15-A15)*24*60,1)</f>
        <v>0</v>
      </c>
      <c r="D15" s="186">
        <f t="shared" si="1"/>
        <v>0</v>
      </c>
      <c r="E15" s="187"/>
      <c r="F15" s="188"/>
      <c r="G15" s="608">
        <f t="shared" ref="G15:H23" si="21">AT15</f>
        <v>0</v>
      </c>
      <c r="H15" s="609">
        <f t="shared" si="21"/>
        <v>0</v>
      </c>
      <c r="I15" s="610">
        <f t="shared" ref="I15:I23" si="22">G15*$C15/50+H15*$C15/50*0.5</f>
        <v>0</v>
      </c>
      <c r="J15" s="189"/>
      <c r="K15" s="187"/>
      <c r="L15" s="188"/>
      <c r="M15" s="608">
        <f t="shared" si="2"/>
        <v>0</v>
      </c>
      <c r="N15" s="609">
        <f t="shared" si="2"/>
        <v>0</v>
      </c>
      <c r="O15" s="610">
        <f t="shared" ref="O15:O23" si="23">M15*$C15/50+N15*$C15/50*0.5</f>
        <v>0</v>
      </c>
      <c r="P15" s="190"/>
      <c r="Q15" s="187"/>
      <c r="R15" s="188"/>
      <c r="S15" s="608">
        <f t="shared" si="3"/>
        <v>0</v>
      </c>
      <c r="T15" s="609">
        <f t="shared" si="3"/>
        <v>0</v>
      </c>
      <c r="U15" s="610">
        <f t="shared" ref="U15:U23" si="24">S15*$C15/50+T15*$C15/50*0.5</f>
        <v>0</v>
      </c>
      <c r="V15" s="190"/>
      <c r="W15" s="187"/>
      <c r="X15" s="188"/>
      <c r="Y15" s="608">
        <f t="shared" si="4"/>
        <v>0</v>
      </c>
      <c r="Z15" s="609">
        <f t="shared" si="4"/>
        <v>0</v>
      </c>
      <c r="AA15" s="610">
        <f t="shared" ref="AA15:AA23" si="25">Y15*$C15/50+Z15*$C15/50*0.5</f>
        <v>0</v>
      </c>
      <c r="AB15" s="190"/>
      <c r="AC15" s="187"/>
      <c r="AD15" s="188"/>
      <c r="AE15" s="608">
        <f t="shared" ref="AE15:AF23" si="26">BB15</f>
        <v>0</v>
      </c>
      <c r="AF15" s="609">
        <f t="shared" si="26"/>
        <v>0</v>
      </c>
      <c r="AG15" s="610">
        <f t="shared" ref="AG15:AG23" si="27">AE15*$C15/50+AF15*$C15/50*0.5</f>
        <v>0</v>
      </c>
      <c r="AH15" s="190"/>
      <c r="AJ15" s="142">
        <f>IF(E15&gt;=AL1,ROUNDDOWN(E15/AL1,0),IF(E15&gt;0,1,))*C15/50</f>
        <v>0</v>
      </c>
      <c r="AK15" s="142">
        <f>IF(F15&gt;=AM1,MAX(ROUNDDOWN(F15/AM1,0),ROUNDUP(F15/AL3,0)),IF(F15&gt;0,1,))*C15/50*0.5</f>
        <v>0</v>
      </c>
      <c r="AL15" s="142">
        <f>IF(K15&gt;=AL1,ROUNDDOWN(K15/AL1,0),IF(K15&gt;0,1,))*C15/50</f>
        <v>0</v>
      </c>
      <c r="AM15" s="142">
        <f>IF(L15&gt;=AM1,MAX(ROUNDDOWN(L15/AM1,0),ROUNDUP(L15/AL3,0)),IF(L15&gt;0,1,))*C15/50*0.5</f>
        <v>0</v>
      </c>
      <c r="AN15" s="142">
        <f>IF(Q15&gt;=AL1,ROUNDDOWN(Q15/AL1,0),IF(Q15&gt;0,1,))*C15/50</f>
        <v>0</v>
      </c>
      <c r="AO15" s="142">
        <f>IF(R15&gt;=AM1,MAX(ROUNDDOWN(R15/AM1,0),ROUNDUP(R15/AL3,0)),IF(R15&gt;0,1,))*C15/50*0.5</f>
        <v>0</v>
      </c>
      <c r="AP15" s="142">
        <f>IF(W15&gt;=AL1,ROUNDDOWN(W15/AL1,0),IF(W15&gt;0,1,))*C15/50</f>
        <v>0</v>
      </c>
      <c r="AQ15" s="142">
        <f>IF(X15&gt;=AM1,MAX(ROUNDDOWN(X15/AM1,0),ROUNDUP(X15/AL3,0)),IF(X15&gt;0,1,))*C15/50*0.5</f>
        <v>0</v>
      </c>
      <c r="AR15" s="142">
        <f>IF(AC15&gt;=AL1,ROUNDDOWN(AC15/AL1,0),IF(AC15&gt;0,1,))*C15/50</f>
        <v>0</v>
      </c>
      <c r="AS15" s="142">
        <f>IF(AD15&gt;=AM1,MAX(ROUNDDOWN(AD15/AM1,0),ROUNDUP(AD15/AL3,0)),IF(AD15&gt;0,1,))*C15/50*0.5</f>
        <v>0</v>
      </c>
      <c r="AT15" s="611">
        <f t="shared" si="5"/>
        <v>0</v>
      </c>
      <c r="AU15" s="611">
        <f t="shared" si="6"/>
        <v>0</v>
      </c>
      <c r="AV15" s="611">
        <f t="shared" si="7"/>
        <v>0</v>
      </c>
      <c r="AW15" s="611">
        <f t="shared" si="8"/>
        <v>0</v>
      </c>
      <c r="AX15" s="611">
        <f t="shared" si="9"/>
        <v>0</v>
      </c>
      <c r="AY15" s="611">
        <f t="shared" ref="AY15:AY21" si="28">IF(R15&gt;=$AM$1,ROUNDDOWN(R15/$AM$1,0),IF(R15&gt;0,1,))</f>
        <v>0</v>
      </c>
      <c r="AZ15" s="611">
        <f t="shared" si="10"/>
        <v>0</v>
      </c>
      <c r="BA15" s="611">
        <f t="shared" si="11"/>
        <v>0</v>
      </c>
      <c r="BB15" s="611">
        <f t="shared" si="12"/>
        <v>0</v>
      </c>
      <c r="BC15" s="611">
        <f t="shared" si="13"/>
        <v>0</v>
      </c>
      <c r="BD15" s="612">
        <f t="shared" si="14"/>
        <v>0</v>
      </c>
      <c r="BE15" s="612">
        <f t="shared" si="14"/>
        <v>0</v>
      </c>
      <c r="BF15" s="612">
        <f t="shared" si="15"/>
        <v>0</v>
      </c>
      <c r="BG15" s="612">
        <f t="shared" si="15"/>
        <v>0</v>
      </c>
      <c r="BH15" s="612">
        <f t="shared" si="16"/>
        <v>0</v>
      </c>
      <c r="BI15" s="612">
        <f t="shared" si="16"/>
        <v>0</v>
      </c>
      <c r="BJ15" s="612">
        <f t="shared" si="17"/>
        <v>0</v>
      </c>
      <c r="BK15" s="612">
        <f t="shared" si="17"/>
        <v>0</v>
      </c>
      <c r="BL15" s="612">
        <f t="shared" si="18"/>
        <v>0</v>
      </c>
      <c r="BM15" s="612">
        <f t="shared" si="18"/>
        <v>0</v>
      </c>
      <c r="BN15" s="598">
        <f t="shared" ref="BN15:BN23" si="29">IF(AND($C15&gt;0,$C15&lt;$BN$12),1,)</f>
        <v>0</v>
      </c>
    </row>
    <row r="16" spans="1:66" ht="18" x14ac:dyDescent="0.25">
      <c r="A16" s="191">
        <f t="shared" si="19"/>
        <v>0</v>
      </c>
      <c r="B16" s="192">
        <f t="shared" si="0"/>
        <v>0</v>
      </c>
      <c r="C16" s="186">
        <f>ROUND((B16-A16)*24*60,1)</f>
        <v>0</v>
      </c>
      <c r="D16" s="186">
        <f>IF(A16&gt;0,"= "&amp;C16&amp;" min",)</f>
        <v>0</v>
      </c>
      <c r="E16" s="187"/>
      <c r="F16" s="188"/>
      <c r="G16" s="608">
        <f t="shared" si="21"/>
        <v>0</v>
      </c>
      <c r="H16" s="609">
        <f t="shared" si="21"/>
        <v>0</v>
      </c>
      <c r="I16" s="610">
        <f>G16*$C16/50+H16*$C16/50*0.5</f>
        <v>0</v>
      </c>
      <c r="J16" s="189"/>
      <c r="K16" s="187"/>
      <c r="L16" s="188"/>
      <c r="M16" s="608">
        <f t="shared" si="2"/>
        <v>0</v>
      </c>
      <c r="N16" s="609">
        <f t="shared" si="2"/>
        <v>0</v>
      </c>
      <c r="O16" s="610">
        <f t="shared" si="23"/>
        <v>0</v>
      </c>
      <c r="P16" s="190"/>
      <c r="Q16" s="187"/>
      <c r="R16" s="188"/>
      <c r="S16" s="608">
        <f t="shared" si="3"/>
        <v>0</v>
      </c>
      <c r="T16" s="609">
        <f t="shared" si="3"/>
        <v>0</v>
      </c>
      <c r="U16" s="610">
        <f t="shared" si="24"/>
        <v>0</v>
      </c>
      <c r="V16" s="190"/>
      <c r="W16" s="187"/>
      <c r="X16" s="188"/>
      <c r="Y16" s="608">
        <f t="shared" si="4"/>
        <v>0</v>
      </c>
      <c r="Z16" s="609">
        <f t="shared" si="4"/>
        <v>0</v>
      </c>
      <c r="AA16" s="610">
        <f t="shared" si="25"/>
        <v>0</v>
      </c>
      <c r="AB16" s="190"/>
      <c r="AC16" s="187"/>
      <c r="AD16" s="188"/>
      <c r="AE16" s="608">
        <f t="shared" si="26"/>
        <v>0</v>
      </c>
      <c r="AF16" s="609">
        <f t="shared" si="26"/>
        <v>0</v>
      </c>
      <c r="AG16" s="610">
        <f t="shared" si="27"/>
        <v>0</v>
      </c>
      <c r="AH16" s="190"/>
      <c r="AJ16" s="142">
        <f>IF(E16&gt;=AL1,ROUNDDOWN(E16/AL1,0),IF(E16&gt;0,1,))*C16/50</f>
        <v>0</v>
      </c>
      <c r="AK16" s="142">
        <f>IF(F16&gt;=AM1,MAX(ROUNDDOWN(F16/AM1,0),ROUNDUP(F16/AL3,0)),IF(F16&gt;0,1,))*C16/50*0.5</f>
        <v>0</v>
      </c>
      <c r="AL16" s="142">
        <f>IF(K16&gt;=AL1,ROUNDDOWN(K16/AL1,0),IF(K16&gt;0,1,))*C16/50</f>
        <v>0</v>
      </c>
      <c r="AM16" s="142">
        <f>IF(L16&gt;=AM1,MAX(ROUNDDOWN(L16/AM1,0),ROUNDUP(L16/AL3,0)),IF(L16&gt;0,1,))*C16/50*0.5</f>
        <v>0</v>
      </c>
      <c r="AN16" s="142">
        <f>IF(Q16&gt;=AL1,ROUNDDOWN(Q16/AL1,0),IF(Q16&gt;0,1,))*C16/50</f>
        <v>0</v>
      </c>
      <c r="AO16" s="142">
        <f>IF(R16&gt;=AM1,MAX(ROUNDDOWN(R16/AM1,0),ROUNDUP(R16/AL3,0)),IF(R16&gt;0,1,))*C16/50*0.5</f>
        <v>0</v>
      </c>
      <c r="AP16" s="142">
        <f>IF(W16&gt;=AL1,ROUNDDOWN(W16/AL1,0),IF(W16&gt;0,1,))*C16/50</f>
        <v>0</v>
      </c>
      <c r="AQ16" s="142">
        <f>IF(X16&gt;=AM1,MAX(ROUNDDOWN(X16/AM1,0),ROUNDUP(X16/AL3,0)),IF(X16&gt;0,1,))*C16/50*0.5</f>
        <v>0</v>
      </c>
      <c r="AR16" s="142">
        <f>IF(AC16&gt;=AL1,ROUNDDOWN(AC16/AL1,0),IF(AC16&gt;0,1,))*C16/50</f>
        <v>0</v>
      </c>
      <c r="AS16" s="142">
        <f>IF(AD16&gt;=AM1,MAX(ROUNDDOWN(AD16/AM1,0),ROUNDUP(AD16/AL3,0)),IF(AD16&gt;0,1,))*C16/50*0.5</f>
        <v>0</v>
      </c>
      <c r="AT16" s="611">
        <f t="shared" si="5"/>
        <v>0</v>
      </c>
      <c r="AU16" s="611">
        <f t="shared" si="6"/>
        <v>0</v>
      </c>
      <c r="AV16" s="611">
        <f t="shared" si="7"/>
        <v>0</v>
      </c>
      <c r="AW16" s="611">
        <f t="shared" si="8"/>
        <v>0</v>
      </c>
      <c r="AX16" s="611">
        <f t="shared" si="9"/>
        <v>0</v>
      </c>
      <c r="AY16" s="611">
        <f t="shared" si="28"/>
        <v>0</v>
      </c>
      <c r="AZ16" s="611">
        <f t="shared" si="10"/>
        <v>0</v>
      </c>
      <c r="BA16" s="611">
        <f t="shared" si="11"/>
        <v>0</v>
      </c>
      <c r="BB16" s="611">
        <f t="shared" si="12"/>
        <v>0</v>
      </c>
      <c r="BC16" s="611">
        <f t="shared" si="13"/>
        <v>0</v>
      </c>
      <c r="BD16" s="612">
        <f t="shared" si="14"/>
        <v>0</v>
      </c>
      <c r="BE16" s="612">
        <f t="shared" si="14"/>
        <v>0</v>
      </c>
      <c r="BF16" s="612">
        <f t="shared" si="15"/>
        <v>0</v>
      </c>
      <c r="BG16" s="612">
        <f t="shared" si="15"/>
        <v>0</v>
      </c>
      <c r="BH16" s="612">
        <f t="shared" si="16"/>
        <v>0</v>
      </c>
      <c r="BI16" s="612">
        <f t="shared" si="16"/>
        <v>0</v>
      </c>
      <c r="BJ16" s="612">
        <f t="shared" si="17"/>
        <v>0</v>
      </c>
      <c r="BK16" s="612">
        <f t="shared" si="17"/>
        <v>0</v>
      </c>
      <c r="BL16" s="612">
        <f t="shared" si="18"/>
        <v>0</v>
      </c>
      <c r="BM16" s="612">
        <f t="shared" si="18"/>
        <v>0</v>
      </c>
      <c r="BN16" s="598">
        <f t="shared" si="29"/>
        <v>0</v>
      </c>
    </row>
    <row r="17" spans="1:66" ht="18" x14ac:dyDescent="0.25">
      <c r="A17" s="191">
        <f t="shared" si="19"/>
        <v>0</v>
      </c>
      <c r="B17" s="192">
        <f t="shared" si="0"/>
        <v>0</v>
      </c>
      <c r="C17" s="186">
        <f t="shared" si="20"/>
        <v>0</v>
      </c>
      <c r="D17" s="186">
        <f t="shared" si="1"/>
        <v>0</v>
      </c>
      <c r="E17" s="187"/>
      <c r="F17" s="188"/>
      <c r="G17" s="608">
        <f t="shared" si="21"/>
        <v>0</v>
      </c>
      <c r="H17" s="609">
        <f t="shared" si="21"/>
        <v>0</v>
      </c>
      <c r="I17" s="610">
        <f t="shared" si="22"/>
        <v>0</v>
      </c>
      <c r="J17" s="189"/>
      <c r="K17" s="187"/>
      <c r="L17" s="188"/>
      <c r="M17" s="608">
        <f t="shared" si="2"/>
        <v>0</v>
      </c>
      <c r="N17" s="609">
        <f t="shared" si="2"/>
        <v>0</v>
      </c>
      <c r="O17" s="610">
        <f t="shared" si="23"/>
        <v>0</v>
      </c>
      <c r="P17" s="190"/>
      <c r="Q17" s="187"/>
      <c r="R17" s="188"/>
      <c r="S17" s="608">
        <f t="shared" si="3"/>
        <v>0</v>
      </c>
      <c r="T17" s="609">
        <f t="shared" si="3"/>
        <v>0</v>
      </c>
      <c r="U17" s="610">
        <f t="shared" si="24"/>
        <v>0</v>
      </c>
      <c r="V17" s="190"/>
      <c r="W17" s="187"/>
      <c r="X17" s="188"/>
      <c r="Y17" s="608">
        <f t="shared" si="4"/>
        <v>0</v>
      </c>
      <c r="Z17" s="609">
        <f t="shared" si="4"/>
        <v>0</v>
      </c>
      <c r="AA17" s="610">
        <f t="shared" si="25"/>
        <v>0</v>
      </c>
      <c r="AB17" s="190"/>
      <c r="AC17" s="187"/>
      <c r="AD17" s="188"/>
      <c r="AE17" s="608">
        <f t="shared" si="26"/>
        <v>0</v>
      </c>
      <c r="AF17" s="609">
        <f t="shared" si="26"/>
        <v>0</v>
      </c>
      <c r="AG17" s="610">
        <f t="shared" si="27"/>
        <v>0</v>
      </c>
      <c r="AH17" s="190"/>
      <c r="AJ17" s="142">
        <f>IF(E17&gt;=AL1,ROUNDDOWN(E17/AL1,0),IF(E17&gt;0,1,))*C17/50</f>
        <v>0</v>
      </c>
      <c r="AK17" s="142">
        <f>IF(F17&gt;=AM1,MAX(ROUNDDOWN(F17/AM1,0),ROUNDUP(F17/AL3,0)),IF(F17&gt;0,1,))*C17/50*0.5</f>
        <v>0</v>
      </c>
      <c r="AL17" s="142">
        <f>IF(K17&gt;=AL1,ROUNDDOWN(K17/AL1,0),IF(K17&gt;0,1,))*C17/50</f>
        <v>0</v>
      </c>
      <c r="AM17" s="142">
        <f>IF(L17&gt;=AM1,MAX(ROUNDDOWN(L17/AM1,0),ROUNDUP(L17/AL3,0)),IF(L17&gt;0,1,))*C17/50*0.5</f>
        <v>0</v>
      </c>
      <c r="AN17" s="142">
        <f>IF(Q17&gt;=AL1,ROUNDDOWN(Q17/AL1,0),IF(Q17&gt;0,1,))*C17/50</f>
        <v>0</v>
      </c>
      <c r="AO17" s="142">
        <f>IF(R17&gt;=AM1,MAX(ROUNDDOWN(R17/AM1,0),ROUNDUP(R17/AL3,0)),IF(R17&gt;0,1,))*C17/50*0.5</f>
        <v>0</v>
      </c>
      <c r="AP17" s="142">
        <f>IF(W17&gt;=AL1,ROUNDDOWN(W17/AL1,0),IF(W17&gt;0,1,))*C17/50</f>
        <v>0</v>
      </c>
      <c r="AQ17" s="142">
        <f>IF(X17&gt;=AM1,MAX(ROUNDDOWN(X17/AM1,0),ROUNDUP(X17/AL3,0)),IF(X17&gt;0,1,))*C17/50*0.5</f>
        <v>0</v>
      </c>
      <c r="AR17" s="142">
        <f>IF(AC17&gt;=AL1,ROUNDDOWN(AC17/AL1,0),IF(AC17&gt;0,1,))*C17/50</f>
        <v>0</v>
      </c>
      <c r="AS17" s="142">
        <f>IF(AD17&gt;=AM1,MAX(ROUNDDOWN(AD17/AM1,0),ROUNDUP(AD17/AL3,0)),IF(AD17&gt;0,1,))*C17/50*0.5</f>
        <v>0</v>
      </c>
      <c r="AT17" s="611">
        <f t="shared" si="5"/>
        <v>0</v>
      </c>
      <c r="AU17" s="611">
        <f t="shared" si="6"/>
        <v>0</v>
      </c>
      <c r="AV17" s="611">
        <f t="shared" si="7"/>
        <v>0</v>
      </c>
      <c r="AW17" s="611">
        <f t="shared" si="8"/>
        <v>0</v>
      </c>
      <c r="AX17" s="611">
        <f t="shared" si="9"/>
        <v>0</v>
      </c>
      <c r="AY17" s="611">
        <f t="shared" si="28"/>
        <v>0</v>
      </c>
      <c r="AZ17" s="611">
        <f t="shared" si="10"/>
        <v>0</v>
      </c>
      <c r="BA17" s="611">
        <f t="shared" si="11"/>
        <v>0</v>
      </c>
      <c r="BB17" s="611">
        <f t="shared" si="12"/>
        <v>0</v>
      </c>
      <c r="BC17" s="611">
        <f t="shared" si="13"/>
        <v>0</v>
      </c>
      <c r="BD17" s="612">
        <f t="shared" si="14"/>
        <v>0</v>
      </c>
      <c r="BE17" s="612">
        <f t="shared" si="14"/>
        <v>0</v>
      </c>
      <c r="BF17" s="612">
        <f t="shared" si="15"/>
        <v>0</v>
      </c>
      <c r="BG17" s="612">
        <f t="shared" si="15"/>
        <v>0</v>
      </c>
      <c r="BH17" s="612">
        <f t="shared" si="16"/>
        <v>0</v>
      </c>
      <c r="BI17" s="612">
        <f t="shared" si="16"/>
        <v>0</v>
      </c>
      <c r="BJ17" s="612">
        <f t="shared" si="17"/>
        <v>0</v>
      </c>
      <c r="BK17" s="612">
        <f t="shared" si="17"/>
        <v>0</v>
      </c>
      <c r="BL17" s="612">
        <f t="shared" si="18"/>
        <v>0</v>
      </c>
      <c r="BM17" s="612">
        <f t="shared" si="18"/>
        <v>0</v>
      </c>
      <c r="BN17" s="598">
        <f t="shared" si="29"/>
        <v>0</v>
      </c>
    </row>
    <row r="18" spans="1:66" ht="18" x14ac:dyDescent="0.25">
      <c r="A18" s="191">
        <f t="shared" si="19"/>
        <v>0</v>
      </c>
      <c r="B18" s="192">
        <f t="shared" si="0"/>
        <v>0</v>
      </c>
      <c r="C18" s="186">
        <f t="shared" si="20"/>
        <v>0</v>
      </c>
      <c r="D18" s="186">
        <f t="shared" si="1"/>
        <v>0</v>
      </c>
      <c r="E18" s="187"/>
      <c r="F18" s="188"/>
      <c r="G18" s="608">
        <f t="shared" si="21"/>
        <v>0</v>
      </c>
      <c r="H18" s="609">
        <f t="shared" si="21"/>
        <v>0</v>
      </c>
      <c r="I18" s="610">
        <f t="shared" si="22"/>
        <v>0</v>
      </c>
      <c r="J18" s="189"/>
      <c r="K18" s="187"/>
      <c r="L18" s="188"/>
      <c r="M18" s="608">
        <f t="shared" si="2"/>
        <v>0</v>
      </c>
      <c r="N18" s="609">
        <f t="shared" si="2"/>
        <v>0</v>
      </c>
      <c r="O18" s="610">
        <f t="shared" si="23"/>
        <v>0</v>
      </c>
      <c r="P18" s="190"/>
      <c r="Q18" s="187"/>
      <c r="R18" s="188"/>
      <c r="S18" s="608">
        <f t="shared" si="3"/>
        <v>0</v>
      </c>
      <c r="T18" s="609">
        <f t="shared" si="3"/>
        <v>0</v>
      </c>
      <c r="U18" s="610">
        <f t="shared" si="24"/>
        <v>0</v>
      </c>
      <c r="V18" s="190"/>
      <c r="W18" s="187"/>
      <c r="X18" s="188"/>
      <c r="Y18" s="608">
        <f t="shared" si="4"/>
        <v>0</v>
      </c>
      <c r="Z18" s="609">
        <f t="shared" si="4"/>
        <v>0</v>
      </c>
      <c r="AA18" s="610">
        <f t="shared" si="25"/>
        <v>0</v>
      </c>
      <c r="AB18" s="190"/>
      <c r="AC18" s="187"/>
      <c r="AD18" s="188"/>
      <c r="AE18" s="608">
        <f t="shared" si="26"/>
        <v>0</v>
      </c>
      <c r="AF18" s="609">
        <f t="shared" si="26"/>
        <v>0</v>
      </c>
      <c r="AG18" s="610">
        <f t="shared" si="27"/>
        <v>0</v>
      </c>
      <c r="AH18" s="190"/>
      <c r="AJ18" s="142">
        <f>IF(E18&gt;=AL1,ROUNDDOWN(E18/AL1,0),IF(E18&gt;0,1,))*C18/50</f>
        <v>0</v>
      </c>
      <c r="AK18" s="142">
        <f>IF(F18&gt;=AM1,MAX(ROUNDDOWN(F18/AM1,0),ROUNDUP(F18/AL3,0)),IF(F18&gt;0,1,))*C18/50*0.5</f>
        <v>0</v>
      </c>
      <c r="AL18" s="142">
        <f>IF(K18&gt;=AL1,ROUNDDOWN(K18/AL1,0),IF(K18&gt;0,1,))*C18/50</f>
        <v>0</v>
      </c>
      <c r="AM18" s="142">
        <f>IF(L18&gt;=AM1,MAX(ROUNDDOWN(L18/AM1,0),ROUNDUP(L18/AL3,0)),IF(L18&gt;0,1,))*C18/50*0.5</f>
        <v>0</v>
      </c>
      <c r="AN18" s="142">
        <f>IF(Q18&gt;=AL1,ROUNDDOWN(Q18/AL1,0),IF(Q18&gt;0,1,))*C18/50</f>
        <v>0</v>
      </c>
      <c r="AO18" s="142">
        <f>IF(R18&gt;=AM1,MAX(ROUNDDOWN(R18/AM1,0),ROUNDUP(R18/AL3,0)),IF(R18&gt;0,1,))*C18/50*0.5</f>
        <v>0</v>
      </c>
      <c r="AP18" s="142">
        <f>IF(W18&gt;=AL1,ROUNDDOWN(W18/AL1,0),IF(W18&gt;0,1,))*C18/50</f>
        <v>0</v>
      </c>
      <c r="AQ18" s="142">
        <f>IF(X18&gt;=AM1,MAX(ROUNDDOWN(X18/AM1,0),ROUNDUP(X18/AL3,0)),IF(X18&gt;0,1,))*C18/50*0.5</f>
        <v>0</v>
      </c>
      <c r="AR18" s="142">
        <f>IF(AC18&gt;=AL1,ROUNDDOWN(AC18/AL1,0),IF(AC18&gt;0,1,))*C18/50</f>
        <v>0</v>
      </c>
      <c r="AS18" s="142">
        <f>IF(AD18&gt;=AM1,MAX(ROUNDDOWN(AD18/AM1,0),ROUNDUP(AD18/AL3,0)),IF(AD18&gt;0,1,))*C18/50*0.5</f>
        <v>0</v>
      </c>
      <c r="AT18" s="611">
        <f t="shared" si="5"/>
        <v>0</v>
      </c>
      <c r="AU18" s="611">
        <f t="shared" si="6"/>
        <v>0</v>
      </c>
      <c r="AV18" s="611">
        <f t="shared" si="7"/>
        <v>0</v>
      </c>
      <c r="AW18" s="611">
        <f t="shared" si="8"/>
        <v>0</v>
      </c>
      <c r="AX18" s="611">
        <f t="shared" si="9"/>
        <v>0</v>
      </c>
      <c r="AY18" s="611">
        <f t="shared" si="28"/>
        <v>0</v>
      </c>
      <c r="AZ18" s="611">
        <f t="shared" si="10"/>
        <v>0</v>
      </c>
      <c r="BA18" s="611">
        <f t="shared" si="11"/>
        <v>0</v>
      </c>
      <c r="BB18" s="611">
        <f t="shared" si="12"/>
        <v>0</v>
      </c>
      <c r="BC18" s="611">
        <f t="shared" si="13"/>
        <v>0</v>
      </c>
      <c r="BD18" s="612">
        <f t="shared" si="14"/>
        <v>0</v>
      </c>
      <c r="BE18" s="612">
        <f t="shared" si="14"/>
        <v>0</v>
      </c>
      <c r="BF18" s="612">
        <f t="shared" si="15"/>
        <v>0</v>
      </c>
      <c r="BG18" s="612">
        <f t="shared" si="15"/>
        <v>0</v>
      </c>
      <c r="BH18" s="612">
        <f t="shared" si="16"/>
        <v>0</v>
      </c>
      <c r="BI18" s="612">
        <f t="shared" si="16"/>
        <v>0</v>
      </c>
      <c r="BJ18" s="612">
        <f t="shared" si="17"/>
        <v>0</v>
      </c>
      <c r="BK18" s="612">
        <f t="shared" si="17"/>
        <v>0</v>
      </c>
      <c r="BL18" s="612">
        <f t="shared" si="18"/>
        <v>0</v>
      </c>
      <c r="BM18" s="612">
        <f t="shared" si="18"/>
        <v>0</v>
      </c>
      <c r="BN18" s="598">
        <f t="shared" si="29"/>
        <v>0</v>
      </c>
    </row>
    <row r="19" spans="1:66" ht="18" x14ac:dyDescent="0.25">
      <c r="A19" s="191">
        <f t="shared" si="19"/>
        <v>0</v>
      </c>
      <c r="B19" s="192">
        <f t="shared" si="0"/>
        <v>0</v>
      </c>
      <c r="C19" s="186">
        <f>ROUND((B19-A19)*24*60,1)</f>
        <v>0</v>
      </c>
      <c r="D19" s="186">
        <f>IF(A19&gt;0,"= "&amp;C19&amp;" min",)</f>
        <v>0</v>
      </c>
      <c r="E19" s="187"/>
      <c r="F19" s="188"/>
      <c r="G19" s="608">
        <f t="shared" si="21"/>
        <v>0</v>
      </c>
      <c r="H19" s="609">
        <f t="shared" si="21"/>
        <v>0</v>
      </c>
      <c r="I19" s="610">
        <f t="shared" si="22"/>
        <v>0</v>
      </c>
      <c r="J19" s="189"/>
      <c r="K19" s="187"/>
      <c r="L19" s="188"/>
      <c r="M19" s="608">
        <f t="shared" si="2"/>
        <v>0</v>
      </c>
      <c r="N19" s="609">
        <f t="shared" si="2"/>
        <v>0</v>
      </c>
      <c r="O19" s="610">
        <f t="shared" si="23"/>
        <v>0</v>
      </c>
      <c r="P19" s="190"/>
      <c r="Q19" s="187"/>
      <c r="R19" s="188"/>
      <c r="S19" s="608">
        <f t="shared" si="3"/>
        <v>0</v>
      </c>
      <c r="T19" s="609">
        <f t="shared" si="3"/>
        <v>0</v>
      </c>
      <c r="U19" s="610">
        <f t="shared" si="24"/>
        <v>0</v>
      </c>
      <c r="V19" s="190"/>
      <c r="W19" s="187"/>
      <c r="X19" s="188"/>
      <c r="Y19" s="608">
        <f t="shared" si="4"/>
        <v>0</v>
      </c>
      <c r="Z19" s="609">
        <f t="shared" si="4"/>
        <v>0</v>
      </c>
      <c r="AA19" s="610">
        <f t="shared" si="25"/>
        <v>0</v>
      </c>
      <c r="AB19" s="190"/>
      <c r="AC19" s="187"/>
      <c r="AD19" s="188"/>
      <c r="AE19" s="608">
        <f t="shared" si="26"/>
        <v>0</v>
      </c>
      <c r="AF19" s="609">
        <f t="shared" si="26"/>
        <v>0</v>
      </c>
      <c r="AG19" s="610">
        <f t="shared" si="27"/>
        <v>0</v>
      </c>
      <c r="AH19" s="190"/>
      <c r="AJ19" s="142">
        <f>IF(E19&gt;=AL1,ROUNDDOWN(E19/AL1,0),IF(E19&gt;0,1,))*C19/50</f>
        <v>0</v>
      </c>
      <c r="AK19" s="142">
        <f>IF(F19&gt;=AM1,MAX(ROUNDDOWN(F19/AM1,0),ROUNDUP(F19/AL3,0)),IF(F19&gt;0,1,))*C19/50*0.5</f>
        <v>0</v>
      </c>
      <c r="AL19" s="142">
        <f>IF(K19&gt;=AL1,ROUNDDOWN(K19/AL1,0),IF(K19&gt;0,1,))*C19/50</f>
        <v>0</v>
      </c>
      <c r="AM19" s="142">
        <f>IF(L19&gt;=AM1,MAX(ROUNDDOWN(L19/AM1,0),ROUNDUP(L19/AL3,0)),IF(L19&gt;0,1,))*C19/50*0.5</f>
        <v>0</v>
      </c>
      <c r="AN19" s="142">
        <f>IF(Q19&gt;=AL1,ROUNDDOWN(Q19/AL1,0),IF(Q19&gt;0,1,))*C19/50</f>
        <v>0</v>
      </c>
      <c r="AO19" s="142">
        <f>IF(R19&gt;=AM1,MAX(ROUNDDOWN(R19/AM1,0),ROUNDUP(R19/AL3,0)),IF(R19&gt;0,1,))*C19/50*0.5</f>
        <v>0</v>
      </c>
      <c r="AP19" s="142">
        <f>IF(W19&gt;=AL1,ROUNDDOWN(W19/AL1,0),IF(W19&gt;0,1,))*C19/50</f>
        <v>0</v>
      </c>
      <c r="AQ19" s="142">
        <f>IF(X19&gt;=AM1,MAX(ROUNDDOWN(X19/AM1,0),ROUNDUP(X19/AL3,0)),IF(X19&gt;0,1,))*C19/50*0.5</f>
        <v>0</v>
      </c>
      <c r="AR19" s="142">
        <f>IF(AC19&gt;=AL1,ROUNDDOWN(AC19/AL1,0),IF(AC19&gt;0,1,))*C19/50</f>
        <v>0</v>
      </c>
      <c r="AS19" s="142">
        <f>IF(AD19&gt;=AM1,MAX(ROUNDDOWN(AD19/AM1,0),ROUNDUP(AD19/AL3,0)),IF(AD19&gt;0,1,))*C19/50*0.5</f>
        <v>0</v>
      </c>
      <c r="AT19" s="611">
        <f t="shared" si="5"/>
        <v>0</v>
      </c>
      <c r="AU19" s="611">
        <f t="shared" si="6"/>
        <v>0</v>
      </c>
      <c r="AV19" s="611">
        <f t="shared" si="7"/>
        <v>0</v>
      </c>
      <c r="AW19" s="611">
        <f t="shared" si="8"/>
        <v>0</v>
      </c>
      <c r="AX19" s="611">
        <f t="shared" si="9"/>
        <v>0</v>
      </c>
      <c r="AY19" s="611">
        <f t="shared" si="28"/>
        <v>0</v>
      </c>
      <c r="AZ19" s="611">
        <f t="shared" si="10"/>
        <v>0</v>
      </c>
      <c r="BA19" s="611">
        <f t="shared" si="11"/>
        <v>0</v>
      </c>
      <c r="BB19" s="611">
        <f t="shared" si="12"/>
        <v>0</v>
      </c>
      <c r="BC19" s="611">
        <f t="shared" si="13"/>
        <v>0</v>
      </c>
      <c r="BD19" s="612">
        <f t="shared" si="14"/>
        <v>0</v>
      </c>
      <c r="BE19" s="612">
        <f t="shared" si="14"/>
        <v>0</v>
      </c>
      <c r="BF19" s="612">
        <f t="shared" si="15"/>
        <v>0</v>
      </c>
      <c r="BG19" s="612">
        <f t="shared" si="15"/>
        <v>0</v>
      </c>
      <c r="BH19" s="612">
        <f t="shared" si="16"/>
        <v>0</v>
      </c>
      <c r="BI19" s="612">
        <f t="shared" si="16"/>
        <v>0</v>
      </c>
      <c r="BJ19" s="612">
        <f t="shared" si="17"/>
        <v>0</v>
      </c>
      <c r="BK19" s="612">
        <f t="shared" si="17"/>
        <v>0</v>
      </c>
      <c r="BL19" s="612">
        <f t="shared" si="18"/>
        <v>0</v>
      </c>
      <c r="BM19" s="612">
        <f t="shared" si="18"/>
        <v>0</v>
      </c>
      <c r="BN19" s="598">
        <f t="shared" si="29"/>
        <v>0</v>
      </c>
    </row>
    <row r="20" spans="1:66" ht="18" x14ac:dyDescent="0.25">
      <c r="A20" s="191">
        <f t="shared" si="19"/>
        <v>0</v>
      </c>
      <c r="B20" s="192">
        <f t="shared" si="0"/>
        <v>0</v>
      </c>
      <c r="C20" s="186">
        <f>ROUND((B20-A20)*24*60,1)</f>
        <v>0</v>
      </c>
      <c r="D20" s="186">
        <f>IF(A20&gt;0,"= "&amp;C20&amp;" min",)</f>
        <v>0</v>
      </c>
      <c r="E20" s="187"/>
      <c r="F20" s="188"/>
      <c r="G20" s="608">
        <f t="shared" si="21"/>
        <v>0</v>
      </c>
      <c r="H20" s="609">
        <f t="shared" si="21"/>
        <v>0</v>
      </c>
      <c r="I20" s="610">
        <f t="shared" si="22"/>
        <v>0</v>
      </c>
      <c r="J20" s="189"/>
      <c r="K20" s="187"/>
      <c r="L20" s="188"/>
      <c r="M20" s="608">
        <f t="shared" si="2"/>
        <v>0</v>
      </c>
      <c r="N20" s="609">
        <f t="shared" si="2"/>
        <v>0</v>
      </c>
      <c r="O20" s="610">
        <f t="shared" si="23"/>
        <v>0</v>
      </c>
      <c r="P20" s="190"/>
      <c r="Q20" s="187"/>
      <c r="R20" s="188"/>
      <c r="S20" s="608">
        <f t="shared" si="3"/>
        <v>0</v>
      </c>
      <c r="T20" s="609">
        <f t="shared" si="3"/>
        <v>0</v>
      </c>
      <c r="U20" s="610">
        <f t="shared" si="24"/>
        <v>0</v>
      </c>
      <c r="V20" s="190"/>
      <c r="W20" s="187"/>
      <c r="X20" s="188"/>
      <c r="Y20" s="608">
        <f t="shared" si="4"/>
        <v>0</v>
      </c>
      <c r="Z20" s="609">
        <f t="shared" si="4"/>
        <v>0</v>
      </c>
      <c r="AA20" s="610">
        <f t="shared" si="25"/>
        <v>0</v>
      </c>
      <c r="AB20" s="190"/>
      <c r="AC20" s="187"/>
      <c r="AD20" s="188"/>
      <c r="AE20" s="608">
        <f t="shared" si="26"/>
        <v>0</v>
      </c>
      <c r="AF20" s="609">
        <f t="shared" si="26"/>
        <v>0</v>
      </c>
      <c r="AG20" s="610">
        <f t="shared" si="27"/>
        <v>0</v>
      </c>
      <c r="AH20" s="190"/>
      <c r="AJ20" s="142">
        <f>IF(E20&gt;=AL1,ROUNDDOWN(E20/AL1,0),IF(E20&gt;0,1,))*C20/50</f>
        <v>0</v>
      </c>
      <c r="AK20" s="142">
        <f>IF(F20&gt;=AM1,MAX(ROUNDDOWN(F20/AM1,0),ROUNDUP(F20/AL3,0)),IF(F20&gt;0,1,))*C20/50*0.5</f>
        <v>0</v>
      </c>
      <c r="AL20" s="142">
        <f>IF(K20&gt;=AL1,ROUNDDOWN(K20/AL1,0),IF(K20&gt;0,1,))*C20/50</f>
        <v>0</v>
      </c>
      <c r="AM20" s="142">
        <f>IF(L20&gt;=AM1,MAX(ROUNDDOWN(L20/AM1,0),ROUNDUP(L20/AL3,0)),IF(L20&gt;0,1,))*C20/50*0.5</f>
        <v>0</v>
      </c>
      <c r="AN20" s="142">
        <f>IF(Q20&gt;=AL1,ROUNDDOWN(Q20/AL1,0),IF(Q20&gt;0,1,))*C20/50</f>
        <v>0</v>
      </c>
      <c r="AO20" s="142">
        <f>IF(R20&gt;=AM1,MAX(ROUNDDOWN(R20/AM1,0),ROUNDUP(R20/AL3,0)),IF(R20&gt;0,1,))*C20/50*0.5</f>
        <v>0</v>
      </c>
      <c r="AP20" s="142">
        <f>IF(W20&gt;=AL1,ROUNDDOWN(W20/AL1,0),IF(W20&gt;0,1,))*C20/50</f>
        <v>0</v>
      </c>
      <c r="AQ20" s="142">
        <f>IF(X20&gt;=AM1,MAX(ROUNDDOWN(X20/AM1,0),ROUNDUP(X20/AL3,0)),IF(X20&gt;0,1,))*C20/50*0.5</f>
        <v>0</v>
      </c>
      <c r="AR20" s="142">
        <f>IF(AC20&gt;=AL1,ROUNDDOWN(AC20/AL1,0),IF(AC20&gt;0,1,))*C20/50</f>
        <v>0</v>
      </c>
      <c r="AS20" s="142">
        <f>IF(AD20&gt;=AM1,MAX(ROUNDDOWN(AD20/AM1,0),ROUNDUP(AD20/AL3,0)),IF(AD20&gt;0,1,))*C20/50*0.5</f>
        <v>0</v>
      </c>
      <c r="AT20" s="611">
        <f t="shared" si="5"/>
        <v>0</v>
      </c>
      <c r="AU20" s="611">
        <f t="shared" si="6"/>
        <v>0</v>
      </c>
      <c r="AV20" s="611">
        <f t="shared" si="7"/>
        <v>0</v>
      </c>
      <c r="AW20" s="611">
        <f t="shared" si="8"/>
        <v>0</v>
      </c>
      <c r="AX20" s="611">
        <f t="shared" si="9"/>
        <v>0</v>
      </c>
      <c r="AY20" s="611">
        <f t="shared" si="28"/>
        <v>0</v>
      </c>
      <c r="AZ20" s="611">
        <f t="shared" si="10"/>
        <v>0</v>
      </c>
      <c r="BA20" s="611">
        <f t="shared" si="11"/>
        <v>0</v>
      </c>
      <c r="BB20" s="611">
        <f t="shared" si="12"/>
        <v>0</v>
      </c>
      <c r="BC20" s="611">
        <f t="shared" si="13"/>
        <v>0</v>
      </c>
      <c r="BD20" s="612">
        <f t="shared" si="14"/>
        <v>0</v>
      </c>
      <c r="BE20" s="612">
        <f t="shared" si="14"/>
        <v>0</v>
      </c>
      <c r="BF20" s="612">
        <f t="shared" si="15"/>
        <v>0</v>
      </c>
      <c r="BG20" s="612">
        <f t="shared" si="15"/>
        <v>0</v>
      </c>
      <c r="BH20" s="612">
        <f t="shared" si="16"/>
        <v>0</v>
      </c>
      <c r="BI20" s="612">
        <f t="shared" si="16"/>
        <v>0</v>
      </c>
      <c r="BJ20" s="612">
        <f t="shared" si="17"/>
        <v>0</v>
      </c>
      <c r="BK20" s="612">
        <f t="shared" si="17"/>
        <v>0</v>
      </c>
      <c r="BL20" s="612">
        <f t="shared" si="18"/>
        <v>0</v>
      </c>
      <c r="BM20" s="612">
        <f t="shared" si="18"/>
        <v>0</v>
      </c>
      <c r="BN20" s="598">
        <f t="shared" si="29"/>
        <v>0</v>
      </c>
    </row>
    <row r="21" spans="1:66" ht="18" x14ac:dyDescent="0.25">
      <c r="A21" s="191">
        <f t="shared" si="19"/>
        <v>0</v>
      </c>
      <c r="B21" s="192">
        <f t="shared" si="0"/>
        <v>0</v>
      </c>
      <c r="C21" s="186">
        <f>ROUND((B21-A21)*24*60,1)</f>
        <v>0</v>
      </c>
      <c r="D21" s="186">
        <f>IF(A21&gt;0,"= "&amp;C21&amp;" min",)</f>
        <v>0</v>
      </c>
      <c r="E21" s="187"/>
      <c r="F21" s="188"/>
      <c r="G21" s="608">
        <f t="shared" si="21"/>
        <v>0</v>
      </c>
      <c r="H21" s="609">
        <f t="shared" si="21"/>
        <v>0</v>
      </c>
      <c r="I21" s="610">
        <f t="shared" si="22"/>
        <v>0</v>
      </c>
      <c r="J21" s="189"/>
      <c r="K21" s="187"/>
      <c r="L21" s="188"/>
      <c r="M21" s="608">
        <f t="shared" si="2"/>
        <v>0</v>
      </c>
      <c r="N21" s="609">
        <f t="shared" si="2"/>
        <v>0</v>
      </c>
      <c r="O21" s="610">
        <f t="shared" si="23"/>
        <v>0</v>
      </c>
      <c r="P21" s="190"/>
      <c r="Q21" s="187"/>
      <c r="R21" s="188"/>
      <c r="S21" s="608">
        <f t="shared" si="3"/>
        <v>0</v>
      </c>
      <c r="T21" s="609">
        <f t="shared" si="3"/>
        <v>0</v>
      </c>
      <c r="U21" s="610">
        <f t="shared" si="24"/>
        <v>0</v>
      </c>
      <c r="V21" s="190"/>
      <c r="W21" s="187"/>
      <c r="X21" s="188"/>
      <c r="Y21" s="608">
        <f t="shared" si="4"/>
        <v>0</v>
      </c>
      <c r="Z21" s="609">
        <f t="shared" si="4"/>
        <v>0</v>
      </c>
      <c r="AA21" s="610">
        <f t="shared" si="25"/>
        <v>0</v>
      </c>
      <c r="AB21" s="190"/>
      <c r="AC21" s="187"/>
      <c r="AD21" s="188"/>
      <c r="AE21" s="608">
        <f t="shared" si="26"/>
        <v>0</v>
      </c>
      <c r="AF21" s="609">
        <f t="shared" si="26"/>
        <v>0</v>
      </c>
      <c r="AG21" s="610">
        <f t="shared" si="27"/>
        <v>0</v>
      </c>
      <c r="AH21" s="190"/>
      <c r="AJ21" s="142">
        <f>IF(E21&gt;=AL1,ROUNDDOWN(E21/AL1,0),IF(E21&gt;0,1,))*C21/50</f>
        <v>0</v>
      </c>
      <c r="AK21" s="142">
        <f>IF(F21&gt;=AM1,MAX(ROUNDDOWN(F21/AM1,0),ROUNDUP(F21/AL3,0)),IF(F21&gt;0,1,))*C21/50*0.5</f>
        <v>0</v>
      </c>
      <c r="AL21" s="142">
        <f>IF(K21&gt;=AL1,ROUNDDOWN(K21/AL1,0),IF(K21&gt;0,1,))*C21/50</f>
        <v>0</v>
      </c>
      <c r="AM21" s="142">
        <f>IF(L21&gt;=AM1,MAX(ROUNDDOWN(L21/AM1,0),ROUNDUP(L21/AL3,0)),IF(L21&gt;0,1,))*C21/50*0.5</f>
        <v>0</v>
      </c>
      <c r="AN21" s="142">
        <f>IF(Q21&gt;=AL1,ROUNDDOWN(Q21/AL1,0),IF(Q21&gt;0,1,))*C21/50</f>
        <v>0</v>
      </c>
      <c r="AO21" s="142">
        <f>IF(R21&gt;=AM1,MAX(ROUNDDOWN(R21/AM1,0),ROUNDUP(R21/AL3,0)),IF(R21&gt;0,1,))*C21/50*0.5</f>
        <v>0</v>
      </c>
      <c r="AP21" s="142">
        <f>IF(W21&gt;=AL1,ROUNDDOWN(W21/AL1,0),IF(W21&gt;0,1,))*C21/50</f>
        <v>0</v>
      </c>
      <c r="AQ21" s="142">
        <f>IF(X21&gt;=AM1,MAX(ROUNDDOWN(X21/AM1,0),ROUNDUP(X21/AL3,0)),IF(X21&gt;0,1,))*C21/50*0.5</f>
        <v>0</v>
      </c>
      <c r="AR21" s="142">
        <f>IF(AC21&gt;=AL1,ROUNDDOWN(AC21/AL1,0),IF(AC21&gt;0,1,))*C21/50</f>
        <v>0</v>
      </c>
      <c r="AS21" s="142">
        <f>IF(AD21&gt;=AM1,MAX(ROUNDDOWN(AD21/AM1,0),ROUNDUP(AD21/AL3,0)),IF(AD21&gt;0,1,))*C21/50*0.5</f>
        <v>0</v>
      </c>
      <c r="AT21" s="611">
        <f t="shared" si="5"/>
        <v>0</v>
      </c>
      <c r="AU21" s="611">
        <f t="shared" si="6"/>
        <v>0</v>
      </c>
      <c r="AV21" s="611">
        <f t="shared" si="7"/>
        <v>0</v>
      </c>
      <c r="AW21" s="611">
        <f t="shared" si="8"/>
        <v>0</v>
      </c>
      <c r="AX21" s="611">
        <f t="shared" si="9"/>
        <v>0</v>
      </c>
      <c r="AY21" s="611">
        <f t="shared" si="28"/>
        <v>0</v>
      </c>
      <c r="AZ21" s="611">
        <f t="shared" si="10"/>
        <v>0</v>
      </c>
      <c r="BA21" s="611">
        <f t="shared" si="11"/>
        <v>0</v>
      </c>
      <c r="BB21" s="611">
        <f t="shared" si="12"/>
        <v>0</v>
      </c>
      <c r="BC21" s="611">
        <f t="shared" si="13"/>
        <v>0</v>
      </c>
      <c r="BD21" s="612">
        <f t="shared" si="14"/>
        <v>0</v>
      </c>
      <c r="BE21" s="612">
        <f t="shared" si="14"/>
        <v>0</v>
      </c>
      <c r="BF21" s="612">
        <f t="shared" si="15"/>
        <v>0</v>
      </c>
      <c r="BG21" s="612">
        <f t="shared" si="15"/>
        <v>0</v>
      </c>
      <c r="BH21" s="612">
        <f t="shared" si="16"/>
        <v>0</v>
      </c>
      <c r="BI21" s="612">
        <f t="shared" si="16"/>
        <v>0</v>
      </c>
      <c r="BJ21" s="612">
        <f t="shared" si="17"/>
        <v>0</v>
      </c>
      <c r="BK21" s="612">
        <f t="shared" si="17"/>
        <v>0</v>
      </c>
      <c r="BL21" s="612">
        <f t="shared" si="18"/>
        <v>0</v>
      </c>
      <c r="BM21" s="612">
        <f t="shared" si="18"/>
        <v>0</v>
      </c>
      <c r="BN21" s="598">
        <f t="shared" si="29"/>
        <v>0</v>
      </c>
    </row>
    <row r="22" spans="1:66" ht="18" x14ac:dyDescent="0.25">
      <c r="A22" s="191">
        <f t="shared" si="19"/>
        <v>0</v>
      </c>
      <c r="B22" s="192">
        <f t="shared" si="0"/>
        <v>0</v>
      </c>
      <c r="C22" s="186">
        <f t="shared" si="20"/>
        <v>0</v>
      </c>
      <c r="D22" s="186">
        <f t="shared" si="1"/>
        <v>0</v>
      </c>
      <c r="E22" s="187"/>
      <c r="F22" s="188"/>
      <c r="G22" s="608">
        <f t="shared" si="21"/>
        <v>0</v>
      </c>
      <c r="H22" s="609">
        <f t="shared" si="21"/>
        <v>0</v>
      </c>
      <c r="I22" s="610">
        <f t="shared" si="22"/>
        <v>0</v>
      </c>
      <c r="J22" s="189"/>
      <c r="K22" s="187"/>
      <c r="L22" s="188"/>
      <c r="M22" s="608">
        <f t="shared" si="2"/>
        <v>0</v>
      </c>
      <c r="N22" s="609">
        <f t="shared" si="2"/>
        <v>0</v>
      </c>
      <c r="O22" s="610">
        <f t="shared" si="23"/>
        <v>0</v>
      </c>
      <c r="P22" s="190"/>
      <c r="Q22" s="187"/>
      <c r="R22" s="188"/>
      <c r="S22" s="608">
        <f t="shared" si="3"/>
        <v>0</v>
      </c>
      <c r="T22" s="609">
        <f t="shared" si="3"/>
        <v>0</v>
      </c>
      <c r="U22" s="610">
        <f t="shared" si="24"/>
        <v>0</v>
      </c>
      <c r="V22" s="190"/>
      <c r="W22" s="187"/>
      <c r="X22" s="188"/>
      <c r="Y22" s="608">
        <f t="shared" si="4"/>
        <v>0</v>
      </c>
      <c r="Z22" s="609">
        <f t="shared" si="4"/>
        <v>0</v>
      </c>
      <c r="AA22" s="610">
        <f t="shared" si="25"/>
        <v>0</v>
      </c>
      <c r="AB22" s="190"/>
      <c r="AC22" s="187"/>
      <c r="AD22" s="188"/>
      <c r="AE22" s="608">
        <f t="shared" si="26"/>
        <v>0</v>
      </c>
      <c r="AF22" s="609">
        <f t="shared" si="26"/>
        <v>0</v>
      </c>
      <c r="AG22" s="610">
        <f t="shared" si="27"/>
        <v>0</v>
      </c>
      <c r="AH22" s="190"/>
      <c r="AJ22" s="142">
        <f>IF(E22&gt;=AL1,ROUNDDOWN(E22/AL1,0),IF(E22&gt;0,1,))*C22/50</f>
        <v>0</v>
      </c>
      <c r="AK22" s="142">
        <f>IF(F22&gt;=AM1,MAX(ROUNDDOWN(F22/AM1,0),ROUNDUP(F22/AL3,0)),IF(F22&gt;0,1,))*C22/50*0.5</f>
        <v>0</v>
      </c>
      <c r="AL22" s="142">
        <f>IF(K22&gt;=AL1,ROUNDDOWN(K22/AL1,0),IF(K22&gt;0,1,))*C22/50</f>
        <v>0</v>
      </c>
      <c r="AM22" s="142">
        <f>IF(L22&gt;=AM1,MAX(ROUNDDOWN(L22/AM1,0),ROUNDUP(L22/AL3,0)),IF(L22&gt;0,1,))*C22/50*0.5</f>
        <v>0</v>
      </c>
      <c r="AN22" s="142">
        <f>IF(Q22&gt;=AL1,ROUNDDOWN(Q22/AL1,0),IF(Q22&gt;0,1,))*C22/50</f>
        <v>0</v>
      </c>
      <c r="AO22" s="142">
        <f>IF(R22&gt;=AM1,MAX(ROUNDDOWN(R22/AM1,0),ROUNDUP(R22/AL3,0)),IF(R22&gt;0,1,))*C22/50*0.5</f>
        <v>0</v>
      </c>
      <c r="AP22" s="142">
        <f>IF(W22&gt;=AL1,ROUNDDOWN(W22/AL1,0),IF(W22&gt;0,1,))*C22/50</f>
        <v>0</v>
      </c>
      <c r="AQ22" s="142">
        <f>IF(X22&gt;=AM1,MAX(ROUNDDOWN(X22/AM1,0),ROUNDUP(X22/AL3,0)),IF(X22&gt;0,1,))*C22/50*0.5</f>
        <v>0</v>
      </c>
      <c r="AR22" s="142">
        <f>IF(AC22&gt;=AL1,ROUNDDOWN(AC22/AL1,0),IF(AC22&gt;0,1,))*C22/50</f>
        <v>0</v>
      </c>
      <c r="AS22" s="142">
        <f>IF(AD22&gt;=AM1,MAX(ROUNDDOWN(AD22/AM1,0),ROUNDUP(AD22/AL3,0)),IF(AD22&gt;0,1,))*C22/50*0.5</f>
        <v>0</v>
      </c>
      <c r="AT22" s="611">
        <f t="shared" si="5"/>
        <v>0</v>
      </c>
      <c r="AU22" s="611">
        <f t="shared" si="6"/>
        <v>0</v>
      </c>
      <c r="AV22" s="611">
        <f t="shared" si="7"/>
        <v>0</v>
      </c>
      <c r="AW22" s="611">
        <f t="shared" si="8"/>
        <v>0</v>
      </c>
      <c r="AX22" s="611">
        <f t="shared" si="9"/>
        <v>0</v>
      </c>
      <c r="AY22" s="611">
        <f>IF(R22&gt;=$AM$1,ROUNDDOWN(R22/$AM$1,0),IF(R22&gt;0,1,))</f>
        <v>0</v>
      </c>
      <c r="AZ22" s="611">
        <f t="shared" si="10"/>
        <v>0</v>
      </c>
      <c r="BA22" s="611">
        <f t="shared" si="11"/>
        <v>0</v>
      </c>
      <c r="BB22" s="611">
        <f t="shared" si="12"/>
        <v>0</v>
      </c>
      <c r="BC22" s="611">
        <f t="shared" si="13"/>
        <v>0</v>
      </c>
      <c r="BD22" s="612">
        <f t="shared" si="14"/>
        <v>0</v>
      </c>
      <c r="BE22" s="612">
        <f t="shared" si="14"/>
        <v>0</v>
      </c>
      <c r="BF22" s="612">
        <f t="shared" si="15"/>
        <v>0</v>
      </c>
      <c r="BG22" s="612">
        <f t="shared" si="15"/>
        <v>0</v>
      </c>
      <c r="BH22" s="612">
        <f t="shared" si="16"/>
        <v>0</v>
      </c>
      <c r="BI22" s="612">
        <f t="shared" si="16"/>
        <v>0</v>
      </c>
      <c r="BJ22" s="612">
        <f t="shared" si="17"/>
        <v>0</v>
      </c>
      <c r="BK22" s="612">
        <f t="shared" si="17"/>
        <v>0</v>
      </c>
      <c r="BL22" s="612">
        <f t="shared" si="18"/>
        <v>0</v>
      </c>
      <c r="BM22" s="612">
        <f t="shared" si="18"/>
        <v>0</v>
      </c>
      <c r="BN22" s="598">
        <f t="shared" si="29"/>
        <v>0</v>
      </c>
    </row>
    <row r="23" spans="1:66" ht="18" x14ac:dyDescent="0.25">
      <c r="A23" s="193">
        <f t="shared" si="19"/>
        <v>0</v>
      </c>
      <c r="B23" s="194">
        <f t="shared" si="0"/>
        <v>0</v>
      </c>
      <c r="C23" s="186">
        <f t="shared" si="20"/>
        <v>0</v>
      </c>
      <c r="D23" s="186">
        <f t="shared" si="1"/>
        <v>0</v>
      </c>
      <c r="E23" s="613"/>
      <c r="F23" s="614"/>
      <c r="G23" s="615">
        <f t="shared" si="21"/>
        <v>0</v>
      </c>
      <c r="H23" s="616">
        <f t="shared" si="21"/>
        <v>0</v>
      </c>
      <c r="I23" s="617">
        <f t="shared" si="22"/>
        <v>0</v>
      </c>
      <c r="J23" s="189"/>
      <c r="K23" s="613"/>
      <c r="L23" s="614"/>
      <c r="M23" s="615">
        <f t="shared" si="2"/>
        <v>0</v>
      </c>
      <c r="N23" s="616">
        <f t="shared" si="2"/>
        <v>0</v>
      </c>
      <c r="O23" s="617">
        <f t="shared" si="23"/>
        <v>0</v>
      </c>
      <c r="P23" s="190"/>
      <c r="Q23" s="613"/>
      <c r="R23" s="614"/>
      <c r="S23" s="615">
        <f t="shared" si="3"/>
        <v>0</v>
      </c>
      <c r="T23" s="616">
        <f t="shared" si="3"/>
        <v>0</v>
      </c>
      <c r="U23" s="617">
        <f t="shared" si="24"/>
        <v>0</v>
      </c>
      <c r="V23" s="190"/>
      <c r="W23" s="613"/>
      <c r="X23" s="614"/>
      <c r="Y23" s="615">
        <f t="shared" si="4"/>
        <v>0</v>
      </c>
      <c r="Z23" s="616">
        <f t="shared" si="4"/>
        <v>0</v>
      </c>
      <c r="AA23" s="617">
        <f t="shared" si="25"/>
        <v>0</v>
      </c>
      <c r="AB23" s="190"/>
      <c r="AC23" s="613"/>
      <c r="AD23" s="614"/>
      <c r="AE23" s="615">
        <f t="shared" si="26"/>
        <v>0</v>
      </c>
      <c r="AF23" s="616">
        <f t="shared" si="26"/>
        <v>0</v>
      </c>
      <c r="AG23" s="617">
        <f t="shared" si="27"/>
        <v>0</v>
      </c>
      <c r="AH23" s="190"/>
      <c r="AJ23" s="142">
        <f>IF(E23&gt;=AL1,ROUNDDOWN(E23/AL1,0),IF(E23&gt;0,1,))*C23/50</f>
        <v>0</v>
      </c>
      <c r="AK23" s="142">
        <f>IF(F23&gt;=AM1,MAX(ROUNDDOWN(F23/AM1,0),ROUNDUP(F23/AL3,0)),IF(F23&gt;0,1,))*C23/50*0.5</f>
        <v>0</v>
      </c>
      <c r="AL23" s="142">
        <f>IF(K23&gt;=AL1,ROUNDDOWN(K23/AL1,0),IF(K23&gt;0,1,))*C23/50</f>
        <v>0</v>
      </c>
      <c r="AM23" s="142">
        <f>IF(L23&gt;=AM1,MAX(ROUNDDOWN(L23/AM1,0),ROUNDUP(L23/AL3,0)),IF(L23&gt;0,1,))*C23/50*0.5</f>
        <v>0</v>
      </c>
      <c r="AN23" s="142">
        <f>IF(Q23&gt;=AL1,ROUNDDOWN(Q23/AL1,0),IF(Q23&gt;0,1,))*C23/50</f>
        <v>0</v>
      </c>
      <c r="AO23" s="142">
        <f>IF(R23&gt;=AM1,MAX(ROUNDDOWN(R23/AM1,0),ROUNDUP(R23/AL3,0)),IF(R23&gt;0,1,))*C23/50*0.5</f>
        <v>0</v>
      </c>
      <c r="AP23" s="142">
        <f>IF(W23&gt;=AL1,ROUNDDOWN(W23/AL1,0),IF(W23&gt;0,1,))*C23/50</f>
        <v>0</v>
      </c>
      <c r="AQ23" s="142">
        <f>IF(X23&gt;=AM1,MAX(ROUNDDOWN(X23/AM1,0),ROUNDUP(X23/AL3,0)),IF(X23&gt;0,1,))*C23/50*0.5</f>
        <v>0</v>
      </c>
      <c r="AR23" s="142">
        <f>IF(AC23&gt;=AL1,ROUNDDOWN(AC23/AL1,0),IF(AC23&gt;0,1,))*C23/50</f>
        <v>0</v>
      </c>
      <c r="AS23" s="142">
        <f>IF(AD23&gt;=AM1,MAX(ROUNDDOWN(AD23/AM1,0),ROUNDUP(AD23/AL3,0)),IF(AD23&gt;0,1,))*C23/50*0.5</f>
        <v>0</v>
      </c>
      <c r="AT23" s="611">
        <f t="shared" si="5"/>
        <v>0</v>
      </c>
      <c r="AU23" s="611">
        <f t="shared" si="6"/>
        <v>0</v>
      </c>
      <c r="AV23" s="611">
        <f t="shared" si="7"/>
        <v>0</v>
      </c>
      <c r="AW23" s="611">
        <f t="shared" si="8"/>
        <v>0</v>
      </c>
      <c r="AX23" s="611">
        <f t="shared" si="9"/>
        <v>0</v>
      </c>
      <c r="AY23" s="611">
        <f>IF(R23&gt;=$AM$1,ROUNDDOWN(R23/$AM$1,0),IF(R23&gt;0,1,))</f>
        <v>0</v>
      </c>
      <c r="AZ23" s="611">
        <f t="shared" si="10"/>
        <v>0</v>
      </c>
      <c r="BA23" s="611">
        <f t="shared" si="11"/>
        <v>0</v>
      </c>
      <c r="BB23" s="611">
        <f t="shared" si="12"/>
        <v>0</v>
      </c>
      <c r="BC23" s="611">
        <f t="shared" si="13"/>
        <v>0</v>
      </c>
      <c r="BD23" s="612">
        <f t="shared" si="14"/>
        <v>0</v>
      </c>
      <c r="BE23" s="612">
        <f t="shared" si="14"/>
        <v>0</v>
      </c>
      <c r="BF23" s="612">
        <f t="shared" si="15"/>
        <v>0</v>
      </c>
      <c r="BG23" s="612">
        <f t="shared" si="15"/>
        <v>0</v>
      </c>
      <c r="BH23" s="612">
        <f t="shared" si="16"/>
        <v>0</v>
      </c>
      <c r="BI23" s="612">
        <f t="shared" si="16"/>
        <v>0</v>
      </c>
      <c r="BJ23" s="612">
        <f t="shared" si="17"/>
        <v>0</v>
      </c>
      <c r="BK23" s="612">
        <f t="shared" si="17"/>
        <v>0</v>
      </c>
      <c r="BL23" s="612">
        <f t="shared" si="18"/>
        <v>0</v>
      </c>
      <c r="BM23" s="612">
        <f t="shared" si="18"/>
        <v>0</v>
      </c>
      <c r="BN23" s="598">
        <f t="shared" si="29"/>
        <v>0</v>
      </c>
    </row>
    <row r="24" spans="1:66" customFormat="1" ht="29.25" customHeight="1" x14ac:dyDescent="0.25">
      <c r="A24" s="739">
        <f>IF(AK26&gt;0,"Diese Werte sind in Sokrates bei 'Gruppengröße' am entsprechenden Tag einzutragen",)</f>
        <v>0</v>
      </c>
      <c r="B24" s="739"/>
      <c r="C24" s="739"/>
      <c r="D24" s="739"/>
      <c r="E24" s="739"/>
      <c r="F24" s="739"/>
      <c r="G24" s="722">
        <f>IF(SUM(G14:H23)=0,,"GTS-Mo
"&amp;SUM(G14:H23)&amp;" Gruppen")</f>
        <v>0</v>
      </c>
      <c r="H24" s="722"/>
      <c r="I24" s="4"/>
      <c r="J24" s="4"/>
      <c r="K24" s="723"/>
      <c r="L24" s="723"/>
      <c r="M24" s="722">
        <f>IF(SUM(M14:N23)=0,,"GTS-Di
"&amp;SUM(M14:N23)&amp;" Gruppen")</f>
        <v>0</v>
      </c>
      <c r="N24" s="722"/>
      <c r="O24" s="4"/>
      <c r="P24" s="4"/>
      <c r="Q24" s="723"/>
      <c r="R24" s="723"/>
      <c r="S24" s="722">
        <f>IF(SUM(S14:T23)=0,,"GTS-Mi
"&amp;SUM(S14:T23)&amp;" Gruppen")</f>
        <v>0</v>
      </c>
      <c r="T24" s="722"/>
      <c r="U24" s="4"/>
      <c r="V24" s="4"/>
      <c r="W24" s="723"/>
      <c r="X24" s="723"/>
      <c r="Y24" s="722">
        <f>IF(SUM(Y14:Z23)=0,,"GTS-Do
"&amp;SUM(Y14:Z23)&amp;" Gruppen")</f>
        <v>0</v>
      </c>
      <c r="Z24" s="722"/>
      <c r="AA24" s="4"/>
      <c r="AB24" s="4"/>
      <c r="AC24" s="723"/>
      <c r="AD24" s="723"/>
      <c r="AE24" s="722">
        <f>IF(SUM(AE14:AF23)=0,,"GTS-Fr
"&amp;SUM(AE14:AF23)&amp;" Gruppen")</f>
        <v>0</v>
      </c>
      <c r="AF24" s="722"/>
    </row>
    <row r="25" spans="1:66" x14ac:dyDescent="0.25">
      <c r="A25" s="732">
        <f>IF(AK26&gt;0,"SOKRATES Anleitung",)</f>
        <v>0</v>
      </c>
      <c r="B25" s="732"/>
      <c r="C25" s="732"/>
      <c r="D25" s="732"/>
      <c r="E25" s="143">
        <f>SUM(E14:E23)</f>
        <v>0</v>
      </c>
      <c r="F25" s="618">
        <f>SUM(F14:F23)</f>
        <v>0</v>
      </c>
      <c r="G25" s="618">
        <f>SUM(G14:G23)</f>
        <v>0</v>
      </c>
      <c r="H25" s="618">
        <f>SUM(H14:H23)</f>
        <v>0</v>
      </c>
      <c r="I25" s="618">
        <f>SUM(I14:I23)</f>
        <v>0</v>
      </c>
      <c r="J25" s="618"/>
      <c r="K25" s="618">
        <f>SUM(K14:K23)</f>
        <v>0</v>
      </c>
      <c r="L25" s="618">
        <f>SUM(L14:L23)</f>
        <v>0</v>
      </c>
      <c r="M25" s="618">
        <f>SUM(M14:M23)</f>
        <v>0</v>
      </c>
      <c r="N25" s="618">
        <f>SUM(N14:N23)</f>
        <v>0</v>
      </c>
      <c r="O25" s="618">
        <f>SUM(O14:O23)</f>
        <v>0</v>
      </c>
      <c r="P25" s="618"/>
      <c r="Q25" s="618">
        <f>SUM(Q14:Q23)</f>
        <v>0</v>
      </c>
      <c r="R25" s="618">
        <f>SUM(R14:R23)</f>
        <v>0</v>
      </c>
      <c r="S25" s="618">
        <f>SUM(S14:S23)</f>
        <v>0</v>
      </c>
      <c r="T25" s="618">
        <f>SUM(T14:T23)</f>
        <v>0</v>
      </c>
      <c r="U25" s="618">
        <f>SUM(U14:U23)</f>
        <v>0</v>
      </c>
      <c r="V25" s="618"/>
      <c r="W25" s="618">
        <f>SUM(W14:W23)</f>
        <v>0</v>
      </c>
      <c r="X25" s="618">
        <f>SUM(X14:X23)</f>
        <v>0</v>
      </c>
      <c r="Y25" s="618">
        <f>SUM(Y14:Y23)</f>
        <v>0</v>
      </c>
      <c r="Z25" s="618">
        <f>SUM(Z14:Z23)</f>
        <v>0</v>
      </c>
      <c r="AA25" s="618">
        <f>SUM(AA14:AA23)</f>
        <v>0</v>
      </c>
      <c r="AB25" s="618"/>
      <c r="AC25" s="618">
        <f>SUM(AC14:AC23)</f>
        <v>0</v>
      </c>
      <c r="AD25" s="618">
        <f>SUM(AD14:AD23)</f>
        <v>0</v>
      </c>
      <c r="AE25" s="618">
        <f>SUM(AE14:AE23)</f>
        <v>0</v>
      </c>
      <c r="AF25" s="619">
        <f>SUM(AF14:AF23)</f>
        <v>0</v>
      </c>
      <c r="AG25" s="619">
        <f>SUM(AG14:AG23)</f>
        <v>0</v>
      </c>
      <c r="AH25" s="620"/>
      <c r="AI25" s="144"/>
      <c r="AJ25" s="145">
        <f>E25+K25+Q25+W25+AC25</f>
        <v>0</v>
      </c>
      <c r="AK25" s="145">
        <f>F25+L25+R25+X25+AD25</f>
        <v>0</v>
      </c>
      <c r="AL25" s="146">
        <f>I25+O25+U25+AA25+AG25</f>
        <v>0</v>
      </c>
      <c r="AM25" s="146">
        <f>H25+N25+T25+Z25+AF25</f>
        <v>0</v>
      </c>
      <c r="AN25" s="146">
        <f>AL25+AM25</f>
        <v>0</v>
      </c>
      <c r="AO25" s="146">
        <f>ROUND(IF(AN25&gt;AN7,AN7,AN25),2)</f>
        <v>0</v>
      </c>
      <c r="AP25" s="147">
        <f>IF(AL25&gt;AO25,AO25,AL25)</f>
        <v>0</v>
      </c>
      <c r="AQ25" s="148">
        <f>AO25-AP25</f>
        <v>0</v>
      </c>
      <c r="AT25" s="621">
        <f>SUM(AT14:AT22,AV14:AV22,AX14:AX22,AZ14:AZ22,BB14:BB22)</f>
        <v>0</v>
      </c>
      <c r="AU25" s="621" t="s">
        <v>371</v>
      </c>
      <c r="AV25" s="611"/>
      <c r="AW25" s="622"/>
      <c r="AX25" s="622"/>
      <c r="AY25" s="622"/>
      <c r="AZ25" s="622"/>
      <c r="BA25" s="622"/>
      <c r="BB25" s="622"/>
      <c r="BC25" s="622"/>
      <c r="BD25" s="612">
        <f>SUM(BD14:BD23)</f>
        <v>0</v>
      </c>
      <c r="BE25" s="612">
        <f t="shared" ref="BE25:BM25" si="30">SUM(BE14:BE23)</f>
        <v>0</v>
      </c>
      <c r="BF25" s="612">
        <f t="shared" si="30"/>
        <v>0</v>
      </c>
      <c r="BG25" s="612">
        <f t="shared" si="30"/>
        <v>0</v>
      </c>
      <c r="BH25" s="612">
        <f t="shared" si="30"/>
        <v>0</v>
      </c>
      <c r="BI25" s="612">
        <f t="shared" si="30"/>
        <v>0</v>
      </c>
      <c r="BJ25" s="612">
        <f t="shared" si="30"/>
        <v>0</v>
      </c>
      <c r="BK25" s="612">
        <f t="shared" si="30"/>
        <v>0</v>
      </c>
      <c r="BL25" s="612">
        <f t="shared" si="30"/>
        <v>0</v>
      </c>
      <c r="BM25" s="612">
        <f t="shared" si="30"/>
        <v>0</v>
      </c>
      <c r="BN25" s="598">
        <f>SUM(BN14:BN23)</f>
        <v>0</v>
      </c>
    </row>
    <row r="26" spans="1:66" ht="10.5" customHeight="1" x14ac:dyDescent="0.3">
      <c r="A26" s="732"/>
      <c r="B26" s="732"/>
      <c r="C26" s="732"/>
      <c r="D26" s="732"/>
      <c r="E26" s="623"/>
      <c r="F26" s="625">
        <f>E25+F25</f>
        <v>0</v>
      </c>
      <c r="G26" s="625">
        <f>AJ29+AK29*2</f>
        <v>0</v>
      </c>
      <c r="H26" s="625"/>
      <c r="I26" s="625"/>
      <c r="J26" s="626"/>
      <c r="K26" s="624"/>
      <c r="L26" s="625">
        <f>K25+L25</f>
        <v>0</v>
      </c>
      <c r="M26" s="625">
        <f>AL29+AM29*2</f>
        <v>0</v>
      </c>
      <c r="N26" s="624"/>
      <c r="O26" s="624"/>
      <c r="P26" s="625"/>
      <c r="Q26" s="624"/>
      <c r="R26" s="625">
        <f>Q25+R25</f>
        <v>0</v>
      </c>
      <c r="S26" s="625">
        <f>AN29+AO29*2</f>
        <v>0</v>
      </c>
      <c r="T26" s="624"/>
      <c r="U26" s="624"/>
      <c r="V26" s="625"/>
      <c r="W26" s="624"/>
      <c r="X26" s="625">
        <f>W25+X25</f>
        <v>0</v>
      </c>
      <c r="Y26" s="625">
        <f>AP29+AQ29*2</f>
        <v>0</v>
      </c>
      <c r="Z26" s="624"/>
      <c r="AA26" s="624"/>
      <c r="AB26" s="625"/>
      <c r="AC26" s="624"/>
      <c r="AD26" s="625">
        <f>AC25+AD25</f>
        <v>0</v>
      </c>
      <c r="AE26" s="625">
        <f>AR29+AS29*2</f>
        <v>0</v>
      </c>
      <c r="AF26" s="624"/>
      <c r="AG26" s="624"/>
      <c r="AH26" s="625"/>
      <c r="AI26" s="585"/>
      <c r="AJ26" s="585"/>
      <c r="AK26" s="149">
        <f>F26+L26+R26+X26+AD26</f>
        <v>0</v>
      </c>
      <c r="AL26" s="149">
        <f>G26+M26+S26+Y26+AE26</f>
        <v>0</v>
      </c>
      <c r="AM26" s="585"/>
      <c r="AN26" s="585"/>
      <c r="AO26" s="585"/>
      <c r="AP26" s="585"/>
      <c r="AQ26" s="150" t="s">
        <v>372</v>
      </c>
      <c r="AR26" s="585"/>
      <c r="AS26" s="585"/>
      <c r="AT26" s="621">
        <f>SUM(AU14:AU22,AW14:AW22,AY14:AY22,BA14:BA22,BC14:BC22)</f>
        <v>0</v>
      </c>
      <c r="AU26" s="621" t="s">
        <v>373</v>
      </c>
      <c r="BD26" s="612">
        <f>SUM(BD14:BD22,BF14:BF22,BH14:BH22,BJ14:BJ22,BL14:BL22)</f>
        <v>0</v>
      </c>
      <c r="BE26" s="612" t="s">
        <v>374</v>
      </c>
    </row>
    <row r="27" spans="1:66" ht="36.75" customHeight="1" x14ac:dyDescent="0.55000000000000004">
      <c r="A27" s="627">
        <f>IF(AN25&gt;AO25,AN25,)</f>
        <v>0</v>
      </c>
      <c r="B27" s="623"/>
      <c r="C27" s="623"/>
      <c r="D27" s="628"/>
      <c r="E27" s="623"/>
      <c r="F27" s="623"/>
      <c r="G27" s="623"/>
      <c r="H27" s="623"/>
      <c r="I27" s="623"/>
      <c r="J27" s="623"/>
      <c r="K27" s="151">
        <f>IF(AK26&gt;0,"Zusammengezählt werden "&amp;AK26&amp;" Schüler in  "&amp;AL26&amp;" Gruppen geführt  ",)</f>
        <v>0</v>
      </c>
      <c r="L27" s="629">
        <f>IF(AN25&gt;0,"&gt;="&amp;ROUND(AQ45/2,1),)</f>
        <v>0</v>
      </c>
      <c r="M27" s="630"/>
      <c r="N27" s="724">
        <f>IF(BN25=1,BN25&amp;" Einheit dauert unter "&amp;BN12&amp;" Minuten!
 Rücksprache mit Präs/3 halten!",IF(BN25&gt;1,BN25&amp;" Einheiten dauern unter "&amp;BN12&amp;" Minuten!
 Rücksprache mit Präs/3 halten!",))</f>
        <v>0</v>
      </c>
      <c r="O27" s="724"/>
      <c r="P27" s="724"/>
      <c r="Q27" s="724"/>
      <c r="R27" s="724"/>
      <c r="S27" s="725" t="str">
        <f>IF(OR(AK26&gt;0,H31&gt;0),"… über 5 Wochentage im Durch-  
  schnitt mit "&amp;BD30&amp;" Gruppen",)&amp;IF(H31&gt;0,"
davon "&amp;H31&amp;" in verschr. Klassen",)</f>
        <v/>
      </c>
      <c r="T27" s="725"/>
      <c r="U27" s="725"/>
      <c r="V27" s="725"/>
      <c r="W27" s="725"/>
      <c r="X27" s="725"/>
      <c r="Y27" s="585"/>
      <c r="Z27" s="585"/>
      <c r="AA27" s="585"/>
      <c r="AB27" s="585"/>
      <c r="AC27" s="585"/>
      <c r="AD27" s="585"/>
      <c r="AE27" s="585"/>
      <c r="AF27" s="151">
        <f>IF(A28&gt;0,"bei max. "&amp;AI27&amp;" LZGrup",)</f>
        <v>0</v>
      </c>
      <c r="AG27" s="151"/>
      <c r="AH27" s="585"/>
      <c r="AI27" s="429">
        <f>MAX(MAX(AJ31:AJ40,AL31:AL40,AN31:AN40,AP31:AP40,AR31:AR40),MAX(AK31:AK40,AM31:AM40,AO31:AO40,AQ31:AQ40,AS31:AS40)*2)</f>
        <v>0</v>
      </c>
      <c r="AJ27" s="585"/>
      <c r="AK27" s="152">
        <f>IF(AK26&gt;0,ROUND(AK26/AL26,1),)</f>
        <v>0</v>
      </c>
      <c r="AL27" s="153">
        <f>SUM(AJ28:AS28)</f>
        <v>0</v>
      </c>
      <c r="AM27" s="585"/>
      <c r="AN27" s="585"/>
      <c r="AO27" s="154">
        <f>IF(D41&gt;0,AI42+H31,)</f>
        <v>0</v>
      </c>
      <c r="AP27" s="155">
        <f>ROUND(AO27,0)</f>
        <v>0</v>
      </c>
      <c r="AQ27" s="150">
        <f>INT(AP27/2)</f>
        <v>0</v>
      </c>
      <c r="AR27" s="156">
        <f>ROUNDUP(AP27/2,0)</f>
        <v>0</v>
      </c>
      <c r="AS27" s="585"/>
      <c r="BD27" s="612">
        <f>SUM(BE14:BE22,BG14:BG22,BI14:BI22,BK14:BK22,BM14:BM22)</f>
        <v>0</v>
      </c>
      <c r="BE27" s="612" t="s">
        <v>375</v>
      </c>
    </row>
    <row r="28" spans="1:66" ht="18.75" x14ac:dyDescent="0.3">
      <c r="A28" s="731">
        <f>IF(SUM(I25,O25,U25,AA25,AG25)&lt;AO25,SUM(I25,O25,U25,AA25,AG25),AO25)</f>
        <v>0</v>
      </c>
      <c r="B28" s="731"/>
      <c r="C28" s="585"/>
      <c r="D28" s="631">
        <f>IF(AND(AK26&gt;0,AM25&gt;0),"  (umgerechnete) Wochenstden sind somit tatsächlich über die Lehrerbesoldung bei pr3 verrechenbar.",IF(AK26&gt;0,"  Wochenstunden sind somit tatsächlich über die Lehrerbesoldung bei pr3 verrechenbar.",))</f>
        <v>0</v>
      </c>
      <c r="E28" s="195"/>
      <c r="F28" s="585"/>
      <c r="G28" s="585"/>
      <c r="H28" s="585"/>
      <c r="I28" s="585"/>
      <c r="J28" s="585"/>
      <c r="K28" s="585"/>
      <c r="L28" s="585"/>
      <c r="M28" s="585"/>
      <c r="N28" s="585"/>
      <c r="O28" s="585"/>
      <c r="P28" s="585"/>
      <c r="Q28" s="585"/>
      <c r="R28" s="631"/>
      <c r="S28" s="632">
        <f>IF(AN25&gt;0,"Davon "&amp;AM25&amp;" ILZ ",)</f>
        <v>0</v>
      </c>
      <c r="X28" s="585"/>
      <c r="Y28" s="585"/>
      <c r="Z28" s="585"/>
      <c r="AA28" s="585"/>
      <c r="AB28" s="585"/>
      <c r="AC28" s="585"/>
      <c r="AD28" s="158">
        <f ca="1">TODAY()</f>
        <v>45198</v>
      </c>
      <c r="AE28" s="159"/>
      <c r="AF28" s="159"/>
      <c r="AG28" s="159"/>
      <c r="AH28" s="585"/>
      <c r="AI28" s="585"/>
      <c r="AJ28" s="585"/>
      <c r="AK28" s="160">
        <f>IF((AJ29+AK29)&gt;0,1,)</f>
        <v>0</v>
      </c>
      <c r="AL28" s="161"/>
      <c r="AM28" s="160">
        <f>IF((AL29+AM29)&gt;0,1,)</f>
        <v>0</v>
      </c>
      <c r="AN28" s="161"/>
      <c r="AO28" s="160">
        <f>IF((AN29+AO29)&gt;0,1,)</f>
        <v>0</v>
      </c>
      <c r="AP28" s="161"/>
      <c r="AQ28" s="160">
        <f>IF((AP29+AQ29)&gt;0,1,)</f>
        <v>0</v>
      </c>
      <c r="AR28" s="161"/>
      <c r="AS28" s="160">
        <f>IF((AR29+AS29)&gt;0,1,)</f>
        <v>0</v>
      </c>
      <c r="BD28" s="612">
        <f>H31*5</f>
        <v>0</v>
      </c>
      <c r="BE28" s="612" t="s">
        <v>376</v>
      </c>
    </row>
    <row r="29" spans="1:66" ht="18.75" x14ac:dyDescent="0.3">
      <c r="A29" s="733">
        <f>IF(SUM(I25,O25,U25,AA25,AG25)&gt;A28,SUM(I25,O25,U25,AA25,AG25),)</f>
        <v>0</v>
      </c>
      <c r="B29" s="733"/>
      <c r="C29" s="585"/>
      <c r="D29" s="195">
        <f>IF(A29&lt;A28,,IF(AND(AK26&gt;0,AM25&gt;0),"  (umgerechnete) Wochenstunden werden aufgrund der Gruppenbildung vergeben.",IF(AK26&gt;0,"  Wochenstunden werden aufgrund der Gruppenbildung vergeben.",)))</f>
        <v>0</v>
      </c>
      <c r="E29" s="585"/>
      <c r="F29" s="585"/>
      <c r="G29" s="585"/>
      <c r="H29" s="585"/>
      <c r="I29" s="585"/>
      <c r="J29" s="585"/>
      <c r="K29" s="585"/>
      <c r="R29" s="585"/>
      <c r="U29" s="633"/>
      <c r="V29" s="633"/>
      <c r="W29" s="633"/>
      <c r="X29" s="374">
        <f>IF(AND(AM25=0,S28&lt;&gt;0),"&lt;&lt; &gt;keine ILZ laut Befragung und Entscheidung am ",)</f>
        <v>0</v>
      </c>
      <c r="Y29" s="734"/>
      <c r="Z29" s="735"/>
      <c r="AA29" s="195"/>
      <c r="AB29" s="195"/>
      <c r="AC29" s="195"/>
      <c r="AD29" s="634"/>
      <c r="AE29" s="178" t="s">
        <v>80</v>
      </c>
      <c r="AF29" s="634"/>
      <c r="AG29" s="635"/>
      <c r="AH29" s="195"/>
      <c r="AI29" s="585"/>
      <c r="AJ29" s="162">
        <f>SUM(AJ31:AJ40)</f>
        <v>0</v>
      </c>
      <c r="AK29" s="162">
        <f>SUM(AK31:AK40)</f>
        <v>0</v>
      </c>
      <c r="AL29" s="162">
        <f t="shared" ref="AL29:AS29" si="31">SUM(AL31:AL40)</f>
        <v>0</v>
      </c>
      <c r="AM29" s="162">
        <f t="shared" si="31"/>
        <v>0</v>
      </c>
      <c r="AN29" s="162">
        <f t="shared" si="31"/>
        <v>0</v>
      </c>
      <c r="AO29" s="162">
        <f t="shared" si="31"/>
        <v>0</v>
      </c>
      <c r="AP29" s="162">
        <f t="shared" si="31"/>
        <v>0</v>
      </c>
      <c r="AQ29" s="162">
        <f t="shared" si="31"/>
        <v>0</v>
      </c>
      <c r="AR29" s="162">
        <f t="shared" si="31"/>
        <v>0</v>
      </c>
      <c r="AS29" s="162">
        <f t="shared" si="31"/>
        <v>0</v>
      </c>
      <c r="BD29" s="611">
        <f>SUM(BD26:BD28)/5</f>
        <v>0</v>
      </c>
      <c r="BE29" s="585" t="s">
        <v>377</v>
      </c>
    </row>
    <row r="30" spans="1:66" ht="18.75" customHeight="1" x14ac:dyDescent="0.3">
      <c r="A30" s="736">
        <f>IF(A29-A28&gt;0,A29-A28,)</f>
        <v>0</v>
      </c>
      <c r="B30" s="736"/>
      <c r="C30" s="585"/>
      <c r="D30" s="195">
        <f>IF(A29&lt;A28,,IF(AND(AK27&gt;0,AM26&gt;0),"  (umgerechnete) Wochenstunden werden somit vom Grundkonti abgezogen.",IF(AK27&gt;0,"  Wochenstunden werden somit vom Grundkonti abegezogen.",)))</f>
        <v>0</v>
      </c>
      <c r="E30" s="585"/>
      <c r="F30" s="585"/>
      <c r="G30" s="585"/>
      <c r="H30" s="585"/>
      <c r="I30" s="585"/>
      <c r="J30" s="585"/>
      <c r="K30" s="585"/>
      <c r="R30" s="585"/>
      <c r="S30" s="636"/>
      <c r="T30" s="636"/>
      <c r="U30" s="633"/>
      <c r="V30" s="633"/>
      <c r="W30" s="633"/>
      <c r="X30" s="633"/>
      <c r="Y30" s="633"/>
      <c r="Z30" s="633"/>
      <c r="AA30" s="195"/>
      <c r="AB30" s="195"/>
      <c r="AC30" s="195"/>
      <c r="AD30" s="635"/>
      <c r="AE30" s="637"/>
      <c r="AF30" s="635"/>
      <c r="AG30" s="635"/>
      <c r="AH30" s="195"/>
      <c r="AI30" s="585"/>
      <c r="AJ30" s="162"/>
      <c r="AK30" s="162"/>
      <c r="AL30" s="162"/>
      <c r="AM30" s="162"/>
      <c r="AN30" s="162"/>
      <c r="AO30" s="162"/>
      <c r="AP30" s="162"/>
      <c r="AQ30" s="162"/>
      <c r="AR30" s="162"/>
      <c r="AS30" s="162"/>
      <c r="BD30" s="611">
        <f>ROUNDUP(BD29,0)</f>
        <v>0</v>
      </c>
      <c r="BE30" s="585" t="s">
        <v>378</v>
      </c>
    </row>
    <row r="31" spans="1:66" ht="23.25" x14ac:dyDescent="0.35">
      <c r="A31" s="638" t="s">
        <v>81</v>
      </c>
      <c r="B31" s="196"/>
      <c r="G31" s="197" t="str">
        <f>IF(H31&gt;0,"und zwar in","")</f>
        <v/>
      </c>
      <c r="H31" s="198"/>
      <c r="I31" s="199" t="str">
        <f>IF(H31&gt;0,"KL mit","")</f>
        <v/>
      </c>
      <c r="J31" s="197"/>
      <c r="K31" s="198"/>
      <c r="L31" s="99" t="str">
        <f>IF(K31&gt;0," anrechenbaren Wochenstunden für Lernzeiten","")</f>
        <v/>
      </c>
      <c r="O31" s="200"/>
      <c r="AJ31" s="162">
        <f>IF(E14&gt;0,ROUND(G14*50/$C14,1),)</f>
        <v>0</v>
      </c>
      <c r="AK31" s="162">
        <f>IF(F14&gt;0,ROUND(H14*50/$C14,1),)</f>
        <v>0</v>
      </c>
      <c r="AL31" s="162">
        <f t="shared" ref="AL31:AM40" si="32">IF(K14&gt;0,ROUND(M14*50/$C14,1),)</f>
        <v>0</v>
      </c>
      <c r="AM31" s="162">
        <f t="shared" si="32"/>
        <v>0</v>
      </c>
      <c r="AN31" s="162">
        <f t="shared" ref="AN31:AO40" si="33">IF(Q14&gt;0,ROUND(S14*50/$C14,1),)</f>
        <v>0</v>
      </c>
      <c r="AO31" s="162">
        <f t="shared" si="33"/>
        <v>0</v>
      </c>
      <c r="AP31" s="162">
        <f t="shared" ref="AP31:AQ40" si="34">IF(W14&gt;0,ROUND(Y14*50/$C14,1),)</f>
        <v>0</v>
      </c>
      <c r="AQ31" s="162">
        <f t="shared" si="34"/>
        <v>0</v>
      </c>
      <c r="AR31" s="162">
        <f>IF(AC14&gt;0,ROUND(AE14*50/$C14,1),)</f>
        <v>0</v>
      </c>
      <c r="AS31" s="162">
        <f>IF(AD14&gt;0,ROUND(AF14*50/$C14,1),)</f>
        <v>0</v>
      </c>
      <c r="BD31" s="611">
        <f>ROUNDUP(BD29/2,0)</f>
        <v>0</v>
      </c>
      <c r="BE31" s="585" t="s">
        <v>379</v>
      </c>
    </row>
    <row r="32" spans="1:66" hidden="1" x14ac:dyDescent="0.25">
      <c r="AJ32" s="162">
        <f t="shared" ref="AJ32:AK40" si="35">IF(E15&gt;0,ROUND(G15*50/$C15,1),)</f>
        <v>0</v>
      </c>
      <c r="AK32" s="162">
        <f t="shared" si="35"/>
        <v>0</v>
      </c>
      <c r="AL32" s="162">
        <f t="shared" si="32"/>
        <v>0</v>
      </c>
      <c r="AM32" s="162">
        <f t="shared" si="32"/>
        <v>0</v>
      </c>
      <c r="AN32" s="162">
        <f t="shared" si="33"/>
        <v>0</v>
      </c>
      <c r="AO32" s="162">
        <f t="shared" si="33"/>
        <v>0</v>
      </c>
      <c r="AP32" s="162">
        <f t="shared" si="34"/>
        <v>0</v>
      </c>
      <c r="AQ32" s="162">
        <f t="shared" si="34"/>
        <v>0</v>
      </c>
      <c r="AR32" s="162">
        <f>IF(AC15&gt;0,ROUND(AE15*50/$C15,1),)</f>
        <v>0</v>
      </c>
      <c r="AS32" s="162">
        <f>IF(AD15&gt;0,ROUND(AF15*50/$C15,1),)</f>
        <v>0</v>
      </c>
    </row>
    <row r="33" spans="1:57" hidden="1" x14ac:dyDescent="0.25">
      <c r="AJ33" s="162">
        <f t="shared" si="35"/>
        <v>0</v>
      </c>
      <c r="AK33" s="162">
        <f t="shared" si="35"/>
        <v>0</v>
      </c>
      <c r="AL33" s="162">
        <f t="shared" si="32"/>
        <v>0</v>
      </c>
      <c r="AM33" s="162">
        <f t="shared" si="32"/>
        <v>0</v>
      </c>
      <c r="AN33" s="162">
        <f t="shared" si="33"/>
        <v>0</v>
      </c>
      <c r="AO33" s="162">
        <f t="shared" si="33"/>
        <v>0</v>
      </c>
      <c r="AP33" s="162">
        <f t="shared" si="34"/>
        <v>0</v>
      </c>
      <c r="AQ33" s="162">
        <f t="shared" si="34"/>
        <v>0</v>
      </c>
      <c r="AR33" s="162">
        <f t="shared" ref="AR33:AS40" si="36">IF(AC16&gt;0,ROUND(AE16*50/$C16,1),)</f>
        <v>0</v>
      </c>
      <c r="AS33" s="162">
        <f t="shared" si="36"/>
        <v>0</v>
      </c>
    </row>
    <row r="34" spans="1:57" hidden="1" x14ac:dyDescent="0.25">
      <c r="AJ34" s="162">
        <f t="shared" si="35"/>
        <v>0</v>
      </c>
      <c r="AK34" s="162">
        <f>IF(F17&gt;0,ROUND(H17*50/$C17,1),)</f>
        <v>0</v>
      </c>
      <c r="AL34" s="162">
        <f t="shared" si="32"/>
        <v>0</v>
      </c>
      <c r="AM34" s="162">
        <f t="shared" si="32"/>
        <v>0</v>
      </c>
      <c r="AN34" s="162">
        <f t="shared" si="33"/>
        <v>0</v>
      </c>
      <c r="AO34" s="162">
        <f t="shared" si="33"/>
        <v>0</v>
      </c>
      <c r="AP34" s="162">
        <f t="shared" si="34"/>
        <v>0</v>
      </c>
      <c r="AQ34" s="162">
        <f t="shared" si="34"/>
        <v>0</v>
      </c>
      <c r="AR34" s="162">
        <f t="shared" si="36"/>
        <v>0</v>
      </c>
      <c r="AS34" s="162">
        <f t="shared" si="36"/>
        <v>0</v>
      </c>
    </row>
    <row r="35" spans="1:57" hidden="1" x14ac:dyDescent="0.25">
      <c r="AJ35" s="162">
        <f t="shared" si="35"/>
        <v>0</v>
      </c>
      <c r="AK35" s="162">
        <f>IF(F18&gt;0,ROUND(H18*50/$C18,1),)</f>
        <v>0</v>
      </c>
      <c r="AL35" s="162">
        <f t="shared" si="32"/>
        <v>0</v>
      </c>
      <c r="AM35" s="162">
        <f t="shared" si="32"/>
        <v>0</v>
      </c>
      <c r="AN35" s="162">
        <f t="shared" si="33"/>
        <v>0</v>
      </c>
      <c r="AO35" s="162">
        <f t="shared" si="33"/>
        <v>0</v>
      </c>
      <c r="AP35" s="162">
        <f t="shared" si="34"/>
        <v>0</v>
      </c>
      <c r="AQ35" s="162">
        <f t="shared" si="34"/>
        <v>0</v>
      </c>
      <c r="AR35" s="162">
        <f t="shared" si="36"/>
        <v>0</v>
      </c>
      <c r="AS35" s="162">
        <f t="shared" si="36"/>
        <v>0</v>
      </c>
    </row>
    <row r="36" spans="1:57" hidden="1" x14ac:dyDescent="0.25">
      <c r="AJ36" s="162">
        <f t="shared" si="35"/>
        <v>0</v>
      </c>
      <c r="AK36" s="162">
        <f>IF(F19&gt;0,ROUND(H19*50/$C19,1),)</f>
        <v>0</v>
      </c>
      <c r="AL36" s="162">
        <f t="shared" si="32"/>
        <v>0</v>
      </c>
      <c r="AM36" s="162">
        <f t="shared" si="32"/>
        <v>0</v>
      </c>
      <c r="AN36" s="162">
        <f t="shared" si="33"/>
        <v>0</v>
      </c>
      <c r="AO36" s="162">
        <f t="shared" si="33"/>
        <v>0</v>
      </c>
      <c r="AP36" s="162">
        <f t="shared" si="34"/>
        <v>0</v>
      </c>
      <c r="AQ36" s="162">
        <f t="shared" si="34"/>
        <v>0</v>
      </c>
      <c r="AR36" s="162">
        <f t="shared" si="36"/>
        <v>0</v>
      </c>
      <c r="AS36" s="162">
        <f t="shared" si="36"/>
        <v>0</v>
      </c>
    </row>
    <row r="37" spans="1:57" hidden="1" x14ac:dyDescent="0.25">
      <c r="AJ37" s="162">
        <f t="shared" si="35"/>
        <v>0</v>
      </c>
      <c r="AK37" s="162">
        <f t="shared" si="35"/>
        <v>0</v>
      </c>
      <c r="AL37" s="162">
        <f t="shared" si="32"/>
        <v>0</v>
      </c>
      <c r="AM37" s="162">
        <f t="shared" si="32"/>
        <v>0</v>
      </c>
      <c r="AN37" s="162">
        <f t="shared" si="33"/>
        <v>0</v>
      </c>
      <c r="AO37" s="162">
        <f t="shared" si="33"/>
        <v>0</v>
      </c>
      <c r="AP37" s="162">
        <f t="shared" si="34"/>
        <v>0</v>
      </c>
      <c r="AQ37" s="162">
        <f t="shared" si="34"/>
        <v>0</v>
      </c>
      <c r="AR37" s="162">
        <f t="shared" si="36"/>
        <v>0</v>
      </c>
      <c r="AS37" s="162">
        <f t="shared" si="36"/>
        <v>0</v>
      </c>
    </row>
    <row r="38" spans="1:57" hidden="1" x14ac:dyDescent="0.25">
      <c r="AJ38" s="162">
        <f t="shared" si="35"/>
        <v>0</v>
      </c>
      <c r="AK38" s="162">
        <f t="shared" si="35"/>
        <v>0</v>
      </c>
      <c r="AL38" s="162">
        <f t="shared" si="32"/>
        <v>0</v>
      </c>
      <c r="AM38" s="162">
        <f t="shared" si="32"/>
        <v>0</v>
      </c>
      <c r="AN38" s="162">
        <f t="shared" si="33"/>
        <v>0</v>
      </c>
      <c r="AO38" s="162">
        <f t="shared" si="33"/>
        <v>0</v>
      </c>
      <c r="AP38" s="162">
        <f t="shared" si="34"/>
        <v>0</v>
      </c>
      <c r="AQ38" s="162">
        <f t="shared" si="34"/>
        <v>0</v>
      </c>
      <c r="AR38" s="162">
        <f t="shared" si="36"/>
        <v>0</v>
      </c>
      <c r="AS38" s="162">
        <f t="shared" si="36"/>
        <v>0</v>
      </c>
    </row>
    <row r="39" spans="1:57" ht="9" customHeight="1" x14ac:dyDescent="0.25">
      <c r="AJ39" s="162">
        <f t="shared" si="35"/>
        <v>0</v>
      </c>
      <c r="AK39" s="162">
        <f>IF(F22&gt;0,ROUND(H22*50/$C22,1),)</f>
        <v>0</v>
      </c>
      <c r="AL39" s="162">
        <f t="shared" si="32"/>
        <v>0</v>
      </c>
      <c r="AM39" s="162">
        <f t="shared" si="32"/>
        <v>0</v>
      </c>
      <c r="AN39" s="162">
        <f t="shared" si="33"/>
        <v>0</v>
      </c>
      <c r="AO39" s="162">
        <f t="shared" si="33"/>
        <v>0</v>
      </c>
      <c r="AP39" s="162">
        <f t="shared" si="34"/>
        <v>0</v>
      </c>
      <c r="AQ39" s="162">
        <f t="shared" si="34"/>
        <v>0</v>
      </c>
      <c r="AR39" s="162">
        <f t="shared" si="36"/>
        <v>0</v>
      </c>
      <c r="AS39" s="162">
        <f t="shared" si="36"/>
        <v>0</v>
      </c>
      <c r="BD39" s="585">
        <f>Konti_PTS!D19</f>
        <v>0</v>
      </c>
      <c r="BE39" s="585" t="s">
        <v>380</v>
      </c>
    </row>
    <row r="40" spans="1:57" ht="21" x14ac:dyDescent="0.35">
      <c r="A40" s="717">
        <f>K31</f>
        <v>0</v>
      </c>
      <c r="B40" s="717"/>
      <c r="C40" s="585"/>
      <c r="D40" s="163">
        <f>IF(H31&gt;0,"  für verschränkte Form",)</f>
        <v>0</v>
      </c>
      <c r="E40" s="157"/>
      <c r="H40" s="201">
        <f>IF(A40&gt;0,"   .. sofern von der BilDi genehmigt.",)</f>
        <v>0</v>
      </c>
      <c r="I40" s="201"/>
      <c r="K40" s="585"/>
      <c r="L40" s="585"/>
      <c r="M40" s="585"/>
      <c r="N40" s="585"/>
      <c r="O40" s="585"/>
      <c r="P40" s="585"/>
      <c r="Q40" s="585"/>
      <c r="R40" s="585"/>
      <c r="S40" s="202">
        <f>IF(D41&gt;0,"Beim Leiter (im Altrecht)",)</f>
        <v>0</v>
      </c>
      <c r="V40" s="585"/>
      <c r="W40" s="585"/>
      <c r="X40" s="585"/>
      <c r="AB40" s="203">
        <f>IF(BD30&gt;0,"..mit/falls "&amp;BD30&amp;" Gruppen:",)</f>
        <v>0</v>
      </c>
      <c r="AC40" s="164">
        <f>IF(BD31&gt;0,"+ "&amp;BD31&amp;" Kl. bei LeiterZulage",)</f>
        <v>0</v>
      </c>
      <c r="AD40" s="585"/>
      <c r="AE40" s="585"/>
      <c r="AF40" s="585"/>
      <c r="AG40" s="585"/>
      <c r="AH40" s="203"/>
      <c r="AI40" s="639"/>
      <c r="AJ40" s="162">
        <f t="shared" si="35"/>
        <v>0</v>
      </c>
      <c r="AK40" s="162">
        <f t="shared" si="35"/>
        <v>0</v>
      </c>
      <c r="AL40" s="162">
        <f t="shared" si="32"/>
        <v>0</v>
      </c>
      <c r="AM40" s="162">
        <f t="shared" si="32"/>
        <v>0</v>
      </c>
      <c r="AN40" s="162">
        <f t="shared" si="33"/>
        <v>0</v>
      </c>
      <c r="AO40" s="162">
        <f t="shared" si="33"/>
        <v>0</v>
      </c>
      <c r="AP40" s="162">
        <f t="shared" si="34"/>
        <v>0</v>
      </c>
      <c r="AQ40" s="162">
        <f t="shared" si="34"/>
        <v>0</v>
      </c>
      <c r="AR40" s="162">
        <f t="shared" si="36"/>
        <v>0</v>
      </c>
      <c r="AS40" s="162">
        <f t="shared" si="36"/>
        <v>0</v>
      </c>
      <c r="BE40" s="585" t="s">
        <v>381</v>
      </c>
    </row>
    <row r="41" spans="1:57" x14ac:dyDescent="0.25">
      <c r="A41" s="165" t="s">
        <v>82</v>
      </c>
      <c r="B41" s="640"/>
      <c r="C41" s="585">
        <f>IF(A40&lt;999,A40,)</f>
        <v>0</v>
      </c>
      <c r="D41" s="641">
        <f>(A28+A30)+C41</f>
        <v>0</v>
      </c>
      <c r="E41" s="166">
        <f>IF(A40&gt;0," = zusammen",)</f>
        <v>0</v>
      </c>
      <c r="F41" s="585"/>
      <c r="G41" s="585"/>
      <c r="J41" s="585"/>
      <c r="M41" s="585"/>
      <c r="N41" s="585"/>
      <c r="O41" s="585"/>
      <c r="P41" s="585"/>
      <c r="Q41" s="585"/>
      <c r="R41" s="585"/>
      <c r="S41" s="585"/>
      <c r="T41" s="585"/>
      <c r="U41" s="585"/>
      <c r="V41" s="585"/>
      <c r="W41" s="585"/>
      <c r="X41" s="585"/>
      <c r="Y41" s="585"/>
      <c r="Z41" s="585"/>
      <c r="AA41" s="585"/>
      <c r="AB41" s="585"/>
      <c r="AC41" s="585"/>
      <c r="AD41" s="585"/>
      <c r="AE41" s="585"/>
      <c r="AF41" s="167">
        <f>IF(BD30&gt;0,"[ "&amp;BD30&amp;" Gruppen /2 auf Ganze aufgerundet]",)</f>
        <v>0</v>
      </c>
      <c r="AG41" s="167"/>
      <c r="AH41" s="585"/>
      <c r="AI41" s="622"/>
      <c r="AJ41" s="585"/>
      <c r="AK41" s="585"/>
      <c r="AL41" s="585"/>
      <c r="AM41" s="585"/>
      <c r="AN41" s="585"/>
      <c r="AO41" s="585"/>
      <c r="AP41" s="585"/>
      <c r="AQ41" s="585"/>
      <c r="AR41" s="585"/>
      <c r="AS41" s="585"/>
    </row>
    <row r="42" spans="1:57" x14ac:dyDescent="0.25">
      <c r="A42" s="718"/>
      <c r="B42" s="718"/>
      <c r="C42" s="718"/>
      <c r="D42" s="718"/>
      <c r="E42" s="718"/>
      <c r="F42" s="718"/>
      <c r="G42" s="718"/>
      <c r="H42" s="718"/>
      <c r="I42" s="718"/>
      <c r="J42" s="718"/>
      <c r="K42" s="718"/>
      <c r="L42" s="718"/>
      <c r="M42" s="718"/>
      <c r="N42" s="718"/>
      <c r="O42" s="718"/>
      <c r="P42" s="718"/>
      <c r="Q42" s="718"/>
      <c r="R42" s="718"/>
      <c r="S42" s="718"/>
      <c r="T42" s="718"/>
      <c r="U42" s="718"/>
      <c r="V42" s="718"/>
      <c r="W42" s="718"/>
      <c r="X42" s="718"/>
      <c r="Y42" s="718"/>
      <c r="Z42" s="168">
        <f>IF(AND(BD30&gt;0,SUM(BD31,BD39)&gt;7,SUM(BD31,BD39)&lt;19)," SupplierV reduziert um "&amp;BD30*0.5&amp;" WoStd",IF(AND(SUM(BD31,BD39,)&lt;=7,BD30&gt;0)," Einrechnung von "&amp;BD30*0.75&amp;" WoStd",))</f>
        <v>0</v>
      </c>
      <c r="AA42" s="168"/>
      <c r="AB42" s="585"/>
      <c r="AC42" s="585"/>
      <c r="AD42" s="585"/>
      <c r="AE42" s="585"/>
      <c r="AF42" s="585"/>
      <c r="AG42" s="585"/>
      <c r="AH42" s="585"/>
      <c r="AI42" s="169">
        <f>ROUNDUP(AJ42/5,0)</f>
        <v>0</v>
      </c>
      <c r="AJ42" s="170">
        <f>SUM(AK42:AS42)</f>
        <v>0</v>
      </c>
      <c r="AK42" s="169">
        <f>SUM((AJ31+AK31*2),(AJ32+AK32*2),(AJ33+AK33*2),(AJ34+AK34*2),(AJ35+AK35*2),(AJ36+AK36*2),(AJ37+AK37*2),(AJ38+AK38*2),(AJ39+AK39*2),(AJ40+AK40*2))</f>
        <v>0</v>
      </c>
      <c r="AL42" s="171"/>
      <c r="AM42" s="169">
        <f>SUM((AL31+AM31*2),(AL32+AM32*2),(AL33+AM33*2),(AL34+AM34*2),(AL35+AM35*2),(AL36+AM36*2),(AL37+AM37*2),(AL38+AM38*2),(AL39+AM39*2),(AL40+AM40*2))</f>
        <v>0</v>
      </c>
      <c r="AN42" s="171"/>
      <c r="AO42" s="169">
        <f>SUM((AN31+AO31*2),(AN32+AO32*2),(AN33+AO33*2),(AN34+AO34*2),(AN35+AO35*2),(AN36+AO36*2),(AN37+AO37*2),(AN38+AO38*2),(AN39+AO39*2),(AN40+AO40*2))</f>
        <v>0</v>
      </c>
      <c r="AP42" s="171"/>
      <c r="AQ42" s="169">
        <f>SUM((AP31+AQ31*2),(AP32+AQ32*2),(AP33+AQ33*2),(AP34+AQ34*2),(AP35+AQ35*2),(AP36+AQ36*2),(AP37+AQ37*2),(AP38+AQ38*2),(AP39+AQ39*2),(AP40+AQ40*2))</f>
        <v>0</v>
      </c>
      <c r="AR42" s="171"/>
      <c r="AS42" s="169">
        <f>SUM((AR31+AS31*2),(AR32+AS32*2),(AR33+AS33*2),(AR34+AS34*2),(AR35+AS35*2),(AR36+AS36*2),(AR37+AS37*2),(AR38+AS38*2),(AR39+AS39*2),(AR40+AS40*2))</f>
        <v>0</v>
      </c>
    </row>
    <row r="43" spans="1:57" x14ac:dyDescent="0.25">
      <c r="A43" s="718"/>
      <c r="B43" s="718"/>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AB43" s="585"/>
      <c r="AC43" s="585"/>
      <c r="AD43" s="585"/>
      <c r="AE43" s="585"/>
      <c r="AF43" s="167">
        <f>IF(BD30&gt;0,"[ bei mind. "&amp;BD30&amp;" Gruppen * 0,75 ]",)</f>
        <v>0</v>
      </c>
      <c r="AG43" s="167"/>
      <c r="AH43" s="585"/>
      <c r="AI43" s="622"/>
      <c r="AJ43" s="172">
        <f>ROUND(IF(AND(G14&gt;0,G14&lt;33),1*C14/50,)+IF(AND(G15&gt;0,G15&lt;33),1*C15/50,)+IF(AND(G16&gt;0,G16&lt;33),1*C16/50,)+IF(AND(G17&gt;0,G17&lt;33),1*C17/50,)+IF(AND(G18&gt;0,G18&lt;33),1*C18/50,)+IF(AND(G19&gt;0,G19&lt;33),1*C19/50,)+IF(AND(G20&gt;0,G20&lt;33),1*C20/50,)+IF(AND(G21&gt;0,G21&lt;33),1*C21/50,)+IF(AND(G22&gt;0,G22&lt;33),1*C22/50,)+IF(AND(G23&gt;0,G23&lt;33),1*C23/50,),3)</f>
        <v>0</v>
      </c>
      <c r="AK43" s="173"/>
      <c r="AL43" s="172">
        <f>ROUND(IF(AND(M14&gt;0,M14&lt;33),1*C14/50,)+IF(AND(M15&gt;0,M15&lt;33),1*C15/50,)+IF(AND(M16&gt;0,M16&lt;33),1*C16/50,)+IF(AND(M17&gt;0,M17&lt;33),1*C17/50,)+IF(AND(M18&gt;0,M18&lt;33),1*C18/50,)+IF(AND(M19&gt;0,M19&lt;33),1*C19/50,)+IF(AND(M20&gt;0,M20&lt;33),1*C20/50,)+IF(AND(M21&gt;0,M21&lt;33),1*C21/50,)+IF(AND(M22&gt;0,M22&lt;33),1*C22/50,)+IF(AND(M23&gt;0,M23&lt;33),1*C23/50,),3)</f>
        <v>0</v>
      </c>
      <c r="AM43" s="173"/>
      <c r="AN43" s="172">
        <f>ROUND(IF(AND(S14&gt;0,S14&lt;33),1*C14/50,)+IF(AND(S15&gt;0,S15&lt;33),1*C15/50,)+IF(AND(S16&gt;0,S16&lt;33),1*C16/50,)+IF(AND(S17&gt;0,S17&lt;33),1*C17/50,)+IF(AND(S18&gt;0,S18&lt;33),1*C18/50,)+IF(AND(S19&gt;0,S19&lt;33),1*C19/50,)+IF(AND(S20&gt;0,S20&lt;33),1*C20/50,)+IF(AND(S21&gt;0,S21&lt;33),1*C21/50,)+IF(AND(S22&gt;0,S22&lt;33),1*C22/50,)+IF(AND(S23&gt;0,S23&lt;33),1*C23/50,),3)</f>
        <v>0</v>
      </c>
      <c r="AO43" s="173"/>
      <c r="AP43" s="172">
        <f>ROUND(IF(AND(Y14&gt;0,Y14&lt;33),1*C14/50,)+IF(AND(Y15&gt;0,Y15&lt;33),1*C15/50,)+IF(AND(Y16&gt;0,Y16&lt;33),1*C16/50,)+IF(AND(Y17&gt;0,Y17&lt;33),1*C17/50,)+IF(AND(Y18&gt;0,Y18&lt;33),1*C18/50,)+IF(AND(Y19&gt;0,Y19&lt;33),1*C19/50,)+IF(AND(Y20&gt;0,Y20&lt;33),1*C20/50,)+IF(AND(Y21&gt;0,Y21&lt;33),1*C21/50,)+IF(AND(Y22&gt;0,Y22&lt;33),1*C22/50,)+IF(AND(Y23&gt;0,Y23&lt;33),1*C23/50,),3)</f>
        <v>0</v>
      </c>
      <c r="AQ43" s="173"/>
      <c r="AR43" s="172">
        <f>ROUND(IF(AND(AE14&gt;0,AE14&lt;33),1*C14/50,)+IF(AND(AE15&gt;0,AE15&lt;33),1*C15/50,)+IF(AND(AE16&gt;0,AE16&lt;33),1*C16/50,)+IF(AND(AE17&gt;0,AE17&lt;33),1*C17/50,)+IF(AND(AE18&gt;0,AE18&lt;33),1*C18/50,)+IF(AND(AE19&gt;0,AE19&lt;33),1*C19/50,)+IF(AND(AE20&gt;0,AE20&lt;33),1*C20/50,)+IF(AND(AE21&gt;0,AE21&lt;33),1*C21/50,)+IF(AND(AE22&gt;0,AE22&lt;33),1*C22/50,)+IF(AND(AE23&gt;0,AE23&lt;33),1*C23/50,),3)</f>
        <v>0</v>
      </c>
      <c r="AS43" s="173"/>
    </row>
    <row r="44" spans="1:57" x14ac:dyDescent="0.25">
      <c r="A44" s="718"/>
      <c r="B44" s="718"/>
      <c r="C44" s="718"/>
      <c r="D44" s="718"/>
      <c r="E44" s="718"/>
      <c r="F44" s="718"/>
      <c r="G44" s="718"/>
      <c r="H44" s="718"/>
      <c r="I44" s="718"/>
      <c r="J44" s="718"/>
      <c r="K44" s="718"/>
      <c r="L44" s="718"/>
      <c r="M44" s="718"/>
      <c r="N44" s="718"/>
      <c r="O44" s="718"/>
      <c r="P44" s="718"/>
      <c r="Q44" s="718"/>
      <c r="R44" s="718"/>
      <c r="S44" s="718"/>
      <c r="T44" s="718"/>
      <c r="U44" s="718"/>
      <c r="V44" s="718"/>
      <c r="W44" s="718"/>
      <c r="X44" s="718"/>
      <c r="Y44" s="718"/>
      <c r="Z44" s="168"/>
      <c r="AA44" s="168"/>
      <c r="AI44" s="174"/>
      <c r="AJ44" s="173"/>
      <c r="AK44" s="172">
        <f>ROUND(IF(AND(H14&gt;0,H14&lt;33),1*C14/50,)+IF(AND(H15&gt;0,H15&lt;33),1*C15/50,)+IF(AND(H16&gt;0,H16&lt;33),1*C16/50,)+IF(AND(H17&gt;0,H17&lt;33),1*C17/50,)+IF(AND(H18&gt;0,H18&lt;33),1*C18/50,)+IF(AND(H19&gt;0,H19&lt;33),1*C19/50,)+IF(AND(H20&gt;0,H20&lt;33),1*C20/50,)+IF(AND(H21&gt;0,H21&lt;33),1*C21/50,)+IF(AND(H22&gt;0,H22&lt;33),1*C22/50,)+IF(AND(H23&gt;0,H23&lt;33),1*C23/50,),3)</f>
        <v>0</v>
      </c>
      <c r="AL44" s="173"/>
      <c r="AM44" s="172">
        <f>ROUND(IF(AND(N14&gt;0,N14&lt;33),1*C14/50,)+IF(AND(N15&gt;0,N15&lt;33),1*C15/50,)+IF(AND(N16&gt;0,N16&lt;33),1*C16/50,)+IF(AND(N17&gt;0,N17&lt;33),1*C17/50,)+IF(AND(N18&gt;0,N18&lt;33),1*C18/50,)+IF(AND(N19&gt;0,N19&lt;33),1*C19/50,)+IF(AND(N20&gt;0,N20&lt;33),1*C20/50,)+IF(AND(N21&gt;0,N21&lt;33),1*C21/50,)+IF(AND(N22&gt;0,N22&lt;33),1*C22/50,)+IF(AND(N23&gt;0,N23&lt;33),1*C23/50,),3)</f>
        <v>0</v>
      </c>
      <c r="AN44" s="173"/>
      <c r="AO44" s="172">
        <f>ROUND(IF(AND(T14&gt;0,T14&lt;33),1*C14/50,)+IF(AND(T15&gt;0,T15&lt;33),1*C15/50,)+IF(AND(T16&gt;0,T16&lt;33),1*C16/50,)+IF(AND(T17&gt;0,T17&lt;33),1*C17/50,)+IF(AND(T18&gt;0,T18&lt;33),1*C18/50,)+IF(AND(T19&gt;0,T19&lt;33),1*C19/50,)+IF(AND(T20&gt;0,T20&lt;33),1*C20/50,)+IF(AND(T21&gt;0,T21&lt;33),1*C21/50,)+IF(AND(T22&gt;0,T22&lt;33),1*C22/50,)+IF(AND(T23&gt;0,T23&lt;33),1*C23/50,),3)</f>
        <v>0</v>
      </c>
      <c r="AP44" s="173"/>
      <c r="AQ44" s="172">
        <f>ROUND(IF(AND(Z14&gt;0,Z14&lt;33),1*C14/50,)+IF(AND(Z15&gt;0,Z15&lt;33),1*C15/50,)+IF(AND(Z16&gt;0,Z16&lt;33),1*C16/50,)+IF(AND(Z17&gt;0,Z17&lt;33),1*C17/50,)+IF(AND(Z18&gt;0,Z18&lt;33),1*C18/50,)+IF(AND(Z19&gt;0,Z19&lt;33),1*C19/50,)+IF(AND(Z20&gt;0,Z20&lt;33),1*C20/50,)+IF(AND(Z21&gt;0,Z21&lt;33),1*C21/50,)+IF(AND(Z22&gt;0,Z22&lt;33),1*C22/50,)+IF(AND(Z23&gt;0,Z23&lt;33),1*C23/50,),3)</f>
        <v>0</v>
      </c>
      <c r="AR44" s="173"/>
      <c r="AS44" s="172">
        <f>ROUND(IF(AND(AF14&gt;0,G14&lt;33),1*C14/50,)+IF(AND(AF15&gt;0,G15&lt;33),1*C15/50,)+IF(AND(AF16&gt;0,G16&lt;33),1*C16/50,)+IF(AND(AF17&gt;0,G17&lt;33),1*C17/50,)+IF(AND(AF18&gt;0,G18&lt;33),1*C18/50,)+IF(AND(AF19&gt;0,G19&lt;33),1*C19/50,)+IF(AND(AF20&gt;0,G20&lt;33),1*C20/50,)+IF(AND(AF21&gt;0,G21&lt;33),1*C21/50,)+IF(AND(AF22&gt;0,G22&lt;33),1*C22/50,)+IF(AND(AF23&gt;0,G23&lt;33),1*C23/50,),3)</f>
        <v>0</v>
      </c>
    </row>
    <row r="45" spans="1:57" x14ac:dyDescent="0.25">
      <c r="A45" s="718"/>
      <c r="B45" s="718"/>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AH45" s="642"/>
      <c r="AJ45" s="175" t="s">
        <v>83</v>
      </c>
      <c r="AK45" s="172">
        <f>ROUND(SUM(AJ43:AS43),2)</f>
        <v>0</v>
      </c>
      <c r="AL45" s="175" t="s">
        <v>84</v>
      </c>
      <c r="AM45" s="172">
        <f>ROUND(SUM(AJ44:AS44,AS45),2)</f>
        <v>0</v>
      </c>
      <c r="AN45" s="175" t="s">
        <v>85</v>
      </c>
      <c r="AO45" s="172">
        <f>ROUND(SUM(AK45:AM45),2)</f>
        <v>0</v>
      </c>
      <c r="AP45" s="176" t="s">
        <v>86</v>
      </c>
      <c r="AQ45" s="172">
        <f>ROUND(AO45/3,1)</f>
        <v>0</v>
      </c>
      <c r="AR45" s="172">
        <f>IF(AM45&lt;AQ45,"!?",)</f>
        <v>0</v>
      </c>
      <c r="AS45" s="177">
        <f>IF(A42=0,,IF(AND(AK45&gt;0,AT45&lt;11),AT45))+1-1</f>
        <v>0</v>
      </c>
    </row>
    <row r="46" spans="1:57" x14ac:dyDescent="0.25">
      <c r="A46" s="718"/>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643"/>
      <c r="AA46" s="643"/>
      <c r="AB46" s="643"/>
      <c r="AC46" s="179" t="s">
        <v>382</v>
      </c>
      <c r="AD46" s="178" t="s">
        <v>383</v>
      </c>
      <c r="AE46" s="643"/>
      <c r="AF46" s="643"/>
      <c r="AG46" s="644"/>
      <c r="AH46" s="644"/>
    </row>
    <row r="47" spans="1:57" x14ac:dyDescent="0.25"/>
    <row r="48" spans="1:57" x14ac:dyDescent="0.25"/>
    <row r="49" x14ac:dyDescent="0.25"/>
    <row r="50" x14ac:dyDescent="0.25"/>
    <row r="51" x14ac:dyDescent="0.25"/>
    <row r="52" x14ac:dyDescent="0.25"/>
    <row r="53" x14ac:dyDescent="0.25"/>
    <row r="54" x14ac:dyDescent="0.25"/>
    <row r="55" x14ac:dyDescent="0.25"/>
    <row r="56" x14ac:dyDescent="0.25"/>
    <row r="57" x14ac:dyDescent="0.25"/>
  </sheetData>
  <sheetProtection algorithmName="SHA-512" hashValue="aT0EUn9R0Dr+VR1kvCs4IsXF/4DM0XLNSoUBl2hwaIG6aW8uvjKvJ3kAhTfqcI9ck6c66rEgi3nBsQ8/imoXbw==" saltValue="QCVCccwWKpei4K3urcKg3Q==" spinCount="100000" sheet="1" formatRows="0"/>
  <mergeCells count="38">
    <mergeCell ref="O10:O13"/>
    <mergeCell ref="M11:N12"/>
    <mergeCell ref="J5:K5"/>
    <mergeCell ref="F10:G10"/>
    <mergeCell ref="I10:I13"/>
    <mergeCell ref="L10:M10"/>
    <mergeCell ref="A30:B30"/>
    <mergeCell ref="AT12:BC12"/>
    <mergeCell ref="BD12:BM12"/>
    <mergeCell ref="A24:F24"/>
    <mergeCell ref="G24:H24"/>
    <mergeCell ref="K24:L24"/>
    <mergeCell ref="M24:N24"/>
    <mergeCell ref="Q24:R24"/>
    <mergeCell ref="S24:T24"/>
    <mergeCell ref="W24:X24"/>
    <mergeCell ref="U10:U13"/>
    <mergeCell ref="X10:Y10"/>
    <mergeCell ref="AA10:AA13"/>
    <mergeCell ref="AD10:AE10"/>
    <mergeCell ref="A11:B12"/>
    <mergeCell ref="G11:H12"/>
    <mergeCell ref="A40:B40"/>
    <mergeCell ref="A42:Y46"/>
    <mergeCell ref="AG10:AG13"/>
    <mergeCell ref="Y24:Z24"/>
    <mergeCell ref="AC24:AD24"/>
    <mergeCell ref="AE24:AF24"/>
    <mergeCell ref="N27:R27"/>
    <mergeCell ref="S27:X27"/>
    <mergeCell ref="Y11:Z12"/>
    <mergeCell ref="R10:S10"/>
    <mergeCell ref="A28:B28"/>
    <mergeCell ref="AE11:AF12"/>
    <mergeCell ref="S11:T12"/>
    <mergeCell ref="A25:D26"/>
    <mergeCell ref="A29:B29"/>
    <mergeCell ref="Y29:Z29"/>
  </mergeCells>
  <conditionalFormatting sqref="S5">
    <cfRule type="cellIs" dxfId="201" priority="99" stopIfTrue="1" operator="greaterThan">
      <formula>0</formula>
    </cfRule>
  </conditionalFormatting>
  <conditionalFormatting sqref="A28:B28">
    <cfRule type="cellIs" dxfId="200" priority="98" stopIfTrue="1" operator="greaterThan">
      <formula>0</formula>
    </cfRule>
  </conditionalFormatting>
  <conditionalFormatting sqref="A40:B40">
    <cfRule type="cellIs" dxfId="199" priority="97" stopIfTrue="1" operator="greaterThan">
      <formula>0</formula>
    </cfRule>
  </conditionalFormatting>
  <conditionalFormatting sqref="AK26">
    <cfRule type="expression" dxfId="198" priority="96" stopIfTrue="1">
      <formula>AND($C$6=0,$AK$26&gt;0)</formula>
    </cfRule>
  </conditionalFormatting>
  <conditionalFormatting sqref="A14">
    <cfRule type="cellIs" dxfId="197" priority="94" stopIfTrue="1" operator="greaterThan">
      <formula>0</formula>
    </cfRule>
  </conditionalFormatting>
  <conditionalFormatting sqref="AC23:AD23">
    <cfRule type="expression" dxfId="196" priority="55" stopIfTrue="1">
      <formula>$B23&gt;0</formula>
    </cfRule>
  </conditionalFormatting>
  <conditionalFormatting sqref="AC23:AD23">
    <cfRule type="cellIs" dxfId="195" priority="56" stopIfTrue="1" operator="between">
      <formula>1</formula>
      <formula>#REF!-1</formula>
    </cfRule>
    <cfRule type="cellIs" dxfId="194" priority="57" stopIfTrue="1" operator="greaterThan">
      <formula>$D$6</formula>
    </cfRule>
  </conditionalFormatting>
  <conditionalFormatting sqref="AE23:AF23">
    <cfRule type="expression" dxfId="193" priority="54" stopIfTrue="1">
      <formula>NOT(_xlfn.ISFORMULA(AE23))</formula>
    </cfRule>
  </conditionalFormatting>
  <conditionalFormatting sqref="E18:F23">
    <cfRule type="expression" dxfId="192" priority="91" stopIfTrue="1">
      <formula>$B18&gt;0</formula>
    </cfRule>
  </conditionalFormatting>
  <conditionalFormatting sqref="E14:F23">
    <cfRule type="cellIs" dxfId="191" priority="92" stopIfTrue="1" operator="between">
      <formula>1</formula>
      <formula>#REF!-1</formula>
    </cfRule>
    <cfRule type="cellIs" dxfId="190" priority="93" stopIfTrue="1" operator="greaterThan">
      <formula>$C$6</formula>
    </cfRule>
  </conditionalFormatting>
  <conditionalFormatting sqref="K14:L17">
    <cfRule type="cellIs" dxfId="189" priority="89" stopIfTrue="1" operator="between">
      <formula>1</formula>
      <formula>#REF!-1</formula>
    </cfRule>
    <cfRule type="cellIs" dxfId="188" priority="90" stopIfTrue="1" operator="greaterThan">
      <formula>$C$6</formula>
    </cfRule>
  </conditionalFormatting>
  <conditionalFormatting sqref="R14:R17">
    <cfRule type="cellIs" dxfId="187" priority="87" stopIfTrue="1" operator="between">
      <formula>1</formula>
      <formula>#REF!-1</formula>
    </cfRule>
    <cfRule type="cellIs" dxfId="186" priority="88" stopIfTrue="1" operator="greaterThan">
      <formula>$C$6</formula>
    </cfRule>
  </conditionalFormatting>
  <conditionalFormatting sqref="X14:X17">
    <cfRule type="cellIs" dxfId="185" priority="85" stopIfTrue="1" operator="between">
      <formula>1</formula>
      <formula>#REF!-1</formula>
    </cfRule>
    <cfRule type="cellIs" dxfId="184" priority="86" stopIfTrue="1" operator="greaterThan">
      <formula>$C$6</formula>
    </cfRule>
  </conditionalFormatting>
  <conditionalFormatting sqref="AC14:AD17">
    <cfRule type="cellIs" dxfId="183" priority="83" stopIfTrue="1" operator="between">
      <formula>1</formula>
      <formula>#REF!-1</formula>
    </cfRule>
    <cfRule type="cellIs" dxfId="182" priority="84" stopIfTrue="1" operator="greaterThan">
      <formula>$C$6</formula>
    </cfRule>
  </conditionalFormatting>
  <conditionalFormatting sqref="AE14:AG23 M14:O23 S14:U23 Y14:AA23 G14:I23">
    <cfRule type="expression" dxfId="181" priority="82" stopIfTrue="1">
      <formula>NOT(_xlfn.ISFORMULA(G14))</formula>
    </cfRule>
  </conditionalFormatting>
  <conditionalFormatting sqref="K18:L22">
    <cfRule type="expression" dxfId="180" priority="79" stopIfTrue="1">
      <formula>$B18&gt;0</formula>
    </cfRule>
  </conditionalFormatting>
  <conditionalFormatting sqref="K18:L22">
    <cfRule type="cellIs" dxfId="179" priority="80" stopIfTrue="1" operator="between">
      <formula>1</formula>
      <formula>#REF!-1</formula>
    </cfRule>
    <cfRule type="cellIs" dxfId="178" priority="81" stopIfTrue="1" operator="greaterThan">
      <formula>$D$6</formula>
    </cfRule>
  </conditionalFormatting>
  <conditionalFormatting sqref="Q18:R22">
    <cfRule type="expression" dxfId="177" priority="76" stopIfTrue="1">
      <formula>$B18&gt;0</formula>
    </cfRule>
  </conditionalFormatting>
  <conditionalFormatting sqref="Q18:R22">
    <cfRule type="cellIs" dxfId="176" priority="77" stopIfTrue="1" operator="between">
      <formula>1</formula>
      <formula>#REF!-1</formula>
    </cfRule>
    <cfRule type="cellIs" dxfId="175" priority="78" stopIfTrue="1" operator="greaterThan">
      <formula>$D$6</formula>
    </cfRule>
  </conditionalFormatting>
  <conditionalFormatting sqref="W18:X22">
    <cfRule type="expression" dxfId="174" priority="73" stopIfTrue="1">
      <formula>$B18&gt;0</formula>
    </cfRule>
  </conditionalFormatting>
  <conditionalFormatting sqref="W18:X22">
    <cfRule type="cellIs" dxfId="173" priority="74" stopIfTrue="1" operator="between">
      <formula>1</formula>
      <formula>#REF!-1</formula>
    </cfRule>
    <cfRule type="cellIs" dxfId="172" priority="75" stopIfTrue="1" operator="greaterThan">
      <formula>$D$6</formula>
    </cfRule>
  </conditionalFormatting>
  <conditionalFormatting sqref="AC18:AD22">
    <cfRule type="expression" dxfId="171" priority="70" stopIfTrue="1">
      <formula>$B18&gt;0</formula>
    </cfRule>
  </conditionalFormatting>
  <conditionalFormatting sqref="AC18:AD22">
    <cfRule type="cellIs" dxfId="170" priority="71" stopIfTrue="1" operator="between">
      <formula>1</formula>
      <formula>#REF!-1</formula>
    </cfRule>
    <cfRule type="cellIs" dxfId="169" priority="72" stopIfTrue="1" operator="greaterThan">
      <formula>$D$6</formula>
    </cfRule>
  </conditionalFormatting>
  <conditionalFormatting sqref="K23:L23">
    <cfRule type="expression" dxfId="168" priority="67" stopIfTrue="1">
      <formula>$B23&gt;0</formula>
    </cfRule>
  </conditionalFormatting>
  <conditionalFormatting sqref="K23:L23">
    <cfRule type="cellIs" dxfId="167" priority="68" stopIfTrue="1" operator="between">
      <formula>1</formula>
      <formula>#REF!-1</formula>
    </cfRule>
    <cfRule type="cellIs" dxfId="166" priority="69" stopIfTrue="1" operator="greaterThan">
      <formula>$D$6</formula>
    </cfRule>
  </conditionalFormatting>
  <conditionalFormatting sqref="M23:N23">
    <cfRule type="expression" dxfId="165" priority="66" stopIfTrue="1">
      <formula>NOT(_xlfn.ISFORMULA(M23))</formula>
    </cfRule>
  </conditionalFormatting>
  <conditionalFormatting sqref="Q23:R23">
    <cfRule type="expression" dxfId="164" priority="63" stopIfTrue="1">
      <formula>$B23&gt;0</formula>
    </cfRule>
  </conditionalFormatting>
  <conditionalFormatting sqref="Q23:R23">
    <cfRule type="cellIs" dxfId="163" priority="64" stopIfTrue="1" operator="between">
      <formula>1</formula>
      <formula>#REF!-1</formula>
    </cfRule>
    <cfRule type="cellIs" dxfId="162" priority="65" stopIfTrue="1" operator="greaterThan">
      <formula>$D$6</formula>
    </cfRule>
  </conditionalFormatting>
  <conditionalFormatting sqref="S23:T23">
    <cfRule type="expression" dxfId="161" priority="62" stopIfTrue="1">
      <formula>NOT(_xlfn.ISFORMULA(S23))</formula>
    </cfRule>
  </conditionalFormatting>
  <conditionalFormatting sqref="W23:X23">
    <cfRule type="expression" dxfId="160" priority="59" stopIfTrue="1">
      <formula>$B23&gt;0</formula>
    </cfRule>
  </conditionalFormatting>
  <conditionalFormatting sqref="W23:X23">
    <cfRule type="cellIs" dxfId="159" priority="60" stopIfTrue="1" operator="between">
      <formula>1</formula>
      <formula>#REF!-1</formula>
    </cfRule>
    <cfRule type="cellIs" dxfId="158" priority="61" stopIfTrue="1" operator="greaterThan">
      <formula>$D$6</formula>
    </cfRule>
  </conditionalFormatting>
  <conditionalFormatting sqref="Y23:Z23">
    <cfRule type="expression" dxfId="157" priority="58" stopIfTrue="1">
      <formula>NOT(_xlfn.ISFORMULA(Y23))</formula>
    </cfRule>
  </conditionalFormatting>
  <conditionalFormatting sqref="A29:B30">
    <cfRule type="expression" dxfId="156" priority="53">
      <formula>$A$29&gt;$A$28</formula>
    </cfRule>
  </conditionalFormatting>
  <conditionalFormatting sqref="M23:N23">
    <cfRule type="expression" dxfId="155" priority="52" stopIfTrue="1">
      <formula>NOT(_xlfn.ISFORMULA(M23))</formula>
    </cfRule>
  </conditionalFormatting>
  <conditionalFormatting sqref="G23:H23">
    <cfRule type="expression" dxfId="154" priority="51" stopIfTrue="1">
      <formula>NOT(_xlfn.ISFORMULA(G23))</formula>
    </cfRule>
  </conditionalFormatting>
  <conditionalFormatting sqref="S23:T23">
    <cfRule type="expression" dxfId="153" priority="50" stopIfTrue="1">
      <formula>NOT(_xlfn.ISFORMULA(S23))</formula>
    </cfRule>
  </conditionalFormatting>
  <conditionalFormatting sqref="S23:T23">
    <cfRule type="expression" dxfId="152" priority="49" stopIfTrue="1">
      <formula>NOT(_xlfn.ISFORMULA(S23))</formula>
    </cfRule>
  </conditionalFormatting>
  <conditionalFormatting sqref="Y23:Z23">
    <cfRule type="expression" dxfId="151" priority="48" stopIfTrue="1">
      <formula>NOT(_xlfn.ISFORMULA(Y23))</formula>
    </cfRule>
  </conditionalFormatting>
  <conditionalFormatting sqref="Y23:Z23">
    <cfRule type="expression" dxfId="150" priority="47" stopIfTrue="1">
      <formula>NOT(_xlfn.ISFORMULA(Y23))</formula>
    </cfRule>
  </conditionalFormatting>
  <conditionalFormatting sqref="AE23:AF23">
    <cfRule type="expression" dxfId="149" priority="46" stopIfTrue="1">
      <formula>NOT(_xlfn.ISFORMULA(AE23))</formula>
    </cfRule>
  </conditionalFormatting>
  <conditionalFormatting sqref="AE23:AF23">
    <cfRule type="expression" dxfId="148" priority="45" stopIfTrue="1">
      <formula>NOT(_xlfn.ISFORMULA(AE23))</formula>
    </cfRule>
  </conditionalFormatting>
  <conditionalFormatting sqref="G23:H23">
    <cfRule type="expression" dxfId="147" priority="44" stopIfTrue="1">
      <formula>NOT(_xlfn.ISFORMULA(G23))</formula>
    </cfRule>
  </conditionalFormatting>
  <conditionalFormatting sqref="G23:H23">
    <cfRule type="expression" dxfId="146" priority="43" stopIfTrue="1">
      <formula>NOT(_xlfn.ISFORMULA(G23))</formula>
    </cfRule>
  </conditionalFormatting>
  <conditionalFormatting sqref="G23:H23">
    <cfRule type="expression" dxfId="145" priority="42" stopIfTrue="1">
      <formula>NOT(_xlfn.ISFORMULA(G23))</formula>
    </cfRule>
  </conditionalFormatting>
  <conditionalFormatting sqref="M23:N23">
    <cfRule type="expression" dxfId="144" priority="41" stopIfTrue="1">
      <formula>NOT(_xlfn.ISFORMULA(M23))</formula>
    </cfRule>
  </conditionalFormatting>
  <conditionalFormatting sqref="M23:N23">
    <cfRule type="expression" dxfId="143" priority="40" stopIfTrue="1">
      <formula>NOT(_xlfn.ISFORMULA(M23))</formula>
    </cfRule>
  </conditionalFormatting>
  <conditionalFormatting sqref="M23:N23">
    <cfRule type="expression" dxfId="142" priority="39" stopIfTrue="1">
      <formula>NOT(_xlfn.ISFORMULA(M23))</formula>
    </cfRule>
  </conditionalFormatting>
  <conditionalFormatting sqref="M23:N23">
    <cfRule type="expression" dxfId="141" priority="38" stopIfTrue="1">
      <formula>NOT(_xlfn.ISFORMULA(M23))</formula>
    </cfRule>
  </conditionalFormatting>
  <conditionalFormatting sqref="S23:T23">
    <cfRule type="expression" dxfId="140" priority="37" stopIfTrue="1">
      <formula>NOT(_xlfn.ISFORMULA(S23))</formula>
    </cfRule>
  </conditionalFormatting>
  <conditionalFormatting sqref="S23:T23">
    <cfRule type="expression" dxfId="139" priority="36" stopIfTrue="1">
      <formula>NOT(_xlfn.ISFORMULA(S23))</formula>
    </cfRule>
  </conditionalFormatting>
  <conditionalFormatting sqref="S23:T23">
    <cfRule type="expression" dxfId="138" priority="35" stopIfTrue="1">
      <formula>NOT(_xlfn.ISFORMULA(S23))</formula>
    </cfRule>
  </conditionalFormatting>
  <conditionalFormatting sqref="S23:T23">
    <cfRule type="expression" dxfId="137" priority="34" stopIfTrue="1">
      <formula>NOT(_xlfn.ISFORMULA(S23))</formula>
    </cfRule>
  </conditionalFormatting>
  <conditionalFormatting sqref="S23:T23">
    <cfRule type="expression" dxfId="136" priority="33" stopIfTrue="1">
      <formula>NOT(_xlfn.ISFORMULA(S23))</formula>
    </cfRule>
  </conditionalFormatting>
  <conditionalFormatting sqref="S23:T23">
    <cfRule type="expression" dxfId="135" priority="32" stopIfTrue="1">
      <formula>NOT(_xlfn.ISFORMULA(S23))</formula>
    </cfRule>
  </conditionalFormatting>
  <conditionalFormatting sqref="Y23:Z23">
    <cfRule type="expression" dxfId="134" priority="31" stopIfTrue="1">
      <formula>NOT(_xlfn.ISFORMULA(Y23))</formula>
    </cfRule>
  </conditionalFormatting>
  <conditionalFormatting sqref="Y23:Z23">
    <cfRule type="expression" dxfId="133" priority="30" stopIfTrue="1">
      <formula>NOT(_xlfn.ISFORMULA(Y23))</formula>
    </cfRule>
  </conditionalFormatting>
  <conditionalFormatting sqref="Y23:Z23">
    <cfRule type="expression" dxfId="132" priority="29" stopIfTrue="1">
      <formula>NOT(_xlfn.ISFORMULA(Y23))</formula>
    </cfRule>
  </conditionalFormatting>
  <conditionalFormatting sqref="Y23:Z23">
    <cfRule type="expression" dxfId="131" priority="28" stopIfTrue="1">
      <formula>NOT(_xlfn.ISFORMULA(Y23))</formula>
    </cfRule>
  </conditionalFormatting>
  <conditionalFormatting sqref="Y23:Z23">
    <cfRule type="expression" dxfId="130" priority="27" stopIfTrue="1">
      <formula>NOT(_xlfn.ISFORMULA(Y23))</formula>
    </cfRule>
  </conditionalFormatting>
  <conditionalFormatting sqref="Y23:Z23">
    <cfRule type="expression" dxfId="129" priority="26" stopIfTrue="1">
      <formula>NOT(_xlfn.ISFORMULA(Y23))</formula>
    </cfRule>
  </conditionalFormatting>
  <conditionalFormatting sqref="Y23:Z23">
    <cfRule type="expression" dxfId="128" priority="25" stopIfTrue="1">
      <formula>NOT(_xlfn.ISFORMULA(Y23))</formula>
    </cfRule>
  </conditionalFormatting>
  <conditionalFormatting sqref="Y23:Z23">
    <cfRule type="expression" dxfId="127" priority="24" stopIfTrue="1">
      <formula>NOT(_xlfn.ISFORMULA(Y23))</formula>
    </cfRule>
  </conditionalFormatting>
  <conditionalFormatting sqref="Y23:Z23">
    <cfRule type="expression" dxfId="126" priority="23" stopIfTrue="1">
      <formula>NOT(_xlfn.ISFORMULA(Y23))</formula>
    </cfRule>
  </conditionalFormatting>
  <conditionalFormatting sqref="D14:D23">
    <cfRule type="expression" dxfId="125" priority="22">
      <formula>IF(AND($C14&gt;0,$C14&lt;$BN$12),TRUE,FALSE)</formula>
    </cfRule>
  </conditionalFormatting>
  <conditionalFormatting sqref="N27:R27">
    <cfRule type="expression" dxfId="124" priority="21">
      <formula>$BN$25&gt;0</formula>
    </cfRule>
  </conditionalFormatting>
  <conditionalFormatting sqref="A15:A23">
    <cfRule type="expression" dxfId="123" priority="20" stopIfTrue="1">
      <formula>AND($A15&lt;$B14,$A15&gt;0)</formula>
    </cfRule>
  </conditionalFormatting>
  <conditionalFormatting sqref="Q14:Q17">
    <cfRule type="cellIs" dxfId="122" priority="18" stopIfTrue="1" operator="between">
      <formula>1</formula>
      <formula>#REF!-1</formula>
    </cfRule>
    <cfRule type="cellIs" dxfId="121" priority="19" stopIfTrue="1" operator="greaterThan">
      <formula>$C$6</formula>
    </cfRule>
  </conditionalFormatting>
  <conditionalFormatting sqref="W14:W17">
    <cfRule type="cellIs" dxfId="120" priority="16" stopIfTrue="1" operator="between">
      <formula>1</formula>
      <formula>#REF!-1</formula>
    </cfRule>
    <cfRule type="cellIs" dxfId="119" priority="17" stopIfTrue="1" operator="greaterThan">
      <formula>$C$6</formula>
    </cfRule>
  </conditionalFormatting>
  <conditionalFormatting sqref="Y29:Z29">
    <cfRule type="expression" dxfId="118" priority="14" stopIfTrue="1">
      <formula>AND($X$29&gt;0,$Y$29=0)</formula>
    </cfRule>
    <cfRule type="cellIs" dxfId="117" priority="15" stopIfTrue="1" operator="greaterThan">
      <formula>0</formula>
    </cfRule>
  </conditionalFormatting>
  <conditionalFormatting sqref="G24:H24">
    <cfRule type="cellIs" dxfId="116" priority="13" operator="notEqual">
      <formula>0</formula>
    </cfRule>
  </conditionalFormatting>
  <conditionalFormatting sqref="M24:N24">
    <cfRule type="cellIs" dxfId="115" priority="12" operator="notEqual">
      <formula>0</formula>
    </cfRule>
  </conditionalFormatting>
  <conditionalFormatting sqref="S24:T24">
    <cfRule type="cellIs" dxfId="114" priority="11" operator="notEqual">
      <formula>0</formula>
    </cfRule>
  </conditionalFormatting>
  <conditionalFormatting sqref="Y24:Z24">
    <cfRule type="cellIs" dxfId="113" priority="10" operator="notEqual">
      <formula>0</formula>
    </cfRule>
  </conditionalFormatting>
  <conditionalFormatting sqref="AE24:AF24">
    <cfRule type="cellIs" dxfId="112" priority="9" operator="notEqual">
      <formula>0</formula>
    </cfRule>
  </conditionalFormatting>
  <conditionalFormatting sqref="A24:F24">
    <cfRule type="cellIs" dxfId="111" priority="8" operator="notEqual">
      <formula>0</formula>
    </cfRule>
  </conditionalFormatting>
  <conditionalFormatting sqref="K24:L24">
    <cfRule type="expression" dxfId="110" priority="7">
      <formula>M24&gt;0</formula>
    </cfRule>
  </conditionalFormatting>
  <conditionalFormatting sqref="Q24:R24">
    <cfRule type="expression" dxfId="109" priority="6">
      <formula>S24&gt;0</formula>
    </cfRule>
  </conditionalFormatting>
  <conditionalFormatting sqref="W24:X24">
    <cfRule type="expression" dxfId="108" priority="5">
      <formula>Y24&gt;0</formula>
    </cfRule>
  </conditionalFormatting>
  <conditionalFormatting sqref="AC24:AD24">
    <cfRule type="expression" dxfId="107" priority="4">
      <formula>AE24&gt;0</formula>
    </cfRule>
  </conditionalFormatting>
  <conditionalFormatting sqref="A25">
    <cfRule type="cellIs" dxfId="106" priority="2" operator="notEqual">
      <formula>0</formula>
    </cfRule>
  </conditionalFormatting>
  <conditionalFormatting sqref="S27:X27">
    <cfRule type="expression" dxfId="105" priority="1" stopIfTrue="1">
      <formula>OR(AK26&gt;0,H31&gt;0)</formula>
    </cfRule>
  </conditionalFormatting>
  <dataValidations count="11">
    <dataValidation type="whole" operator="greaterThanOrEqual" allowBlank="1" showInputMessage="1" showErrorMessage="1" error="bitte Schüler als Ganzzahl eingeben!_x000a_(mindestens = 7 pro Gruppe)" sqref="E14:F23 K14:L23 Q14:R23 W14:X23 AC14:AD23">
      <formula1>$AM$2</formula1>
    </dataValidation>
    <dataValidation allowBlank="1" showInputMessage="1" showErrorMessage="1" prompt="Lehrerstunden wöchentlich in GL _x000a_1 : 1 einzutragen (wie gehalten)" sqref="S852002 G65570 G131106 G196642 G262178 G327714 G393250 G458786 G524322 G589858 G655394 G720930 G786466 G852002 G917538 G983074 S917538 M65570 M131106 M196642 M262178 M327714 M393250 M458786 M524322 M589858 M655394 M720930 M786466 M852002 M917538 M983074 S983074 S65570 S131106 S196642 S262178 S327714 S393250 S458786 S524322 S589858 S655394 S720930 S786466"/>
    <dataValidation allowBlank="1" showInputMessage="1" showErrorMessage="1" prompt="Die Wochensstunden der Individ.LZ sind _x000a_mit 2 : 1 umgerechnet einzutragen _x000a_(gehalten 2  =  1 zu verrechnen)" sqref="T852002:U852002 H65570:I65570 H131106:I131106 H196642:I196642 H262178:I262178 H327714:I327714 H393250:I393250 H458786:I458786 H524322:I524322 H589858:I589858 H655394:I655394 H720930:I720930 H786466:I786466 H852002:I852002 H917538:I917538 H983074:I983074 T917538:U917538 N65570:O65570 N131106:O131106 N196642:O196642 N262178:O262178 N327714:O327714 N393250:O393250 N458786:O458786 N524322:O524322 N589858:O589858 N655394:O655394 N720930:O720930 N786466:O786466 N852002:O852002 N917538:O917538 N983074:O983074 T983074:U983074 T65570:U65570 T131106:U131106 T196642:U196642 T262178:U262178 T327714:U327714 T393250:U393250 T458786:U458786 T524322:U524322 T589858:U589858 T655394:U655394 T720930:U720930 T786466:U786466"/>
    <dataValidation type="whole" allowBlank="1" showInputMessage="1" showErrorMessage="1" error="soviel geht nicht!" prompt="jeder (verschiedene) Schülerkopf = 1_x000a_... unabhängig an wieviel Tagen pro Woche_x000a__x000a_Minuseintrag = selber keine Gruppe_x000a_" sqref="M5 M65543 M131079 M196615 M262151 M327687 M393223 M458759 M524295 M589831 M655367 M720903 M786439 M851975 M917511 M983047">
      <formula1>-J5</formula1>
      <formula2>222</formula2>
    </dataValidation>
    <dataValidation type="time" allowBlank="1" showInputMessage="1" showErrorMessage="1" error="Uhrzeit bitte mit Doppelpunkt eingeben" sqref="A917521:A917529 B65552:B65561 B131088:B131097 B196624:B196633 B262160:B262169 B327696:B327705 B393232:B393241 B458768:B458777 B524304:B524313 B589840:B589849 B655376:B655385 B720912:B720921 B786448:B786457 B851984:B851993 B917520:B917529 B983056:B983065 A983057:A983065 A65553:A65561 A131089:A131097 A196625:A196633 A262161:A262169 A327697:A327705 A393233:A393241 A458769:A458777 A524305:A524313 A589841:A589849 A655377:A655385 A720913:A720921 A786449:A786457 A851985:A851993 A15:A23 B14:B23">
      <formula1>0.291666666666667</formula1>
      <formula2>0.75</formula2>
    </dataValidation>
    <dataValidation type="time" allowBlank="1" showInputMessage="1" showErrorMessage="1" error="Uhrzeit bitte mit Doppelpunkt eingeben" prompt="Uhrzeit bitte mit Doppelpunkt eingeben" sqref="A983056 A65552 A131088 A196624 A262160 A327696 A393232 A458768 A524304 A589840 A655376 A720912 A786448 A851984 A917520 A14">
      <formula1>0.291666666666667</formula1>
      <formula2>0.75</formula2>
    </dataValidation>
    <dataValidation type="whole" operator="lessThanOrEqual" allowBlank="1" showErrorMessage="1" error="diese Zahl passt nicht zusammen mit der Schülerzahl in Zeile 5!" sqref="AE720912:AE720921 G65552:G65561 G131088:G131097 G196624:G196633 G262160:G262169 G327696:G327705 G393232:G393241 G458768:G458777 G524304:G524313 G589840:G589849 G655376:G655385 G720912:G720921 G786448:G786457 G851984:G851993 G917520:G917529 G983056:G983065 AE786448:AE786457 M65552:M65561 M131088:M131097 M196624:M196633 M262160:M262169 M327696:M327705 M393232:M393241 M458768:M458777 M524304:M524313 M589840:M589849 M655376:M655385 M720912:M720921 M786448:M786457 M851984:M851993 M917520:M917529 M983056:M983065 AE851984:AE851993 S65552:S65561 S131088:S131097 S196624:S196633 S262160:S262169 S327696:S327705 S393232:S393241 S458768:S458777 S524304:S524313 S589840:S589849 S655376:S655385 S720912:S720921 S786448:S786457 S851984:S851993 S917520:S917529 S983056:S983065 AE917520:AE917529 Y65552:Y65561 Y131088:Y131097 Y196624:Y196633 Y262160:Y262169 Y327696:Y327705 Y393232:Y393241 Y458768:Y458777 Y524304:Y524313 Y589840:Y589849 Y655376:Y655385 Y720912:Y720921 Y786448:Y786457 Y851984:Y851993 Y917520:Y917529 Y983056:Y983065 AE983056:AE983065 AE65552:AE65561 AE131088:AE131097 AE196624:AE196633 AE262160:AE262169 AE327696:AE327705 AE393232:AE393241 AE458768:AE458777 AE524304:AE524313 AE589840:AE589849 AE655376:AE655385">
      <formula1>$Q$6</formula1>
    </dataValidation>
    <dataValidation type="whole" operator="lessThanOrEqual" allowBlank="1" showInputMessage="1" showErrorMessage="1" error="diese Zahl passt nicht zusammen mit der Schülerzahl in Zeile 5!" prompt="Lehrerstunden wöchentlich  ... nach Umrechnung  2 : 1_x000a__x000a_(gehalten 2  =  1 zu verrechnen)" sqref="AF720912:AH720921 H65552:I65561 H131088:I131097 H196624:I196633 H262160:I262169 H327696:I327705 H393232:I393241 H458768:I458777 H524304:I524313 H589840:I589849 H655376:I655385 H720912:I720921 H786448:I786457 H851984:I851993 H917520:I917529 H983056:I983065 AF786448:AH786457 N65552:O65561 N131088:O131097 N196624:O196633 N262160:O262169 N327696:O327705 N393232:O393241 N458768:O458777 N524304:O524313 N589840:O589849 N655376:O655385 N720912:O720921 N786448:O786457 N851984:O851993 N917520:O917529 N983056:O983065 AF851984:AH851993 T65552:U65561 T131088:U131097 T196624:U196633 T262160:U262169 T327696:U327705 T393232:U393241 T458768:U458777 T524304:U524313 T589840:U589849 T655376:U655385 T720912:U720921 T786448:U786457 T851984:U851993 T917520:U917529 T983056:U983065 AF917520:AH917529 Z65552:AA65561 Z131088:AA131097 Z196624:AA196633 Z262160:AA262169 Z327696:AA327705 Z393232:AA393241 Z458768:AA458777 Z524304:AA524313 Z589840:AA589849 Z655376:AA655385 Z720912:AA720921 Z786448:AA786457 Z851984:AA851993 Z917520:AA917529 Z983056:AA983065 AF983056:AH983065 AF65552:AH65561 AF131088:AH131097 AF196624:AH196633 AF262160:AH262169 AF327696:AH327705 AF393232:AH393241 AF458768:AH458777 AF524304:AH524313 AF589840:AH589849 AF655376:AH655385">
      <formula1>$Q$6</formula1>
    </dataValidation>
    <dataValidation type="whole" allowBlank="1" showInputMessage="1" error="bitte Schüler als Ganzzahl eingeben!_x000a_(mindestens = 8 pro Gruppe)" sqref="AC720912:AD720921 E65552:F65561 E131088:F131097 E196624:F196633 E262160:F262169 E327696:F327705 E393232:F393241 E458768:F458777 E524304:F524313 E589840:F589849 E655376:F655385 E720912:F720921 E786448:F786457 E851984:F851993 E917520:F917529 E983056:F983065 AC786448:AD786457 K65552:L65561 K131088:L131097 K196624:L196633 K262160:L262169 K327696:L327705 K393232:L393241 K458768:L458777 K524304:L524313 K589840:L589849 K655376:L655385 K720912:L720921 K786448:L786457 K851984:L851993 K917520:L917529 K983056:L983065 AC851984:AD851993 Q65552:R65561 Q131088:R131097 Q196624:R196633 Q262160:R262169 Q327696:R327705 Q393232:R393241 Q458768:R458777 Q524304:R524313 Q589840:R589849 Q655376:R655385 Q720912:R720921 Q786448:R786457 Q851984:R851993 Q917520:R917529 Q983056:R983065 AC917520:AD917529 W65552:X65561 W131088:X131097 W196624:X196633 W262160:X262169 W327696:X327705 W393232:X393241 W458768:X458777 W524304:X524313 W589840:X589849 W655376:X655385 W720912:X720921 W786448:X786457 W851984:X851993 W917520:X917529 W983056:X983065 AC983056:AD983065 AC65552:AD65561 AC131088:AD131097 AC196624:AD196633 AC262160:AD262169 AC327696:AD327705 AC393232:AD393241 AC458768:AD458777 AC524304:AD524313 AC589840:AD589849 AC655376:AD655385 A24">
      <formula1>$AL$2</formula1>
      <formula2>333</formula2>
    </dataValidation>
    <dataValidation type="decimal" operator="lessThanOrEqual" allowBlank="1" showInputMessage="1" showErrorMessage="1" error="diese Zahl passt nicht zusammen mit der Schülerzahl in Zeile 5!" prompt="Berechnet wird:_x000a_Pro GLZ Gruppe eine Stunde._x000a_Pro ILZ Gruppe eine halbe Stunden._x000a_Weicht die Unterrichtseinheit von 50 min ab, wird entsprechend aliquotiert." sqref="O14:O23 U14:U23 AG14:AH24 I14:I23 AA14:AA23">
      <formula1>$Q$6</formula1>
    </dataValidation>
    <dataValidation type="whole" operator="lessThanOrEqual" allowBlank="1" showInputMessage="1" showErrorMessage="1" error="diese Zahl passt nicht zusammen mit der Schülerzahl in Zeile 5!" prompt="Der berechnete Wert dient als Richtwert und kann überschrieben werden._x000a__x000a_Eingabe der tatsächlich eingerichteten Gruppen der GLZ" sqref="Y14:Z23 M14:N23 S14:T23 G14:H23 AE14:AF23">
      <formula1>$Q$6</formula1>
    </dataValidation>
  </dataValidations>
  <hyperlinks>
    <hyperlink ref="V4" r:id="rId1"/>
    <hyperlink ref="A25:D26" r:id="rId2" display="https://www2.vobs.at/formuland-download/GTS_MS'PTS SOK-Eingaben Stand 07'23.pdf"/>
  </hyperlinks>
  <printOptions horizontalCentered="1"/>
  <pageMargins left="0.48" right="0.32" top="0.35433070866141736" bottom="0.31496062992125984" header="0.39370078740157483" footer="0.43307086614173229"/>
  <pageSetup paperSize="9" scale="76" fitToHeight="2" orientation="landscape" horizontalDpi="4294967293" r:id="rId3"/>
  <headerFooter alignWithMargins="0">
    <oddFooter>&amp;C&amp;8&amp;F</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DB91B6"/>
    <pageSetUpPr fitToPage="1"/>
  </sheetPr>
  <dimension ref="A1:S141"/>
  <sheetViews>
    <sheetView showGridLines="0" showZeros="0" zoomScaleNormal="100" workbookViewId="0">
      <selection activeCell="A9" sqref="A9"/>
    </sheetView>
  </sheetViews>
  <sheetFormatPr baseColWidth="10" defaultColWidth="11.42578125" defaultRowHeight="15" customHeight="1" zeroHeight="1" x14ac:dyDescent="0.25"/>
  <cols>
    <col min="1" max="1" width="7.140625" style="218" customWidth="1"/>
    <col min="2" max="2" width="9.140625" style="218" customWidth="1"/>
    <col min="3" max="3" width="13.85546875" style="218" customWidth="1"/>
    <col min="4" max="4" width="10" style="218" customWidth="1"/>
    <col min="5" max="5" width="7.7109375" style="218" hidden="1" customWidth="1"/>
    <col min="6" max="6" width="10" style="218" customWidth="1"/>
    <col min="7" max="7" width="1" style="104" customWidth="1"/>
    <col min="8" max="9" width="9.85546875" style="218" customWidth="1"/>
    <col min="10" max="10" width="1" style="104" customWidth="1"/>
    <col min="11" max="12" width="8.5703125" style="218" customWidth="1"/>
    <col min="13" max="13" width="3.42578125" style="218" customWidth="1"/>
    <col min="14" max="14" width="7.5703125" style="104" customWidth="1"/>
    <col min="15" max="16384" width="11.42578125" style="104"/>
  </cols>
  <sheetData>
    <row r="1" spans="1:19" s="438" customFormat="1" ht="26.25" x14ac:dyDescent="0.4">
      <c r="A1" s="430" t="s">
        <v>277</v>
      </c>
      <c r="B1" s="433"/>
      <c r="C1" s="434"/>
      <c r="D1" s="434"/>
      <c r="E1" s="434"/>
      <c r="F1" s="435"/>
      <c r="G1" s="436"/>
      <c r="H1" s="434"/>
      <c r="I1" s="434"/>
      <c r="J1" s="436"/>
      <c r="K1" s="434"/>
      <c r="L1" s="437" t="str">
        <f>Konti_PTS!C7</f>
        <v>PTS  . . .</v>
      </c>
      <c r="M1" s="432">
        <f>Konti_PTS!B7</f>
        <v>0</v>
      </c>
      <c r="N1" s="310"/>
      <c r="S1" s="94" t="s">
        <v>56</v>
      </c>
    </row>
    <row r="2" spans="1:19" s="438" customFormat="1" ht="19.5" customHeight="1" x14ac:dyDescent="0.4">
      <c r="A2" s="431" t="s">
        <v>278</v>
      </c>
      <c r="B2" s="262"/>
      <c r="C2" s="218"/>
      <c r="D2" s="218"/>
      <c r="E2" s="218"/>
      <c r="F2" s="439"/>
      <c r="H2" s="218"/>
      <c r="I2" s="218"/>
      <c r="K2" s="218"/>
      <c r="L2" s="440"/>
      <c r="M2" s="432"/>
      <c r="N2" s="310"/>
      <c r="S2" s="94"/>
    </row>
    <row r="3" spans="1:19" ht="4.5" customHeight="1" x14ac:dyDescent="0.25">
      <c r="G3" s="263"/>
      <c r="N3" s="310"/>
    </row>
    <row r="4" spans="1:19" ht="33.75" customHeight="1" x14ac:dyDescent="0.5">
      <c r="B4" s="264"/>
      <c r="D4" s="265" t="str">
        <f>"zum Schulstart 20"&amp;RIGHT(Konti_PTS!H1,5)</f>
        <v>zum Schulstart 2023/24</v>
      </c>
      <c r="G4" s="263"/>
      <c r="H4" s="747" t="s">
        <v>125</v>
      </c>
      <c r="I4" s="747" t="s">
        <v>126</v>
      </c>
      <c r="K4" s="750" t="s">
        <v>127</v>
      </c>
      <c r="L4" s="750" t="s">
        <v>128</v>
      </c>
      <c r="N4" s="310"/>
    </row>
    <row r="5" spans="1:19" ht="21" x14ac:dyDescent="0.3">
      <c r="A5" s="266"/>
      <c r="B5" s="267"/>
      <c r="C5" s="268"/>
      <c r="D5" s="269">
        <f>Konti_PTS!C12</f>
        <v>0</v>
      </c>
      <c r="F5" s="753">
        <f>COUNTIF(F9:F57,O9)</f>
        <v>0</v>
      </c>
      <c r="G5" s="263"/>
      <c r="H5" s="748"/>
      <c r="I5" s="748"/>
      <c r="K5" s="751"/>
      <c r="L5" s="751"/>
      <c r="N5" s="310"/>
    </row>
    <row r="6" spans="1:19" ht="21" x14ac:dyDescent="0.35">
      <c r="A6" s="270"/>
      <c r="B6" s="271" t="s">
        <v>129</v>
      </c>
      <c r="C6" s="272">
        <f>SUBTOTAL(103,C9:C57)</f>
        <v>0</v>
      </c>
      <c r="D6" s="273">
        <f>IF(AND(C6&gt;0,D5&gt;0),ROUND(C6/D5,3),)</f>
        <v>0</v>
      </c>
      <c r="F6" s="754"/>
      <c r="G6" s="263"/>
      <c r="H6" s="748"/>
      <c r="I6" s="748"/>
      <c r="K6" s="751"/>
      <c r="L6" s="751"/>
      <c r="N6" s="310"/>
    </row>
    <row r="7" spans="1:19" ht="31.5" x14ac:dyDescent="0.5">
      <c r="A7" s="274" t="s">
        <v>130</v>
      </c>
      <c r="B7" s="275" t="s">
        <v>131</v>
      </c>
      <c r="C7" s="276" t="s">
        <v>132</v>
      </c>
      <c r="D7" s="277"/>
      <c r="E7" s="278" t="s">
        <v>133</v>
      </c>
      <c r="F7" s="274" t="s">
        <v>6</v>
      </c>
      <c r="G7" s="279"/>
      <c r="H7" s="749"/>
      <c r="I7" s="749"/>
      <c r="K7" s="752"/>
      <c r="L7" s="752"/>
      <c r="M7" s="280" t="s">
        <v>134</v>
      </c>
      <c r="N7" s="310"/>
    </row>
    <row r="8" spans="1:19" ht="4.5" customHeight="1" x14ac:dyDescent="0.25">
      <c r="M8" s="281"/>
      <c r="N8" s="310"/>
    </row>
    <row r="9" spans="1:19" ht="17.25" x14ac:dyDescent="0.3">
      <c r="A9" s="282"/>
      <c r="B9" s="282"/>
      <c r="C9" s="283"/>
      <c r="D9" s="284"/>
      <c r="E9" s="282"/>
      <c r="F9" s="285"/>
      <c r="G9" s="345"/>
      <c r="H9" s="286"/>
      <c r="I9" s="286"/>
      <c r="K9" s="282"/>
      <c r="L9" s="282"/>
      <c r="M9" s="287" t="str">
        <f>IF(C9&gt;0,MAX(M$8:M8)+1,"")</f>
        <v/>
      </c>
      <c r="N9" s="310"/>
      <c r="O9" s="288" t="s">
        <v>279</v>
      </c>
    </row>
    <row r="10" spans="1:19" ht="17.25" x14ac:dyDescent="0.3">
      <c r="A10" s="282"/>
      <c r="B10" s="282"/>
      <c r="C10" s="283"/>
      <c r="D10" s="284"/>
      <c r="E10" s="282"/>
      <c r="F10" s="285"/>
      <c r="G10" s="346"/>
      <c r="H10" s="286"/>
      <c r="I10" s="286"/>
      <c r="J10" s="289"/>
      <c r="K10" s="282"/>
      <c r="L10" s="282"/>
      <c r="M10" s="287" t="str">
        <f>IF(C10&gt;0,MAX(M$8:M9)+1,"")</f>
        <v/>
      </c>
      <c r="N10" s="310"/>
      <c r="O10" s="288" t="s">
        <v>280</v>
      </c>
    </row>
    <row r="11" spans="1:19" ht="17.25" x14ac:dyDescent="0.3">
      <c r="A11" s="282"/>
      <c r="B11" s="282"/>
      <c r="C11" s="283"/>
      <c r="D11" s="284"/>
      <c r="E11" s="282"/>
      <c r="F11" s="285"/>
      <c r="G11" s="345"/>
      <c r="H11" s="286"/>
      <c r="I11" s="286"/>
      <c r="K11" s="282"/>
      <c r="L11" s="282"/>
      <c r="M11" s="287" t="str">
        <f>IF(C11&gt;0,MAX(M$8:M10)+1,"")</f>
        <v/>
      </c>
      <c r="N11" s="310"/>
      <c r="O11" s="288" t="s">
        <v>137</v>
      </c>
    </row>
    <row r="12" spans="1:19" ht="17.25" x14ac:dyDescent="0.3">
      <c r="A12" s="290"/>
      <c r="B12" s="290"/>
      <c r="C12" s="291"/>
      <c r="D12" s="292"/>
      <c r="E12" s="290"/>
      <c r="F12" s="293"/>
      <c r="G12" s="345"/>
      <c r="H12" s="290"/>
      <c r="I12" s="290"/>
      <c r="K12" s="290"/>
      <c r="L12" s="290"/>
      <c r="M12" s="287" t="str">
        <f>IF(C12&gt;0,MAX(M$8:M11)+1,"")</f>
        <v/>
      </c>
      <c r="N12" s="310"/>
      <c r="O12" s="288" t="s">
        <v>138</v>
      </c>
    </row>
    <row r="13" spans="1:19" ht="17.25" x14ac:dyDescent="0.3">
      <c r="A13" s="290"/>
      <c r="B13" s="290"/>
      <c r="C13" s="291"/>
      <c r="D13" s="292"/>
      <c r="E13" s="290"/>
      <c r="F13" s="293"/>
      <c r="G13" s="345"/>
      <c r="H13" s="290"/>
      <c r="I13" s="290"/>
      <c r="K13" s="290"/>
      <c r="L13" s="290"/>
      <c r="M13" s="287" t="str">
        <f>IF(C13&gt;0,MAX(M$8:M12)+1,"")</f>
        <v/>
      </c>
      <c r="N13" s="310"/>
    </row>
    <row r="14" spans="1:19" ht="17.25" x14ac:dyDescent="0.3">
      <c r="A14" s="290"/>
      <c r="B14" s="290"/>
      <c r="C14" s="291"/>
      <c r="D14" s="292"/>
      <c r="E14" s="290"/>
      <c r="F14" s="293"/>
      <c r="G14" s="345"/>
      <c r="H14" s="290"/>
      <c r="I14" s="290"/>
      <c r="K14" s="290"/>
      <c r="L14" s="290"/>
      <c r="M14" s="287" t="str">
        <f>IF(C14&gt;0,MAX(M$8:M13)+1,"")</f>
        <v/>
      </c>
      <c r="N14" s="310"/>
    </row>
    <row r="15" spans="1:19" ht="17.25" x14ac:dyDescent="0.3">
      <c r="A15" s="290"/>
      <c r="B15" s="290"/>
      <c r="C15" s="291"/>
      <c r="D15" s="292"/>
      <c r="E15" s="290"/>
      <c r="F15" s="293"/>
      <c r="G15" s="345"/>
      <c r="H15" s="290"/>
      <c r="I15" s="290"/>
      <c r="K15" s="290"/>
      <c r="L15" s="290"/>
      <c r="M15" s="287" t="str">
        <f>IF(C15&gt;0,MAX(M$8:M14)+1,"")</f>
        <v/>
      </c>
      <c r="N15" s="310"/>
    </row>
    <row r="16" spans="1:19" ht="17.25" x14ac:dyDescent="0.3">
      <c r="A16" s="290"/>
      <c r="B16" s="290"/>
      <c r="C16" s="291"/>
      <c r="D16" s="292"/>
      <c r="E16" s="290"/>
      <c r="F16" s="293"/>
      <c r="G16" s="345"/>
      <c r="H16" s="290"/>
      <c r="I16" s="290"/>
      <c r="K16" s="290"/>
      <c r="L16" s="290"/>
      <c r="M16" s="287" t="str">
        <f>IF(C16&gt;0,MAX(M$8:M15)+1,"")</f>
        <v/>
      </c>
      <c r="N16" s="310"/>
    </row>
    <row r="17" spans="1:14" ht="17.25" x14ac:dyDescent="0.3">
      <c r="A17" s="290"/>
      <c r="B17" s="290"/>
      <c r="C17" s="291"/>
      <c r="D17" s="292"/>
      <c r="E17" s="290"/>
      <c r="F17" s="293"/>
      <c r="G17" s="345"/>
      <c r="H17" s="290"/>
      <c r="I17" s="290"/>
      <c r="K17" s="290"/>
      <c r="L17" s="290"/>
      <c r="M17" s="287" t="str">
        <f>IF(C17&gt;0,MAX(M$8:M16)+1,"")</f>
        <v/>
      </c>
      <c r="N17" s="310"/>
    </row>
    <row r="18" spans="1:14" ht="17.25" x14ac:dyDescent="0.3">
      <c r="A18" s="290"/>
      <c r="B18" s="290"/>
      <c r="C18" s="291"/>
      <c r="D18" s="292"/>
      <c r="E18" s="290"/>
      <c r="F18" s="293"/>
      <c r="G18" s="345"/>
      <c r="H18" s="290"/>
      <c r="I18" s="290"/>
      <c r="K18" s="290"/>
      <c r="L18" s="290"/>
      <c r="M18" s="287" t="str">
        <f>IF(C18&gt;0,MAX(M$8:M17)+1,"")</f>
        <v/>
      </c>
      <c r="N18" s="310"/>
    </row>
    <row r="19" spans="1:14" ht="17.25" x14ac:dyDescent="0.3">
      <c r="A19" s="290"/>
      <c r="B19" s="290"/>
      <c r="C19" s="291"/>
      <c r="D19" s="292"/>
      <c r="E19" s="290"/>
      <c r="F19" s="293"/>
      <c r="G19" s="345"/>
      <c r="H19" s="290"/>
      <c r="I19" s="290"/>
      <c r="K19" s="290"/>
      <c r="L19" s="290"/>
      <c r="M19" s="287" t="str">
        <f>IF(C19&gt;0,MAX(M$8:M18)+1,"")</f>
        <v/>
      </c>
      <c r="N19" s="310"/>
    </row>
    <row r="20" spans="1:14" ht="17.25" x14ac:dyDescent="0.3">
      <c r="A20" s="290"/>
      <c r="B20" s="290"/>
      <c r="C20" s="291"/>
      <c r="D20" s="292"/>
      <c r="E20" s="290"/>
      <c r="F20" s="293"/>
      <c r="G20" s="345"/>
      <c r="H20" s="290"/>
      <c r="I20" s="290"/>
      <c r="K20" s="290"/>
      <c r="L20" s="290"/>
      <c r="M20" s="287" t="str">
        <f>IF(C20&gt;0,MAX(M$8:M19)+1,"")</f>
        <v/>
      </c>
      <c r="N20" s="310"/>
    </row>
    <row r="21" spans="1:14" ht="17.25" x14ac:dyDescent="0.3">
      <c r="A21" s="290"/>
      <c r="B21" s="290"/>
      <c r="C21" s="291"/>
      <c r="D21" s="292"/>
      <c r="E21" s="290"/>
      <c r="F21" s="293"/>
      <c r="G21" s="345"/>
      <c r="H21" s="290"/>
      <c r="I21" s="290"/>
      <c r="K21" s="290"/>
      <c r="L21" s="290"/>
      <c r="M21" s="287" t="str">
        <f>IF(C21&gt;0,MAX(M$8:M20)+1,"")</f>
        <v/>
      </c>
      <c r="N21" s="310"/>
    </row>
    <row r="22" spans="1:14" ht="17.25" x14ac:dyDescent="0.3">
      <c r="A22" s="290"/>
      <c r="B22" s="290"/>
      <c r="C22" s="291"/>
      <c r="D22" s="292"/>
      <c r="E22" s="290"/>
      <c r="F22" s="293"/>
      <c r="G22" s="345"/>
      <c r="H22" s="290"/>
      <c r="I22" s="290"/>
      <c r="K22" s="290"/>
      <c r="L22" s="290"/>
      <c r="M22" s="287" t="str">
        <f>IF(C22&gt;0,MAX(M$8:M21)+1,"")</f>
        <v/>
      </c>
      <c r="N22" s="310"/>
    </row>
    <row r="23" spans="1:14" ht="17.25" x14ac:dyDescent="0.3">
      <c r="A23" s="290"/>
      <c r="B23" s="290"/>
      <c r="C23" s="291"/>
      <c r="D23" s="292"/>
      <c r="E23" s="290"/>
      <c r="F23" s="293"/>
      <c r="G23" s="345"/>
      <c r="H23" s="290"/>
      <c r="I23" s="290"/>
      <c r="K23" s="290"/>
      <c r="L23" s="290"/>
      <c r="M23" s="287" t="str">
        <f>IF(C23&gt;0,MAX(M$8:M22)+1,"")</f>
        <v/>
      </c>
      <c r="N23" s="310"/>
    </row>
    <row r="24" spans="1:14" ht="17.25" hidden="1" x14ac:dyDescent="0.3">
      <c r="A24" s="290"/>
      <c r="B24" s="290"/>
      <c r="C24" s="291"/>
      <c r="D24" s="292"/>
      <c r="E24" s="290"/>
      <c r="F24" s="293"/>
      <c r="G24" s="345"/>
      <c r="H24" s="290"/>
      <c r="I24" s="290"/>
      <c r="K24" s="290"/>
      <c r="L24" s="290"/>
      <c r="M24" s="287" t="str">
        <f>IF(C24&gt;0,MAX(M$8:M23)+1,"")</f>
        <v/>
      </c>
      <c r="N24" s="310"/>
    </row>
    <row r="25" spans="1:14" ht="17.25" hidden="1" x14ac:dyDescent="0.3">
      <c r="A25" s="290"/>
      <c r="B25" s="290"/>
      <c r="C25" s="291"/>
      <c r="D25" s="292"/>
      <c r="E25" s="290"/>
      <c r="F25" s="293"/>
      <c r="G25" s="345"/>
      <c r="H25" s="290"/>
      <c r="I25" s="290"/>
      <c r="K25" s="290"/>
      <c r="L25" s="290"/>
      <c r="M25" s="287" t="str">
        <f>IF(C25&gt;0,MAX(M$8:M24)+1,"")</f>
        <v/>
      </c>
      <c r="N25" s="310"/>
    </row>
    <row r="26" spans="1:14" ht="17.25" hidden="1" x14ac:dyDescent="0.3">
      <c r="A26" s="290"/>
      <c r="B26" s="290"/>
      <c r="C26" s="291"/>
      <c r="D26" s="292"/>
      <c r="E26" s="290"/>
      <c r="F26" s="293"/>
      <c r="G26" s="345"/>
      <c r="H26" s="290"/>
      <c r="I26" s="290"/>
      <c r="K26" s="290"/>
      <c r="L26" s="290"/>
      <c r="M26" s="287" t="str">
        <f>IF(C26&gt;0,MAX(M$8:M25)+1,"")</f>
        <v/>
      </c>
      <c r="N26" s="310"/>
    </row>
    <row r="27" spans="1:14" ht="17.25" hidden="1" x14ac:dyDescent="0.3">
      <c r="A27" s="290"/>
      <c r="B27" s="290"/>
      <c r="C27" s="291"/>
      <c r="D27" s="292"/>
      <c r="E27" s="290"/>
      <c r="F27" s="293"/>
      <c r="G27" s="345"/>
      <c r="H27" s="290"/>
      <c r="I27" s="290"/>
      <c r="K27" s="290"/>
      <c r="L27" s="290"/>
      <c r="M27" s="287" t="str">
        <f>IF(C27&gt;0,MAX(M$8:M26)+1,"")</f>
        <v/>
      </c>
      <c r="N27" s="310"/>
    </row>
    <row r="28" spans="1:14" ht="17.25" hidden="1" x14ac:dyDescent="0.3">
      <c r="A28" s="290"/>
      <c r="B28" s="290"/>
      <c r="C28" s="291"/>
      <c r="D28" s="292"/>
      <c r="E28" s="290"/>
      <c r="F28" s="293"/>
      <c r="G28" s="345"/>
      <c r="H28" s="290"/>
      <c r="I28" s="290"/>
      <c r="K28" s="290"/>
      <c r="L28" s="290"/>
      <c r="M28" s="287" t="str">
        <f>IF(C28&gt;0,MAX(M$8:M27)+1,"")</f>
        <v/>
      </c>
      <c r="N28" s="310"/>
    </row>
    <row r="29" spans="1:14" ht="17.25" hidden="1" x14ac:dyDescent="0.3">
      <c r="A29" s="290"/>
      <c r="B29" s="290"/>
      <c r="C29" s="291"/>
      <c r="D29" s="292"/>
      <c r="E29" s="290"/>
      <c r="F29" s="293"/>
      <c r="G29" s="345"/>
      <c r="H29" s="290"/>
      <c r="I29" s="290"/>
      <c r="K29" s="290"/>
      <c r="L29" s="290"/>
      <c r="M29" s="287" t="str">
        <f>IF(C29&gt;0,MAX(M$8:M28)+1,"")</f>
        <v/>
      </c>
      <c r="N29" s="310"/>
    </row>
    <row r="30" spans="1:14" ht="17.25" hidden="1" x14ac:dyDescent="0.3">
      <c r="A30" s="290"/>
      <c r="B30" s="290"/>
      <c r="C30" s="291"/>
      <c r="D30" s="292"/>
      <c r="E30" s="290"/>
      <c r="F30" s="293"/>
      <c r="G30" s="345"/>
      <c r="H30" s="290"/>
      <c r="I30" s="290"/>
      <c r="K30" s="290"/>
      <c r="L30" s="290"/>
      <c r="M30" s="287" t="str">
        <f>IF(C30&gt;0,MAX(M$8:M29)+1,"")</f>
        <v/>
      </c>
      <c r="N30" s="310"/>
    </row>
    <row r="31" spans="1:14" ht="17.25" hidden="1" x14ac:dyDescent="0.3">
      <c r="A31" s="290"/>
      <c r="B31" s="290"/>
      <c r="C31" s="291"/>
      <c r="D31" s="292"/>
      <c r="E31" s="290"/>
      <c r="F31" s="293"/>
      <c r="G31" s="345"/>
      <c r="H31" s="290"/>
      <c r="I31" s="290"/>
      <c r="K31" s="290"/>
      <c r="L31" s="290"/>
      <c r="M31" s="287" t="str">
        <f>IF(C31&gt;0,MAX(M$8:M30)+1,"")</f>
        <v/>
      </c>
      <c r="N31" s="310"/>
    </row>
    <row r="32" spans="1:14" ht="17.25" hidden="1" x14ac:dyDescent="0.3">
      <c r="A32" s="290"/>
      <c r="B32" s="290"/>
      <c r="C32" s="291"/>
      <c r="D32" s="292"/>
      <c r="E32" s="290"/>
      <c r="F32" s="293"/>
      <c r="G32" s="345"/>
      <c r="H32" s="290"/>
      <c r="I32" s="290"/>
      <c r="K32" s="290"/>
      <c r="L32" s="290"/>
      <c r="M32" s="287" t="str">
        <f>IF(C32&gt;0,MAX(M$8:M31)+1,"")</f>
        <v/>
      </c>
      <c r="N32" s="310"/>
    </row>
    <row r="33" spans="1:14" ht="17.25" hidden="1" x14ac:dyDescent="0.3">
      <c r="A33" s="290"/>
      <c r="B33" s="290"/>
      <c r="C33" s="291"/>
      <c r="D33" s="292"/>
      <c r="E33" s="290"/>
      <c r="F33" s="293"/>
      <c r="G33" s="345"/>
      <c r="H33" s="290"/>
      <c r="I33" s="290"/>
      <c r="K33" s="290"/>
      <c r="L33" s="290"/>
      <c r="M33" s="287" t="str">
        <f>IF(C33&gt;0,MAX(M$8:M32)+1,"")</f>
        <v/>
      </c>
      <c r="N33" s="310"/>
    </row>
    <row r="34" spans="1:14" ht="17.25" hidden="1" x14ac:dyDescent="0.3">
      <c r="A34" s="290"/>
      <c r="B34" s="290"/>
      <c r="C34" s="291"/>
      <c r="D34" s="292"/>
      <c r="E34" s="290"/>
      <c r="F34" s="293"/>
      <c r="G34" s="345"/>
      <c r="H34" s="290"/>
      <c r="I34" s="290"/>
      <c r="K34" s="290"/>
      <c r="L34" s="290"/>
      <c r="M34" s="287" t="str">
        <f>IF(C34&gt;0,MAX(M$8:M33)+1,"")</f>
        <v/>
      </c>
      <c r="N34" s="310"/>
    </row>
    <row r="35" spans="1:14" ht="17.25" hidden="1" x14ac:dyDescent="0.3">
      <c r="A35" s="290"/>
      <c r="B35" s="290"/>
      <c r="C35" s="291"/>
      <c r="D35" s="292"/>
      <c r="E35" s="290"/>
      <c r="F35" s="293"/>
      <c r="G35" s="345"/>
      <c r="H35" s="290"/>
      <c r="I35" s="290"/>
      <c r="K35" s="290"/>
      <c r="L35" s="290"/>
      <c r="M35" s="287" t="str">
        <f>IF(C35&gt;0,MAX(M$8:M34)+1,"")</f>
        <v/>
      </c>
      <c r="N35" s="310"/>
    </row>
    <row r="36" spans="1:14" ht="17.25" hidden="1" x14ac:dyDescent="0.3">
      <c r="A36" s="290"/>
      <c r="B36" s="290"/>
      <c r="C36" s="291"/>
      <c r="D36" s="292"/>
      <c r="E36" s="290"/>
      <c r="F36" s="293"/>
      <c r="G36" s="345"/>
      <c r="H36" s="290"/>
      <c r="I36" s="290"/>
      <c r="K36" s="290"/>
      <c r="L36" s="290"/>
      <c r="M36" s="287" t="str">
        <f>IF(C36&gt;0,MAX(M$8:M35)+1,"")</f>
        <v/>
      </c>
      <c r="N36" s="310"/>
    </row>
    <row r="37" spans="1:14" ht="17.25" hidden="1" x14ac:dyDescent="0.3">
      <c r="A37" s="290"/>
      <c r="B37" s="290"/>
      <c r="C37" s="291"/>
      <c r="D37" s="292"/>
      <c r="E37" s="290"/>
      <c r="F37" s="293"/>
      <c r="G37" s="345"/>
      <c r="H37" s="290"/>
      <c r="I37" s="290"/>
      <c r="K37" s="290"/>
      <c r="L37" s="290"/>
      <c r="M37" s="287" t="str">
        <f>IF(C37&gt;0,MAX(M$8:M36)+1,"")</f>
        <v/>
      </c>
      <c r="N37" s="310"/>
    </row>
    <row r="38" spans="1:14" ht="17.25" hidden="1" x14ac:dyDescent="0.3">
      <c r="A38" s="290"/>
      <c r="B38" s="290"/>
      <c r="C38" s="291"/>
      <c r="D38" s="292"/>
      <c r="E38" s="290"/>
      <c r="F38" s="293"/>
      <c r="G38" s="345"/>
      <c r="H38" s="290"/>
      <c r="I38" s="290"/>
      <c r="K38" s="290"/>
      <c r="L38" s="290"/>
      <c r="M38" s="287" t="str">
        <f>IF(C38&gt;0,MAX(M$8:M37)+1,"")</f>
        <v/>
      </c>
      <c r="N38" s="310"/>
    </row>
    <row r="39" spans="1:14" ht="17.25" hidden="1" x14ac:dyDescent="0.3">
      <c r="A39" s="290"/>
      <c r="B39" s="290"/>
      <c r="C39" s="291"/>
      <c r="D39" s="292"/>
      <c r="E39" s="290"/>
      <c r="F39" s="293"/>
      <c r="G39" s="345"/>
      <c r="H39" s="290"/>
      <c r="I39" s="290"/>
      <c r="K39" s="290"/>
      <c r="L39" s="290"/>
      <c r="M39" s="287" t="str">
        <f>IF(C39&gt;0,MAX(M$8:M38)+1,"")</f>
        <v/>
      </c>
      <c r="N39" s="310"/>
    </row>
    <row r="40" spans="1:14" ht="17.25" hidden="1" x14ac:dyDescent="0.3">
      <c r="A40" s="290"/>
      <c r="B40" s="290"/>
      <c r="C40" s="291"/>
      <c r="D40" s="292"/>
      <c r="E40" s="290"/>
      <c r="F40" s="293"/>
      <c r="G40" s="345"/>
      <c r="H40" s="290"/>
      <c r="I40" s="290"/>
      <c r="K40" s="290"/>
      <c r="L40" s="290"/>
      <c r="M40" s="287" t="str">
        <f>IF(C40&gt;0,MAX(M$8:M39)+1,"")</f>
        <v/>
      </c>
      <c r="N40" s="310"/>
    </row>
    <row r="41" spans="1:14" ht="17.25" hidden="1" x14ac:dyDescent="0.3">
      <c r="A41" s="290"/>
      <c r="B41" s="290"/>
      <c r="C41" s="291"/>
      <c r="D41" s="292"/>
      <c r="E41" s="290"/>
      <c r="F41" s="293"/>
      <c r="G41" s="345"/>
      <c r="H41" s="290"/>
      <c r="I41" s="290"/>
      <c r="K41" s="290"/>
      <c r="L41" s="290"/>
      <c r="M41" s="287" t="str">
        <f>IF(C41&gt;0,MAX(M$8:M40)+1,"")</f>
        <v/>
      </c>
      <c r="N41" s="310"/>
    </row>
    <row r="42" spans="1:14" ht="17.25" hidden="1" x14ac:dyDescent="0.3">
      <c r="A42" s="290"/>
      <c r="B42" s="290"/>
      <c r="C42" s="291"/>
      <c r="D42" s="292"/>
      <c r="E42" s="290"/>
      <c r="F42" s="293"/>
      <c r="G42" s="345"/>
      <c r="H42" s="290"/>
      <c r="I42" s="290"/>
      <c r="K42" s="290"/>
      <c r="L42" s="290"/>
      <c r="M42" s="287" t="str">
        <f>IF(C42&gt;0,MAX(M$8:M41)+1,"")</f>
        <v/>
      </c>
      <c r="N42" s="310"/>
    </row>
    <row r="43" spans="1:14" ht="17.25" hidden="1" x14ac:dyDescent="0.3">
      <c r="A43" s="290"/>
      <c r="B43" s="290"/>
      <c r="C43" s="291"/>
      <c r="D43" s="292"/>
      <c r="E43" s="290"/>
      <c r="F43" s="293"/>
      <c r="G43" s="345"/>
      <c r="H43" s="290"/>
      <c r="I43" s="290"/>
      <c r="K43" s="290"/>
      <c r="L43" s="290"/>
      <c r="M43" s="287" t="str">
        <f>IF(C43&gt;0,MAX(M$8:M42)+1,"")</f>
        <v/>
      </c>
      <c r="N43" s="310"/>
    </row>
    <row r="44" spans="1:14" ht="17.25" hidden="1" x14ac:dyDescent="0.3">
      <c r="A44" s="290"/>
      <c r="B44" s="290"/>
      <c r="C44" s="291"/>
      <c r="D44" s="292"/>
      <c r="E44" s="290"/>
      <c r="F44" s="293"/>
      <c r="G44" s="345"/>
      <c r="H44" s="290"/>
      <c r="I44" s="290"/>
      <c r="K44" s="290"/>
      <c r="L44" s="290"/>
      <c r="M44" s="287" t="str">
        <f>IF(C44&gt;0,MAX(M$8:M43)+1,"")</f>
        <v/>
      </c>
      <c r="N44" s="310"/>
    </row>
    <row r="45" spans="1:14" ht="17.25" hidden="1" x14ac:dyDescent="0.3">
      <c r="A45" s="290"/>
      <c r="B45" s="290"/>
      <c r="C45" s="291"/>
      <c r="D45" s="292"/>
      <c r="E45" s="290"/>
      <c r="F45" s="293"/>
      <c r="G45" s="345"/>
      <c r="H45" s="290"/>
      <c r="I45" s="290"/>
      <c r="K45" s="290"/>
      <c r="L45" s="290"/>
      <c r="M45" s="287" t="str">
        <f>IF(C45&gt;0,MAX(M$8:M44)+1,"")</f>
        <v/>
      </c>
      <c r="N45" s="310"/>
    </row>
    <row r="46" spans="1:14" ht="17.25" hidden="1" x14ac:dyDescent="0.3">
      <c r="A46" s="290"/>
      <c r="B46" s="290"/>
      <c r="C46" s="291"/>
      <c r="D46" s="292"/>
      <c r="E46" s="290"/>
      <c r="F46" s="293"/>
      <c r="G46" s="345"/>
      <c r="H46" s="290"/>
      <c r="I46" s="290"/>
      <c r="K46" s="290"/>
      <c r="L46" s="290"/>
      <c r="M46" s="287" t="str">
        <f>IF(C46&gt;0,MAX(M$8:M45)+1,"")</f>
        <v/>
      </c>
      <c r="N46" s="310"/>
    </row>
    <row r="47" spans="1:14" ht="17.25" hidden="1" x14ac:dyDescent="0.3">
      <c r="A47" s="290"/>
      <c r="B47" s="290"/>
      <c r="C47" s="291"/>
      <c r="D47" s="292"/>
      <c r="E47" s="290"/>
      <c r="F47" s="293"/>
      <c r="G47" s="345"/>
      <c r="H47" s="290"/>
      <c r="I47" s="290"/>
      <c r="K47" s="290"/>
      <c r="L47" s="290"/>
      <c r="M47" s="287" t="str">
        <f>IF(C47&gt;0,MAX(M$8:M46)+1,"")</f>
        <v/>
      </c>
      <c r="N47" s="310"/>
    </row>
    <row r="48" spans="1:14" ht="17.25" hidden="1" x14ac:dyDescent="0.3">
      <c r="A48" s="290"/>
      <c r="B48" s="290"/>
      <c r="C48" s="291"/>
      <c r="D48" s="292"/>
      <c r="E48" s="290"/>
      <c r="F48" s="293"/>
      <c r="G48" s="345"/>
      <c r="H48" s="290"/>
      <c r="I48" s="290"/>
      <c r="K48" s="290"/>
      <c r="L48" s="290"/>
      <c r="M48" s="287" t="str">
        <f>IF(C48&gt;0,MAX(M$8:M47)+1,"")</f>
        <v/>
      </c>
      <c r="N48" s="310"/>
    </row>
    <row r="49" spans="1:15" ht="17.25" hidden="1" x14ac:dyDescent="0.3">
      <c r="A49" s="290"/>
      <c r="B49" s="290"/>
      <c r="C49" s="291"/>
      <c r="D49" s="292"/>
      <c r="E49" s="290"/>
      <c r="F49" s="293"/>
      <c r="G49" s="345"/>
      <c r="H49" s="290"/>
      <c r="I49" s="290"/>
      <c r="K49" s="290"/>
      <c r="L49" s="290"/>
      <c r="M49" s="287" t="str">
        <f>IF(C49&gt;0,MAX(M$8:M48)+1,"")</f>
        <v/>
      </c>
      <c r="N49" s="310"/>
    </row>
    <row r="50" spans="1:15" ht="17.25" hidden="1" x14ac:dyDescent="0.3">
      <c r="A50" s="290"/>
      <c r="B50" s="290"/>
      <c r="C50" s="291"/>
      <c r="D50" s="292"/>
      <c r="E50" s="290"/>
      <c r="F50" s="293"/>
      <c r="G50" s="345"/>
      <c r="H50" s="290"/>
      <c r="I50" s="290"/>
      <c r="K50" s="290"/>
      <c r="L50" s="290"/>
      <c r="M50" s="287" t="str">
        <f>IF(C50&gt;0,MAX(M$8:M49)+1,"")</f>
        <v/>
      </c>
      <c r="N50" s="310"/>
    </row>
    <row r="51" spans="1:15" ht="17.25" hidden="1" x14ac:dyDescent="0.3">
      <c r="A51" s="290"/>
      <c r="B51" s="290"/>
      <c r="C51" s="291"/>
      <c r="D51" s="292"/>
      <c r="E51" s="290"/>
      <c r="F51" s="293"/>
      <c r="G51" s="345"/>
      <c r="H51" s="290"/>
      <c r="I51" s="290"/>
      <c r="K51" s="290"/>
      <c r="L51" s="290"/>
      <c r="M51" s="287" t="str">
        <f>IF(C51&gt;0,MAX(M$8:M50)+1,"")</f>
        <v/>
      </c>
      <c r="N51" s="310"/>
    </row>
    <row r="52" spans="1:15" ht="17.25" hidden="1" x14ac:dyDescent="0.3">
      <c r="A52" s="290"/>
      <c r="B52" s="290"/>
      <c r="C52" s="291"/>
      <c r="D52" s="292"/>
      <c r="E52" s="290"/>
      <c r="F52" s="293"/>
      <c r="G52" s="345"/>
      <c r="H52" s="290"/>
      <c r="I52" s="290"/>
      <c r="K52" s="290"/>
      <c r="L52" s="290"/>
      <c r="M52" s="287" t="str">
        <f>IF(C52&gt;0,MAX(M$8:M51)+1,"")</f>
        <v/>
      </c>
      <c r="N52" s="310"/>
    </row>
    <row r="53" spans="1:15" ht="17.25" hidden="1" x14ac:dyDescent="0.3">
      <c r="A53" s="290"/>
      <c r="B53" s="290"/>
      <c r="C53" s="291"/>
      <c r="D53" s="292"/>
      <c r="E53" s="290"/>
      <c r="F53" s="293"/>
      <c r="G53" s="345"/>
      <c r="H53" s="290"/>
      <c r="I53" s="290"/>
      <c r="K53" s="290"/>
      <c r="L53" s="290"/>
      <c r="M53" s="287" t="str">
        <f>IF(C53&gt;0,MAX(M$8:M52)+1,"")</f>
        <v/>
      </c>
      <c r="N53" s="310"/>
    </row>
    <row r="54" spans="1:15" ht="17.25" hidden="1" x14ac:dyDescent="0.3">
      <c r="A54" s="290"/>
      <c r="B54" s="290"/>
      <c r="C54" s="291"/>
      <c r="D54" s="292"/>
      <c r="E54" s="290"/>
      <c r="F54" s="293"/>
      <c r="G54" s="345"/>
      <c r="H54" s="290"/>
      <c r="I54" s="290"/>
      <c r="K54" s="290"/>
      <c r="L54" s="290"/>
      <c r="M54" s="287" t="str">
        <f>IF(C54&gt;0,MAX(M$8:M53)+1,"")</f>
        <v/>
      </c>
      <c r="N54" s="310"/>
    </row>
    <row r="55" spans="1:15" ht="17.25" hidden="1" x14ac:dyDescent="0.3">
      <c r="A55" s="290"/>
      <c r="B55" s="290"/>
      <c r="C55" s="291"/>
      <c r="D55" s="292"/>
      <c r="E55" s="290"/>
      <c r="F55" s="293"/>
      <c r="G55" s="345"/>
      <c r="H55" s="290"/>
      <c r="I55" s="290"/>
      <c r="K55" s="290"/>
      <c r="L55" s="290"/>
      <c r="M55" s="287" t="str">
        <f>IF(C55&gt;0,MAX(M$8:M54)+1,"")</f>
        <v/>
      </c>
      <c r="N55" s="310"/>
    </row>
    <row r="56" spans="1:15" ht="17.25" x14ac:dyDescent="0.3">
      <c r="A56" s="290"/>
      <c r="B56" s="290"/>
      <c r="C56" s="291"/>
      <c r="D56" s="292"/>
      <c r="E56" s="290"/>
      <c r="F56" s="293"/>
      <c r="G56" s="345"/>
      <c r="H56" s="290"/>
      <c r="I56" s="290"/>
      <c r="K56" s="290"/>
      <c r="L56" s="290"/>
      <c r="M56" s="287" t="str">
        <f>IF(C56&gt;0,MAX(M$8:M55)+1,"")</f>
        <v/>
      </c>
      <c r="N56" s="310"/>
    </row>
    <row r="57" spans="1:15" ht="17.25" x14ac:dyDescent="0.3">
      <c r="A57" s="290"/>
      <c r="B57" s="290"/>
      <c r="C57" s="291"/>
      <c r="D57" s="292"/>
      <c r="E57" s="290"/>
      <c r="F57" s="293"/>
      <c r="G57" s="345"/>
      <c r="H57" s="290"/>
      <c r="I57" s="290"/>
      <c r="K57" s="290"/>
      <c r="L57" s="290"/>
      <c r="M57" s="287" t="str">
        <f>IF(C57&gt;0,MAX(M$8:M56)+1,"")</f>
        <v/>
      </c>
      <c r="N57" s="310"/>
    </row>
    <row r="58" spans="1:15" ht="17.25" x14ac:dyDescent="0.3">
      <c r="A58" s="294" t="s">
        <v>239</v>
      </c>
      <c r="B58" s="295"/>
      <c r="C58" s="296"/>
      <c r="D58" s="297"/>
      <c r="E58" s="297"/>
      <c r="F58" s="297"/>
      <c r="G58" s="345"/>
      <c r="M58" s="298">
        <f>MAX(M$8:M57)</f>
        <v>0</v>
      </c>
      <c r="N58" s="310"/>
    </row>
    <row r="59" spans="1:15" ht="17.25" x14ac:dyDescent="0.3">
      <c r="A59" s="299"/>
      <c r="B59" s="299"/>
      <c r="C59" s="330" t="s">
        <v>139</v>
      </c>
      <c r="H59" s="300">
        <f>SUM(H9:H57)</f>
        <v>0</v>
      </c>
      <c r="J59" s="301" t="s">
        <v>140</v>
      </c>
      <c r="N59" s="310"/>
    </row>
    <row r="60" spans="1:15" ht="18" thickBot="1" x14ac:dyDescent="0.35">
      <c r="A60" s="299"/>
      <c r="B60" s="299"/>
      <c r="C60" s="330" t="s">
        <v>141</v>
      </c>
      <c r="I60" s="300">
        <f>SUM(I9:I57)</f>
        <v>0</v>
      </c>
      <c r="K60" s="302">
        <f>IF(I60&gt;0,"Wochenstunden",)</f>
        <v>0</v>
      </c>
      <c r="N60" s="310"/>
    </row>
    <row r="61" spans="1:15" ht="20.25" customHeight="1" thickTop="1" thickBot="1" x14ac:dyDescent="0.35">
      <c r="A61" s="104"/>
      <c r="B61" s="299"/>
      <c r="D61" s="304"/>
      <c r="F61" s="305">
        <f>IF(L61&gt;0,"Wochenstunden für ",)</f>
        <v>0</v>
      </c>
      <c r="G61" s="306">
        <f>IF(L61&gt;0,"Assistenzleistungen in Summe: ",)</f>
        <v>0</v>
      </c>
      <c r="H61" s="307"/>
      <c r="J61" s="218"/>
      <c r="K61" s="308"/>
      <c r="L61" s="309">
        <f>SUM(H59,I60)</f>
        <v>0</v>
      </c>
      <c r="N61" s="310"/>
      <c r="O61" s="218"/>
    </row>
    <row r="62" spans="1:15" ht="20.25" customHeight="1" thickTop="1" x14ac:dyDescent="0.3">
      <c r="A62" s="303"/>
      <c r="B62" s="299"/>
      <c r="D62" s="304"/>
      <c r="F62" s="305"/>
      <c r="G62" s="306"/>
      <c r="H62" s="307"/>
      <c r="J62" s="218"/>
      <c r="K62" s="441">
        <f>IF(L61&gt;0,"SAF-Personal:",)</f>
        <v>0</v>
      </c>
      <c r="L62" s="442"/>
      <c r="N62" s="310"/>
      <c r="O62" s="218"/>
    </row>
    <row r="63" spans="1:15" ht="20.25" customHeight="1" x14ac:dyDescent="0.3">
      <c r="A63" s="303" t="s">
        <v>142</v>
      </c>
      <c r="B63" s="299"/>
      <c r="D63" s="304"/>
      <c r="F63" s="305"/>
      <c r="G63" s="306"/>
      <c r="H63" s="307"/>
      <c r="J63" s="218"/>
      <c r="K63" s="441">
        <f>IF(L61&gt;0,"Lehrpersonal mit der Verwendung Stütz- und Begleitlehrer:",)</f>
        <v>0</v>
      </c>
      <c r="L63" s="442"/>
      <c r="N63" s="310"/>
      <c r="O63" s="218"/>
    </row>
    <row r="64" spans="1:15" ht="23.25" x14ac:dyDescent="0.35">
      <c r="A64" s="746"/>
      <c r="B64" s="746"/>
      <c r="C64" s="746"/>
      <c r="D64" s="746"/>
      <c r="E64" s="746"/>
      <c r="F64" s="746"/>
      <c r="G64" s="746"/>
      <c r="H64" s="746"/>
      <c r="I64" s="746"/>
      <c r="J64" s="746"/>
      <c r="K64" s="746"/>
      <c r="L64" s="746"/>
      <c r="M64" s="746"/>
      <c r="N64" s="312"/>
    </row>
    <row r="65" spans="1:14" ht="23.25" x14ac:dyDescent="0.35">
      <c r="A65" s="746"/>
      <c r="B65" s="746"/>
      <c r="C65" s="746"/>
      <c r="D65" s="746"/>
      <c r="E65" s="746"/>
      <c r="F65" s="746"/>
      <c r="G65" s="746"/>
      <c r="H65" s="746"/>
      <c r="I65" s="746"/>
      <c r="J65" s="746"/>
      <c r="K65" s="746"/>
      <c r="L65" s="746"/>
      <c r="M65" s="746"/>
      <c r="N65" s="312"/>
    </row>
    <row r="66" spans="1:14" ht="23.25" x14ac:dyDescent="0.35">
      <c r="A66" s="746"/>
      <c r="B66" s="746"/>
      <c r="C66" s="746"/>
      <c r="D66" s="746"/>
      <c r="E66" s="746"/>
      <c r="F66" s="746"/>
      <c r="G66" s="746"/>
      <c r="H66" s="746"/>
      <c r="I66" s="746"/>
      <c r="J66" s="746"/>
      <c r="K66" s="746"/>
      <c r="L66" s="746"/>
      <c r="M66" s="746"/>
      <c r="N66" s="312"/>
    </row>
    <row r="67" spans="1:14" ht="23.25" x14ac:dyDescent="0.35">
      <c r="A67" s="746"/>
      <c r="B67" s="746"/>
      <c r="C67" s="746"/>
      <c r="D67" s="746"/>
      <c r="E67" s="746"/>
      <c r="F67" s="746"/>
      <c r="G67" s="746"/>
      <c r="H67" s="746"/>
      <c r="I67" s="746"/>
      <c r="J67" s="746"/>
      <c r="K67" s="746"/>
      <c r="L67" s="746"/>
      <c r="M67" s="746"/>
      <c r="N67" s="312"/>
    </row>
    <row r="68" spans="1:14" ht="23.25" x14ac:dyDescent="0.35">
      <c r="A68" s="746"/>
      <c r="B68" s="746"/>
      <c r="C68" s="746"/>
      <c r="D68" s="746"/>
      <c r="E68" s="746"/>
      <c r="F68" s="746"/>
      <c r="G68" s="746"/>
      <c r="H68" s="746"/>
      <c r="I68" s="746"/>
      <c r="J68" s="746"/>
      <c r="K68" s="746"/>
      <c r="L68" s="746"/>
      <c r="M68" s="746"/>
      <c r="N68" s="312"/>
    </row>
    <row r="69" spans="1:14" ht="23.25" x14ac:dyDescent="0.35">
      <c r="A69" s="746"/>
      <c r="B69" s="746"/>
      <c r="C69" s="746"/>
      <c r="D69" s="746"/>
      <c r="E69" s="746"/>
      <c r="F69" s="746"/>
      <c r="G69" s="746"/>
      <c r="H69" s="746"/>
      <c r="I69" s="746"/>
      <c r="J69" s="746"/>
      <c r="K69" s="746"/>
      <c r="L69" s="746"/>
      <c r="M69" s="746"/>
      <c r="N69" s="312"/>
    </row>
    <row r="70" spans="1:14" x14ac:dyDescent="0.25">
      <c r="A70" s="310"/>
      <c r="B70" s="310"/>
      <c r="C70" s="310"/>
      <c r="D70" s="310"/>
      <c r="E70" s="310"/>
      <c r="F70" s="310"/>
      <c r="G70" s="311"/>
      <c r="H70" s="310"/>
      <c r="I70" s="310"/>
      <c r="J70" s="311"/>
      <c r="K70" s="310"/>
      <c r="L70" s="310"/>
      <c r="M70" s="310"/>
      <c r="N70" s="310"/>
    </row>
    <row r="71" spans="1:14" ht="23.25" x14ac:dyDescent="0.35">
      <c r="A71" s="310"/>
      <c r="B71" s="310"/>
      <c r="C71" s="312"/>
      <c r="D71" s="310"/>
      <c r="E71" s="310"/>
      <c r="F71" s="310"/>
      <c r="G71" s="311"/>
      <c r="H71" s="310"/>
      <c r="I71" s="310"/>
      <c r="J71" s="311"/>
      <c r="K71" s="310"/>
      <c r="L71" s="310"/>
      <c r="M71" s="310"/>
      <c r="N71" s="310"/>
    </row>
    <row r="72" spans="1:14" s="318" customFormat="1" ht="23.25" x14ac:dyDescent="0.35">
      <c r="A72" s="313" t="s">
        <v>143</v>
      </c>
      <c r="B72" s="314"/>
      <c r="C72" s="315"/>
      <c r="D72" s="314"/>
      <c r="E72" s="316"/>
      <c r="F72" s="316"/>
      <c r="G72" s="317"/>
      <c r="H72" s="316"/>
      <c r="I72" s="316"/>
      <c r="J72" s="317"/>
      <c r="K72" s="316"/>
      <c r="L72" s="316"/>
      <c r="M72" s="316"/>
      <c r="N72" s="310"/>
    </row>
    <row r="73" spans="1:14" s="318" customFormat="1" x14ac:dyDescent="0.25">
      <c r="A73" s="319" t="s">
        <v>150</v>
      </c>
      <c r="B73" s="319">
        <v>21</v>
      </c>
      <c r="C73" s="320" t="s">
        <v>144</v>
      </c>
      <c r="D73" s="321"/>
      <c r="E73" s="319"/>
      <c r="F73" s="322" t="s">
        <v>135</v>
      </c>
      <c r="H73" s="323">
        <v>5</v>
      </c>
      <c r="I73" s="323"/>
      <c r="K73" s="319" t="s">
        <v>145</v>
      </c>
      <c r="L73" s="324"/>
      <c r="M73" s="325"/>
      <c r="N73" s="310"/>
    </row>
    <row r="74" spans="1:14" s="318" customFormat="1" x14ac:dyDescent="0.25">
      <c r="A74" s="319" t="s">
        <v>149</v>
      </c>
      <c r="B74" s="319">
        <v>19</v>
      </c>
      <c r="C74" s="320" t="s">
        <v>146</v>
      </c>
      <c r="D74" s="321"/>
      <c r="E74" s="319"/>
      <c r="F74" s="322" t="s">
        <v>135</v>
      </c>
      <c r="G74" s="326"/>
      <c r="H74" s="323">
        <v>7.5</v>
      </c>
      <c r="I74" s="323">
        <v>1.5</v>
      </c>
      <c r="J74" s="326"/>
      <c r="K74" s="319" t="s">
        <v>145</v>
      </c>
      <c r="L74" s="324" t="s">
        <v>145</v>
      </c>
      <c r="M74" s="325"/>
      <c r="N74" s="310"/>
    </row>
    <row r="75" spans="1:14" s="318" customFormat="1" x14ac:dyDescent="0.25">
      <c r="A75" s="319" t="s">
        <v>149</v>
      </c>
      <c r="B75" s="319">
        <v>19</v>
      </c>
      <c r="C75" s="320" t="s">
        <v>147</v>
      </c>
      <c r="D75" s="321"/>
      <c r="E75" s="319"/>
      <c r="F75" s="322" t="s">
        <v>136</v>
      </c>
      <c r="H75" s="323">
        <v>2</v>
      </c>
      <c r="I75" s="323"/>
      <c r="K75" s="319"/>
      <c r="L75" s="324" t="s">
        <v>148</v>
      </c>
      <c r="M75" s="325"/>
      <c r="N75" s="310"/>
    </row>
    <row r="76" spans="1:14" ht="23.25" x14ac:dyDescent="0.35">
      <c r="A76" s="310"/>
      <c r="B76" s="310"/>
      <c r="C76" s="312"/>
      <c r="D76" s="310"/>
      <c r="E76" s="310"/>
      <c r="F76" s="310"/>
      <c r="G76" s="311"/>
      <c r="H76" s="310"/>
      <c r="I76" s="310"/>
      <c r="J76" s="311"/>
      <c r="K76" s="310"/>
      <c r="L76" s="310"/>
      <c r="M76" s="310"/>
      <c r="N76" s="310"/>
    </row>
    <row r="77" spans="1:14" s="318" customFormat="1" hidden="1" x14ac:dyDescent="0.25">
      <c r="A77" s="327"/>
      <c r="B77" s="327"/>
      <c r="C77" s="327"/>
      <c r="D77" s="327"/>
      <c r="E77" s="327"/>
      <c r="F77" s="327"/>
      <c r="H77" s="327"/>
      <c r="I77" s="327"/>
      <c r="K77" s="327"/>
      <c r="L77" s="327"/>
      <c r="M77" s="327"/>
    </row>
    <row r="78" spans="1:14" s="318" customFormat="1" hidden="1" x14ac:dyDescent="0.25">
      <c r="A78" s="327"/>
      <c r="B78" s="327"/>
      <c r="C78" s="327"/>
      <c r="D78" s="327"/>
      <c r="E78" s="327"/>
      <c r="F78" s="327"/>
      <c r="H78" s="327"/>
      <c r="I78" s="327"/>
      <c r="K78" s="327"/>
      <c r="L78" s="327"/>
      <c r="M78" s="327"/>
    </row>
    <row r="79" spans="1:14" hidden="1" x14ac:dyDescent="0.25"/>
    <row r="80" spans="1: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sheetData>
  <sheetProtection algorithmName="SHA-512" hashValue="UUFiFBpj1o6ne7LHDprsydQMHqTEdkWpZvsiKIxYjby54Fu6wmUWyqN2Kbn0y623rXv/UEBBxd6nbHvjWfRE9w==" saltValue="pFZ7B6RvxPDsfzvKSz5v7A==" spinCount="100000" sheet="1" formatRows="0"/>
  <mergeCells count="6">
    <mergeCell ref="A64:M69"/>
    <mergeCell ref="H4:H7"/>
    <mergeCell ref="I4:I7"/>
    <mergeCell ref="K4:K7"/>
    <mergeCell ref="L4:L7"/>
    <mergeCell ref="F5:F6"/>
  </mergeCells>
  <conditionalFormatting sqref="F14:F57 H14:I57 K14:K57">
    <cfRule type="expression" dxfId="104" priority="64">
      <formula>$C14&gt;0</formula>
    </cfRule>
  </conditionalFormatting>
  <conditionalFormatting sqref="F54:F55 H54:I55 K54:K55">
    <cfRule type="expression" dxfId="103" priority="29">
      <formula>$C54&gt;0</formula>
    </cfRule>
  </conditionalFormatting>
  <conditionalFormatting sqref="K63">
    <cfRule type="expression" dxfId="102" priority="17">
      <formula>$L$61=0</formula>
    </cfRule>
  </conditionalFormatting>
  <conditionalFormatting sqref="K62">
    <cfRule type="expression" dxfId="101" priority="16">
      <formula>$L$61=0</formula>
    </cfRule>
  </conditionalFormatting>
  <conditionalFormatting sqref="L62">
    <cfRule type="expression" dxfId="100" priority="4">
      <formula>L61=0</formula>
    </cfRule>
  </conditionalFormatting>
  <conditionalFormatting sqref="L62">
    <cfRule type="expression" dxfId="99" priority="5">
      <formula>SUM(L62:L63)=L61</formula>
    </cfRule>
    <cfRule type="expression" dxfId="98" priority="6">
      <formula>SUM(L62:L63)&lt;&gt;L61</formula>
    </cfRule>
  </conditionalFormatting>
  <conditionalFormatting sqref="L63">
    <cfRule type="expression" dxfId="97" priority="1">
      <formula>$L$61=0</formula>
    </cfRule>
  </conditionalFormatting>
  <conditionalFormatting sqref="L63">
    <cfRule type="expression" dxfId="96" priority="2">
      <formula>SUM($L$62:$L$63)=$L$61</formula>
    </cfRule>
    <cfRule type="expression" dxfId="95" priority="3">
      <formula>SUM($L$62:$L$63)&lt;&gt;$L$61</formula>
    </cfRule>
  </conditionalFormatting>
  <dataValidations count="9">
    <dataValidation allowBlank="1" showInputMessage="1" showErrorMessage="1" prompt="Beispiele zum Ausfüllen_x000a_siehe unten in den Zeilen 36 bis 38" sqref="A9"/>
    <dataValidation type="whole" allowBlank="1" showInputMessage="1" showErrorMessage="1" error="Bitte eine gültige Zahl eingeben" prompt="Beispiele zum Ausfüllen_x000a_siehe unten in den Zeilen 36 bis 38" sqref="B9">
      <formula1>0</formula1>
      <formula2>33</formula2>
    </dataValidation>
    <dataValidation type="list" allowBlank="1" showDropDown="1" showInputMessage="1" showErrorMessage="1" prompt="Bitte &quot;X&quot; eingeben bei Zutreffen" sqref="K9:L11">
      <formula1>"X,x"</formula1>
    </dataValidation>
    <dataValidation type="list" allowBlank="1" showInputMessage="1" showErrorMessage="1" sqref="F983020:F983079 F917484:F917543 F851948:F852007 F786412:F786471 F720876:F720935 F655340:F655399 F589804:F589863 F524268:F524327 F458732:F458791 F393196:F393255 F327660:F327719 F262124:F262183 F196588:F196647 F131052:F131111 F65516:F65575 F9:F57">
      <formula1>$O$9:$O$12</formula1>
    </dataValidation>
    <dataValidation type="decimal" allowBlank="1" showInputMessage="1" showErrorMessage="1" errorTitle="Zu viele Stunden" error="Es können nicht mehr Stunden vergeben werden, als beantragt wurden." sqref="L62">
      <formula1>0</formula1>
      <formula2>L61</formula2>
    </dataValidation>
    <dataValidation type="decimal" showInputMessage="1" showErrorMessage="1" errorTitle="Zu viele Stunden" error="Durch Lehrpersonen dürfen nur Assistenzleistungen im Unterricht geleistet werden._x000a_Es wurden mehr Stunden eingegeben, als für diesen Bereich beantragt wurden bzw. wurde die Gesamtanzahl überschritten." promptTitle="Nur Unterricht" prompt="Ausschließlich Lehrpersonen, welche eine Verwendung als &quot;Stütz- und BegleitlehrerInnen&quot; haben, dürfen Assistenzleistungen im Unterricht  erbringen._x000a__x000a_Nicht jedoch im Freizeitbereich." sqref="L63">
      <formula1>0</formula1>
      <formula2>IF(L61-L62&lt;H59,L61-L62,H59)</formula2>
    </dataValidation>
    <dataValidation type="whole" allowBlank="1" showInputMessage="1" showErrorMessage="1" error="Bitte eine gültige Zahl eingeben" sqref="B10:B57">
      <formula1>0</formula1>
      <formula2>33</formula2>
    </dataValidation>
    <dataValidation type="list" allowBlank="1" showDropDown="1" showInputMessage="1" showErrorMessage="1" error="Bitte &quot;X&quot; eingeben bei Zutreffen" sqref="K12:L57">
      <formula1>"X,x"</formula1>
    </dataValidation>
    <dataValidation type="decimal" allowBlank="1" showInputMessage="1" showErrorMessage="1" error="Bitte eine gültige Zahl eingeben" sqref="H9:I57">
      <formula1>-8</formula1>
      <formula2>33</formula2>
    </dataValidation>
  </dataValidations>
  <printOptions horizontalCentered="1" verticalCentered="1"/>
  <pageMargins left="0.59055118110236227" right="0.35433070866141736" top="0.62992125984251968" bottom="0.62992125984251968" header="0.31496062992125984" footer="0.31496062992125984"/>
  <pageSetup paperSize="9" fitToHeight="0" orientation="portrait" horizontalDpi="4294967293" r:id="rId1"/>
  <headerFooter>
    <oddFooter>&amp;C&amp;5&amp;Z&amp;11&amp;F&amp;R&amp;D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39997558519241921"/>
    <pageSetUpPr fitToPage="1"/>
  </sheetPr>
  <dimension ref="A1:P148"/>
  <sheetViews>
    <sheetView showGridLines="0" zoomScale="130" zoomScaleNormal="130" workbookViewId="0">
      <pane ySplit="7" topLeftCell="A8" activePane="bottomLeft" state="frozen"/>
      <selection activeCell="I22" sqref="I22"/>
      <selection pane="bottomLeft" activeCell="J1" sqref="J1:M1"/>
    </sheetView>
  </sheetViews>
  <sheetFormatPr baseColWidth="10" defaultColWidth="12.85546875" defaultRowHeight="0" customHeight="1" zeroHeight="1" x14ac:dyDescent="0.25"/>
  <cols>
    <col min="1" max="1" width="5.5703125" style="378" customWidth="1"/>
    <col min="2" max="3" width="4.140625" style="379" customWidth="1"/>
    <col min="4" max="4" width="9.7109375" style="378" customWidth="1"/>
    <col min="5" max="5" width="30.28515625" style="378" customWidth="1"/>
    <col min="6" max="6" width="5.7109375" style="378" bestFit="1" customWidth="1"/>
    <col min="7" max="7" width="5.7109375" style="378" customWidth="1"/>
    <col min="8" max="8" width="5.7109375" style="378" bestFit="1" customWidth="1"/>
    <col min="9" max="12" width="5.7109375" style="378" customWidth="1"/>
    <col min="13" max="13" width="7.28515625" style="378" customWidth="1"/>
    <col min="14" max="14" width="8" style="378" customWidth="1"/>
    <col min="15" max="15" width="29.7109375" style="688" customWidth="1"/>
    <col min="16" max="16" width="0" style="378" hidden="1" customWidth="1"/>
    <col min="17" max="236" width="12.85546875" style="378"/>
    <col min="237" max="237" width="7.5703125" style="378" customWidth="1"/>
    <col min="238" max="239" width="6.140625" style="378" customWidth="1"/>
    <col min="240" max="240" width="7.5703125" style="378" customWidth="1"/>
    <col min="241" max="241" width="30.28515625" style="378" customWidth="1"/>
    <col min="242" max="242" width="7.42578125" style="378" customWidth="1"/>
    <col min="243" max="243" width="4.7109375" style="378" customWidth="1"/>
    <col min="244" max="244" width="6.85546875" style="378" customWidth="1"/>
    <col min="245" max="245" width="7.42578125" style="378" customWidth="1"/>
    <col min="246" max="246" width="7.28515625" style="378" customWidth="1"/>
    <col min="247" max="247" width="0" style="378" hidden="1" customWidth="1"/>
    <col min="248" max="250" width="7.28515625" style="378" customWidth="1"/>
    <col min="251" max="251" width="8" style="378" customWidth="1"/>
    <col min="252" max="252" width="37.7109375" style="378" customWidth="1"/>
    <col min="253" max="253" width="3.5703125" style="378" customWidth="1"/>
    <col min="254" max="263" width="4.140625" style="378" customWidth="1"/>
    <col min="264" max="267" width="5.28515625" style="378" customWidth="1"/>
    <col min="268" max="492" width="12.85546875" style="378"/>
    <col min="493" max="493" width="7.5703125" style="378" customWidth="1"/>
    <col min="494" max="495" width="6.140625" style="378" customWidth="1"/>
    <col min="496" max="496" width="7.5703125" style="378" customWidth="1"/>
    <col min="497" max="497" width="30.28515625" style="378" customWidth="1"/>
    <col min="498" max="498" width="7.42578125" style="378" customWidth="1"/>
    <col min="499" max="499" width="4.7109375" style="378" customWidth="1"/>
    <col min="500" max="500" width="6.85546875" style="378" customWidth="1"/>
    <col min="501" max="501" width="7.42578125" style="378" customWidth="1"/>
    <col min="502" max="502" width="7.28515625" style="378" customWidth="1"/>
    <col min="503" max="503" width="0" style="378" hidden="1" customWidth="1"/>
    <col min="504" max="506" width="7.28515625" style="378" customWidth="1"/>
    <col min="507" max="507" width="8" style="378" customWidth="1"/>
    <col min="508" max="508" width="37.7109375" style="378" customWidth="1"/>
    <col min="509" max="509" width="3.5703125" style="378" customWidth="1"/>
    <col min="510" max="519" width="4.140625" style="378" customWidth="1"/>
    <col min="520" max="523" width="5.28515625" style="378" customWidth="1"/>
    <col min="524" max="748" width="12.85546875" style="378"/>
    <col min="749" max="749" width="7.5703125" style="378" customWidth="1"/>
    <col min="750" max="751" width="6.140625" style="378" customWidth="1"/>
    <col min="752" max="752" width="7.5703125" style="378" customWidth="1"/>
    <col min="753" max="753" width="30.28515625" style="378" customWidth="1"/>
    <col min="754" max="754" width="7.42578125" style="378" customWidth="1"/>
    <col min="755" max="755" width="4.7109375" style="378" customWidth="1"/>
    <col min="756" max="756" width="6.85546875" style="378" customWidth="1"/>
    <col min="757" max="757" width="7.42578125" style="378" customWidth="1"/>
    <col min="758" max="758" width="7.28515625" style="378" customWidth="1"/>
    <col min="759" max="759" width="0" style="378" hidden="1" customWidth="1"/>
    <col min="760" max="762" width="7.28515625" style="378" customWidth="1"/>
    <col min="763" max="763" width="8" style="378" customWidth="1"/>
    <col min="764" max="764" width="37.7109375" style="378" customWidth="1"/>
    <col min="765" max="765" width="3.5703125" style="378" customWidth="1"/>
    <col min="766" max="775" width="4.140625" style="378" customWidth="1"/>
    <col min="776" max="779" width="5.28515625" style="378" customWidth="1"/>
    <col min="780" max="1004" width="12.85546875" style="378"/>
    <col min="1005" max="1005" width="7.5703125" style="378" customWidth="1"/>
    <col min="1006" max="1007" width="6.140625" style="378" customWidth="1"/>
    <col min="1008" max="1008" width="7.5703125" style="378" customWidth="1"/>
    <col min="1009" max="1009" width="30.28515625" style="378" customWidth="1"/>
    <col min="1010" max="1010" width="7.42578125" style="378" customWidth="1"/>
    <col min="1011" max="1011" width="4.7109375" style="378" customWidth="1"/>
    <col min="1012" max="1012" width="6.85546875" style="378" customWidth="1"/>
    <col min="1013" max="1013" width="7.42578125" style="378" customWidth="1"/>
    <col min="1014" max="1014" width="7.28515625" style="378" customWidth="1"/>
    <col min="1015" max="1015" width="0" style="378" hidden="1" customWidth="1"/>
    <col min="1016" max="1018" width="7.28515625" style="378" customWidth="1"/>
    <col min="1019" max="1019" width="8" style="378" customWidth="1"/>
    <col min="1020" max="1020" width="37.7109375" style="378" customWidth="1"/>
    <col min="1021" max="1021" width="3.5703125" style="378" customWidth="1"/>
    <col min="1022" max="1031" width="4.140625" style="378" customWidth="1"/>
    <col min="1032" max="1035" width="5.28515625" style="378" customWidth="1"/>
    <col min="1036" max="1260" width="12.85546875" style="378"/>
    <col min="1261" max="1261" width="7.5703125" style="378" customWidth="1"/>
    <col min="1262" max="1263" width="6.140625" style="378" customWidth="1"/>
    <col min="1264" max="1264" width="7.5703125" style="378" customWidth="1"/>
    <col min="1265" max="1265" width="30.28515625" style="378" customWidth="1"/>
    <col min="1266" max="1266" width="7.42578125" style="378" customWidth="1"/>
    <col min="1267" max="1267" width="4.7109375" style="378" customWidth="1"/>
    <col min="1268" max="1268" width="6.85546875" style="378" customWidth="1"/>
    <col min="1269" max="1269" width="7.42578125" style="378" customWidth="1"/>
    <col min="1270" max="1270" width="7.28515625" style="378" customWidth="1"/>
    <col min="1271" max="1271" width="0" style="378" hidden="1" customWidth="1"/>
    <col min="1272" max="1274" width="7.28515625" style="378" customWidth="1"/>
    <col min="1275" max="1275" width="8" style="378" customWidth="1"/>
    <col min="1276" max="1276" width="37.7109375" style="378" customWidth="1"/>
    <col min="1277" max="1277" width="3.5703125" style="378" customWidth="1"/>
    <col min="1278" max="1287" width="4.140625" style="378" customWidth="1"/>
    <col min="1288" max="1291" width="5.28515625" style="378" customWidth="1"/>
    <col min="1292" max="1516" width="12.85546875" style="378"/>
    <col min="1517" max="1517" width="7.5703125" style="378" customWidth="1"/>
    <col min="1518" max="1519" width="6.140625" style="378" customWidth="1"/>
    <col min="1520" max="1520" width="7.5703125" style="378" customWidth="1"/>
    <col min="1521" max="1521" width="30.28515625" style="378" customWidth="1"/>
    <col min="1522" max="1522" width="7.42578125" style="378" customWidth="1"/>
    <col min="1523" max="1523" width="4.7109375" style="378" customWidth="1"/>
    <col min="1524" max="1524" width="6.85546875" style="378" customWidth="1"/>
    <col min="1525" max="1525" width="7.42578125" style="378" customWidth="1"/>
    <col min="1526" max="1526" width="7.28515625" style="378" customWidth="1"/>
    <col min="1527" max="1527" width="0" style="378" hidden="1" customWidth="1"/>
    <col min="1528" max="1530" width="7.28515625" style="378" customWidth="1"/>
    <col min="1531" max="1531" width="8" style="378" customWidth="1"/>
    <col min="1532" max="1532" width="37.7109375" style="378" customWidth="1"/>
    <col min="1533" max="1533" width="3.5703125" style="378" customWidth="1"/>
    <col min="1534" max="1543" width="4.140625" style="378" customWidth="1"/>
    <col min="1544" max="1547" width="5.28515625" style="378" customWidth="1"/>
    <col min="1548" max="1772" width="12.85546875" style="378"/>
    <col min="1773" max="1773" width="7.5703125" style="378" customWidth="1"/>
    <col min="1774" max="1775" width="6.140625" style="378" customWidth="1"/>
    <col min="1776" max="1776" width="7.5703125" style="378" customWidth="1"/>
    <col min="1777" max="1777" width="30.28515625" style="378" customWidth="1"/>
    <col min="1778" max="1778" width="7.42578125" style="378" customWidth="1"/>
    <col min="1779" max="1779" width="4.7109375" style="378" customWidth="1"/>
    <col min="1780" max="1780" width="6.85546875" style="378" customWidth="1"/>
    <col min="1781" max="1781" width="7.42578125" style="378" customWidth="1"/>
    <col min="1782" max="1782" width="7.28515625" style="378" customWidth="1"/>
    <col min="1783" max="1783" width="0" style="378" hidden="1" customWidth="1"/>
    <col min="1784" max="1786" width="7.28515625" style="378" customWidth="1"/>
    <col min="1787" max="1787" width="8" style="378" customWidth="1"/>
    <col min="1788" max="1788" width="37.7109375" style="378" customWidth="1"/>
    <col min="1789" max="1789" width="3.5703125" style="378" customWidth="1"/>
    <col min="1790" max="1799" width="4.140625" style="378" customWidth="1"/>
    <col min="1800" max="1803" width="5.28515625" style="378" customWidth="1"/>
    <col min="1804" max="2028" width="12.85546875" style="378"/>
    <col min="2029" max="2029" width="7.5703125" style="378" customWidth="1"/>
    <col min="2030" max="2031" width="6.140625" style="378" customWidth="1"/>
    <col min="2032" max="2032" width="7.5703125" style="378" customWidth="1"/>
    <col min="2033" max="2033" width="30.28515625" style="378" customWidth="1"/>
    <col min="2034" max="2034" width="7.42578125" style="378" customWidth="1"/>
    <col min="2035" max="2035" width="4.7109375" style="378" customWidth="1"/>
    <col min="2036" max="2036" width="6.85546875" style="378" customWidth="1"/>
    <col min="2037" max="2037" width="7.42578125" style="378" customWidth="1"/>
    <col min="2038" max="2038" width="7.28515625" style="378" customWidth="1"/>
    <col min="2039" max="2039" width="0" style="378" hidden="1" customWidth="1"/>
    <col min="2040" max="2042" width="7.28515625" style="378" customWidth="1"/>
    <col min="2043" max="2043" width="8" style="378" customWidth="1"/>
    <col min="2044" max="2044" width="37.7109375" style="378" customWidth="1"/>
    <col min="2045" max="2045" width="3.5703125" style="378" customWidth="1"/>
    <col min="2046" max="2055" width="4.140625" style="378" customWidth="1"/>
    <col min="2056" max="2059" width="5.28515625" style="378" customWidth="1"/>
    <col min="2060" max="2284" width="12.85546875" style="378"/>
    <col min="2285" max="2285" width="7.5703125" style="378" customWidth="1"/>
    <col min="2286" max="2287" width="6.140625" style="378" customWidth="1"/>
    <col min="2288" max="2288" width="7.5703125" style="378" customWidth="1"/>
    <col min="2289" max="2289" width="30.28515625" style="378" customWidth="1"/>
    <col min="2290" max="2290" width="7.42578125" style="378" customWidth="1"/>
    <col min="2291" max="2291" width="4.7109375" style="378" customWidth="1"/>
    <col min="2292" max="2292" width="6.85546875" style="378" customWidth="1"/>
    <col min="2293" max="2293" width="7.42578125" style="378" customWidth="1"/>
    <col min="2294" max="2294" width="7.28515625" style="378" customWidth="1"/>
    <col min="2295" max="2295" width="0" style="378" hidden="1" customWidth="1"/>
    <col min="2296" max="2298" width="7.28515625" style="378" customWidth="1"/>
    <col min="2299" max="2299" width="8" style="378" customWidth="1"/>
    <col min="2300" max="2300" width="37.7109375" style="378" customWidth="1"/>
    <col min="2301" max="2301" width="3.5703125" style="378" customWidth="1"/>
    <col min="2302" max="2311" width="4.140625" style="378" customWidth="1"/>
    <col min="2312" max="2315" width="5.28515625" style="378" customWidth="1"/>
    <col min="2316" max="2540" width="12.85546875" style="378"/>
    <col min="2541" max="2541" width="7.5703125" style="378" customWidth="1"/>
    <col min="2542" max="2543" width="6.140625" style="378" customWidth="1"/>
    <col min="2544" max="2544" width="7.5703125" style="378" customWidth="1"/>
    <col min="2545" max="2545" width="30.28515625" style="378" customWidth="1"/>
    <col min="2546" max="2546" width="7.42578125" style="378" customWidth="1"/>
    <col min="2547" max="2547" width="4.7109375" style="378" customWidth="1"/>
    <col min="2548" max="2548" width="6.85546875" style="378" customWidth="1"/>
    <col min="2549" max="2549" width="7.42578125" style="378" customWidth="1"/>
    <col min="2550" max="2550" width="7.28515625" style="378" customWidth="1"/>
    <col min="2551" max="2551" width="0" style="378" hidden="1" customWidth="1"/>
    <col min="2552" max="2554" width="7.28515625" style="378" customWidth="1"/>
    <col min="2555" max="2555" width="8" style="378" customWidth="1"/>
    <col min="2556" max="2556" width="37.7109375" style="378" customWidth="1"/>
    <col min="2557" max="2557" width="3.5703125" style="378" customWidth="1"/>
    <col min="2558" max="2567" width="4.140625" style="378" customWidth="1"/>
    <col min="2568" max="2571" width="5.28515625" style="378" customWidth="1"/>
    <col min="2572" max="2796" width="12.85546875" style="378"/>
    <col min="2797" max="2797" width="7.5703125" style="378" customWidth="1"/>
    <col min="2798" max="2799" width="6.140625" style="378" customWidth="1"/>
    <col min="2800" max="2800" width="7.5703125" style="378" customWidth="1"/>
    <col min="2801" max="2801" width="30.28515625" style="378" customWidth="1"/>
    <col min="2802" max="2802" width="7.42578125" style="378" customWidth="1"/>
    <col min="2803" max="2803" width="4.7109375" style="378" customWidth="1"/>
    <col min="2804" max="2804" width="6.85546875" style="378" customWidth="1"/>
    <col min="2805" max="2805" width="7.42578125" style="378" customWidth="1"/>
    <col min="2806" max="2806" width="7.28515625" style="378" customWidth="1"/>
    <col min="2807" max="2807" width="0" style="378" hidden="1" customWidth="1"/>
    <col min="2808" max="2810" width="7.28515625" style="378" customWidth="1"/>
    <col min="2811" max="2811" width="8" style="378" customWidth="1"/>
    <col min="2812" max="2812" width="37.7109375" style="378" customWidth="1"/>
    <col min="2813" max="2813" width="3.5703125" style="378" customWidth="1"/>
    <col min="2814" max="2823" width="4.140625" style="378" customWidth="1"/>
    <col min="2824" max="2827" width="5.28515625" style="378" customWidth="1"/>
    <col min="2828" max="3052" width="12.85546875" style="378"/>
    <col min="3053" max="3053" width="7.5703125" style="378" customWidth="1"/>
    <col min="3054" max="3055" width="6.140625" style="378" customWidth="1"/>
    <col min="3056" max="3056" width="7.5703125" style="378" customWidth="1"/>
    <col min="3057" max="3057" width="30.28515625" style="378" customWidth="1"/>
    <col min="3058" max="3058" width="7.42578125" style="378" customWidth="1"/>
    <col min="3059" max="3059" width="4.7109375" style="378" customWidth="1"/>
    <col min="3060" max="3060" width="6.85546875" style="378" customWidth="1"/>
    <col min="3061" max="3061" width="7.42578125" style="378" customWidth="1"/>
    <col min="3062" max="3062" width="7.28515625" style="378" customWidth="1"/>
    <col min="3063" max="3063" width="0" style="378" hidden="1" customWidth="1"/>
    <col min="3064" max="3066" width="7.28515625" style="378" customWidth="1"/>
    <col min="3067" max="3067" width="8" style="378" customWidth="1"/>
    <col min="3068" max="3068" width="37.7109375" style="378" customWidth="1"/>
    <col min="3069" max="3069" width="3.5703125" style="378" customWidth="1"/>
    <col min="3070" max="3079" width="4.140625" style="378" customWidth="1"/>
    <col min="3080" max="3083" width="5.28515625" style="378" customWidth="1"/>
    <col min="3084" max="3308" width="12.85546875" style="378"/>
    <col min="3309" max="3309" width="7.5703125" style="378" customWidth="1"/>
    <col min="3310" max="3311" width="6.140625" style="378" customWidth="1"/>
    <col min="3312" max="3312" width="7.5703125" style="378" customWidth="1"/>
    <col min="3313" max="3313" width="30.28515625" style="378" customWidth="1"/>
    <col min="3314" max="3314" width="7.42578125" style="378" customWidth="1"/>
    <col min="3315" max="3315" width="4.7109375" style="378" customWidth="1"/>
    <col min="3316" max="3316" width="6.85546875" style="378" customWidth="1"/>
    <col min="3317" max="3317" width="7.42578125" style="378" customWidth="1"/>
    <col min="3318" max="3318" width="7.28515625" style="378" customWidth="1"/>
    <col min="3319" max="3319" width="0" style="378" hidden="1" customWidth="1"/>
    <col min="3320" max="3322" width="7.28515625" style="378" customWidth="1"/>
    <col min="3323" max="3323" width="8" style="378" customWidth="1"/>
    <col min="3324" max="3324" width="37.7109375" style="378" customWidth="1"/>
    <col min="3325" max="3325" width="3.5703125" style="378" customWidth="1"/>
    <col min="3326" max="3335" width="4.140625" style="378" customWidth="1"/>
    <col min="3336" max="3339" width="5.28515625" style="378" customWidth="1"/>
    <col min="3340" max="3564" width="12.85546875" style="378"/>
    <col min="3565" max="3565" width="7.5703125" style="378" customWidth="1"/>
    <col min="3566" max="3567" width="6.140625" style="378" customWidth="1"/>
    <col min="3568" max="3568" width="7.5703125" style="378" customWidth="1"/>
    <col min="3569" max="3569" width="30.28515625" style="378" customWidth="1"/>
    <col min="3570" max="3570" width="7.42578125" style="378" customWidth="1"/>
    <col min="3571" max="3571" width="4.7109375" style="378" customWidth="1"/>
    <col min="3572" max="3572" width="6.85546875" style="378" customWidth="1"/>
    <col min="3573" max="3573" width="7.42578125" style="378" customWidth="1"/>
    <col min="3574" max="3574" width="7.28515625" style="378" customWidth="1"/>
    <col min="3575" max="3575" width="0" style="378" hidden="1" customWidth="1"/>
    <col min="3576" max="3578" width="7.28515625" style="378" customWidth="1"/>
    <col min="3579" max="3579" width="8" style="378" customWidth="1"/>
    <col min="3580" max="3580" width="37.7109375" style="378" customWidth="1"/>
    <col min="3581" max="3581" width="3.5703125" style="378" customWidth="1"/>
    <col min="3582" max="3591" width="4.140625" style="378" customWidth="1"/>
    <col min="3592" max="3595" width="5.28515625" style="378" customWidth="1"/>
    <col min="3596" max="3820" width="12.85546875" style="378"/>
    <col min="3821" max="3821" width="7.5703125" style="378" customWidth="1"/>
    <col min="3822" max="3823" width="6.140625" style="378" customWidth="1"/>
    <col min="3824" max="3824" width="7.5703125" style="378" customWidth="1"/>
    <col min="3825" max="3825" width="30.28515625" style="378" customWidth="1"/>
    <col min="3826" max="3826" width="7.42578125" style="378" customWidth="1"/>
    <col min="3827" max="3827" width="4.7109375" style="378" customWidth="1"/>
    <col min="3828" max="3828" width="6.85546875" style="378" customWidth="1"/>
    <col min="3829" max="3829" width="7.42578125" style="378" customWidth="1"/>
    <col min="3830" max="3830" width="7.28515625" style="378" customWidth="1"/>
    <col min="3831" max="3831" width="0" style="378" hidden="1" customWidth="1"/>
    <col min="3832" max="3834" width="7.28515625" style="378" customWidth="1"/>
    <col min="3835" max="3835" width="8" style="378" customWidth="1"/>
    <col min="3836" max="3836" width="37.7109375" style="378" customWidth="1"/>
    <col min="3837" max="3837" width="3.5703125" style="378" customWidth="1"/>
    <col min="3838" max="3847" width="4.140625" style="378" customWidth="1"/>
    <col min="3848" max="3851" width="5.28515625" style="378" customWidth="1"/>
    <col min="3852" max="4076" width="12.85546875" style="378"/>
    <col min="4077" max="4077" width="7.5703125" style="378" customWidth="1"/>
    <col min="4078" max="4079" width="6.140625" style="378" customWidth="1"/>
    <col min="4080" max="4080" width="7.5703125" style="378" customWidth="1"/>
    <col min="4081" max="4081" width="30.28515625" style="378" customWidth="1"/>
    <col min="4082" max="4082" width="7.42578125" style="378" customWidth="1"/>
    <col min="4083" max="4083" width="4.7109375" style="378" customWidth="1"/>
    <col min="4084" max="4084" width="6.85546875" style="378" customWidth="1"/>
    <col min="4085" max="4085" width="7.42578125" style="378" customWidth="1"/>
    <col min="4086" max="4086" width="7.28515625" style="378" customWidth="1"/>
    <col min="4087" max="4087" width="0" style="378" hidden="1" customWidth="1"/>
    <col min="4088" max="4090" width="7.28515625" style="378" customWidth="1"/>
    <col min="4091" max="4091" width="8" style="378" customWidth="1"/>
    <col min="4092" max="4092" width="37.7109375" style="378" customWidth="1"/>
    <col min="4093" max="4093" width="3.5703125" style="378" customWidth="1"/>
    <col min="4094" max="4103" width="4.140625" style="378" customWidth="1"/>
    <col min="4104" max="4107" width="5.28515625" style="378" customWidth="1"/>
    <col min="4108" max="4332" width="12.85546875" style="378"/>
    <col min="4333" max="4333" width="7.5703125" style="378" customWidth="1"/>
    <col min="4334" max="4335" width="6.140625" style="378" customWidth="1"/>
    <col min="4336" max="4336" width="7.5703125" style="378" customWidth="1"/>
    <col min="4337" max="4337" width="30.28515625" style="378" customWidth="1"/>
    <col min="4338" max="4338" width="7.42578125" style="378" customWidth="1"/>
    <col min="4339" max="4339" width="4.7109375" style="378" customWidth="1"/>
    <col min="4340" max="4340" width="6.85546875" style="378" customWidth="1"/>
    <col min="4341" max="4341" width="7.42578125" style="378" customWidth="1"/>
    <col min="4342" max="4342" width="7.28515625" style="378" customWidth="1"/>
    <col min="4343" max="4343" width="0" style="378" hidden="1" customWidth="1"/>
    <col min="4344" max="4346" width="7.28515625" style="378" customWidth="1"/>
    <col min="4347" max="4347" width="8" style="378" customWidth="1"/>
    <col min="4348" max="4348" width="37.7109375" style="378" customWidth="1"/>
    <col min="4349" max="4349" width="3.5703125" style="378" customWidth="1"/>
    <col min="4350" max="4359" width="4.140625" style="378" customWidth="1"/>
    <col min="4360" max="4363" width="5.28515625" style="378" customWidth="1"/>
    <col min="4364" max="4588" width="12.85546875" style="378"/>
    <col min="4589" max="4589" width="7.5703125" style="378" customWidth="1"/>
    <col min="4590" max="4591" width="6.140625" style="378" customWidth="1"/>
    <col min="4592" max="4592" width="7.5703125" style="378" customWidth="1"/>
    <col min="4593" max="4593" width="30.28515625" style="378" customWidth="1"/>
    <col min="4594" max="4594" width="7.42578125" style="378" customWidth="1"/>
    <col min="4595" max="4595" width="4.7109375" style="378" customWidth="1"/>
    <col min="4596" max="4596" width="6.85546875" style="378" customWidth="1"/>
    <col min="4597" max="4597" width="7.42578125" style="378" customWidth="1"/>
    <col min="4598" max="4598" width="7.28515625" style="378" customWidth="1"/>
    <col min="4599" max="4599" width="0" style="378" hidden="1" customWidth="1"/>
    <col min="4600" max="4602" width="7.28515625" style="378" customWidth="1"/>
    <col min="4603" max="4603" width="8" style="378" customWidth="1"/>
    <col min="4604" max="4604" width="37.7109375" style="378" customWidth="1"/>
    <col min="4605" max="4605" width="3.5703125" style="378" customWidth="1"/>
    <col min="4606" max="4615" width="4.140625" style="378" customWidth="1"/>
    <col min="4616" max="4619" width="5.28515625" style="378" customWidth="1"/>
    <col min="4620" max="4844" width="12.85546875" style="378"/>
    <col min="4845" max="4845" width="7.5703125" style="378" customWidth="1"/>
    <col min="4846" max="4847" width="6.140625" style="378" customWidth="1"/>
    <col min="4848" max="4848" width="7.5703125" style="378" customWidth="1"/>
    <col min="4849" max="4849" width="30.28515625" style="378" customWidth="1"/>
    <col min="4850" max="4850" width="7.42578125" style="378" customWidth="1"/>
    <col min="4851" max="4851" width="4.7109375" style="378" customWidth="1"/>
    <col min="4852" max="4852" width="6.85546875" style="378" customWidth="1"/>
    <col min="4853" max="4853" width="7.42578125" style="378" customWidth="1"/>
    <col min="4854" max="4854" width="7.28515625" style="378" customWidth="1"/>
    <col min="4855" max="4855" width="0" style="378" hidden="1" customWidth="1"/>
    <col min="4856" max="4858" width="7.28515625" style="378" customWidth="1"/>
    <col min="4859" max="4859" width="8" style="378" customWidth="1"/>
    <col min="4860" max="4860" width="37.7109375" style="378" customWidth="1"/>
    <col min="4861" max="4861" width="3.5703125" style="378" customWidth="1"/>
    <col min="4862" max="4871" width="4.140625" style="378" customWidth="1"/>
    <col min="4872" max="4875" width="5.28515625" style="378" customWidth="1"/>
    <col min="4876" max="5100" width="12.85546875" style="378"/>
    <col min="5101" max="5101" width="7.5703125" style="378" customWidth="1"/>
    <col min="5102" max="5103" width="6.140625" style="378" customWidth="1"/>
    <col min="5104" max="5104" width="7.5703125" style="378" customWidth="1"/>
    <col min="5105" max="5105" width="30.28515625" style="378" customWidth="1"/>
    <col min="5106" max="5106" width="7.42578125" style="378" customWidth="1"/>
    <col min="5107" max="5107" width="4.7109375" style="378" customWidth="1"/>
    <col min="5108" max="5108" width="6.85546875" style="378" customWidth="1"/>
    <col min="5109" max="5109" width="7.42578125" style="378" customWidth="1"/>
    <col min="5110" max="5110" width="7.28515625" style="378" customWidth="1"/>
    <col min="5111" max="5111" width="0" style="378" hidden="1" customWidth="1"/>
    <col min="5112" max="5114" width="7.28515625" style="378" customWidth="1"/>
    <col min="5115" max="5115" width="8" style="378" customWidth="1"/>
    <col min="5116" max="5116" width="37.7109375" style="378" customWidth="1"/>
    <col min="5117" max="5117" width="3.5703125" style="378" customWidth="1"/>
    <col min="5118" max="5127" width="4.140625" style="378" customWidth="1"/>
    <col min="5128" max="5131" width="5.28515625" style="378" customWidth="1"/>
    <col min="5132" max="5356" width="12.85546875" style="378"/>
    <col min="5357" max="5357" width="7.5703125" style="378" customWidth="1"/>
    <col min="5358" max="5359" width="6.140625" style="378" customWidth="1"/>
    <col min="5360" max="5360" width="7.5703125" style="378" customWidth="1"/>
    <col min="5361" max="5361" width="30.28515625" style="378" customWidth="1"/>
    <col min="5362" max="5362" width="7.42578125" style="378" customWidth="1"/>
    <col min="5363" max="5363" width="4.7109375" style="378" customWidth="1"/>
    <col min="5364" max="5364" width="6.85546875" style="378" customWidth="1"/>
    <col min="5365" max="5365" width="7.42578125" style="378" customWidth="1"/>
    <col min="5366" max="5366" width="7.28515625" style="378" customWidth="1"/>
    <col min="5367" max="5367" width="0" style="378" hidden="1" customWidth="1"/>
    <col min="5368" max="5370" width="7.28515625" style="378" customWidth="1"/>
    <col min="5371" max="5371" width="8" style="378" customWidth="1"/>
    <col min="5372" max="5372" width="37.7109375" style="378" customWidth="1"/>
    <col min="5373" max="5373" width="3.5703125" style="378" customWidth="1"/>
    <col min="5374" max="5383" width="4.140625" style="378" customWidth="1"/>
    <col min="5384" max="5387" width="5.28515625" style="378" customWidth="1"/>
    <col min="5388" max="5612" width="12.85546875" style="378"/>
    <col min="5613" max="5613" width="7.5703125" style="378" customWidth="1"/>
    <col min="5614" max="5615" width="6.140625" style="378" customWidth="1"/>
    <col min="5616" max="5616" width="7.5703125" style="378" customWidth="1"/>
    <col min="5617" max="5617" width="30.28515625" style="378" customWidth="1"/>
    <col min="5618" max="5618" width="7.42578125" style="378" customWidth="1"/>
    <col min="5619" max="5619" width="4.7109375" style="378" customWidth="1"/>
    <col min="5620" max="5620" width="6.85546875" style="378" customWidth="1"/>
    <col min="5621" max="5621" width="7.42578125" style="378" customWidth="1"/>
    <col min="5622" max="5622" width="7.28515625" style="378" customWidth="1"/>
    <col min="5623" max="5623" width="0" style="378" hidden="1" customWidth="1"/>
    <col min="5624" max="5626" width="7.28515625" style="378" customWidth="1"/>
    <col min="5627" max="5627" width="8" style="378" customWidth="1"/>
    <col min="5628" max="5628" width="37.7109375" style="378" customWidth="1"/>
    <col min="5629" max="5629" width="3.5703125" style="378" customWidth="1"/>
    <col min="5630" max="5639" width="4.140625" style="378" customWidth="1"/>
    <col min="5640" max="5643" width="5.28515625" style="378" customWidth="1"/>
    <col min="5644" max="5868" width="12.85546875" style="378"/>
    <col min="5869" max="5869" width="7.5703125" style="378" customWidth="1"/>
    <col min="5870" max="5871" width="6.140625" style="378" customWidth="1"/>
    <col min="5872" max="5872" width="7.5703125" style="378" customWidth="1"/>
    <col min="5873" max="5873" width="30.28515625" style="378" customWidth="1"/>
    <col min="5874" max="5874" width="7.42578125" style="378" customWidth="1"/>
    <col min="5875" max="5875" width="4.7109375" style="378" customWidth="1"/>
    <col min="5876" max="5876" width="6.85546875" style="378" customWidth="1"/>
    <col min="5877" max="5877" width="7.42578125" style="378" customWidth="1"/>
    <col min="5878" max="5878" width="7.28515625" style="378" customWidth="1"/>
    <col min="5879" max="5879" width="0" style="378" hidden="1" customWidth="1"/>
    <col min="5880" max="5882" width="7.28515625" style="378" customWidth="1"/>
    <col min="5883" max="5883" width="8" style="378" customWidth="1"/>
    <col min="5884" max="5884" width="37.7109375" style="378" customWidth="1"/>
    <col min="5885" max="5885" width="3.5703125" style="378" customWidth="1"/>
    <col min="5886" max="5895" width="4.140625" style="378" customWidth="1"/>
    <col min="5896" max="5899" width="5.28515625" style="378" customWidth="1"/>
    <col min="5900" max="6124" width="12.85546875" style="378"/>
    <col min="6125" max="6125" width="7.5703125" style="378" customWidth="1"/>
    <col min="6126" max="6127" width="6.140625" style="378" customWidth="1"/>
    <col min="6128" max="6128" width="7.5703125" style="378" customWidth="1"/>
    <col min="6129" max="6129" width="30.28515625" style="378" customWidth="1"/>
    <col min="6130" max="6130" width="7.42578125" style="378" customWidth="1"/>
    <col min="6131" max="6131" width="4.7109375" style="378" customWidth="1"/>
    <col min="6132" max="6132" width="6.85546875" style="378" customWidth="1"/>
    <col min="6133" max="6133" width="7.42578125" style="378" customWidth="1"/>
    <col min="6134" max="6134" width="7.28515625" style="378" customWidth="1"/>
    <col min="6135" max="6135" width="0" style="378" hidden="1" customWidth="1"/>
    <col min="6136" max="6138" width="7.28515625" style="378" customWidth="1"/>
    <col min="6139" max="6139" width="8" style="378" customWidth="1"/>
    <col min="6140" max="6140" width="37.7109375" style="378" customWidth="1"/>
    <col min="6141" max="6141" width="3.5703125" style="378" customWidth="1"/>
    <col min="6142" max="6151" width="4.140625" style="378" customWidth="1"/>
    <col min="6152" max="6155" width="5.28515625" style="378" customWidth="1"/>
    <col min="6156" max="6380" width="12.85546875" style="378"/>
    <col min="6381" max="6381" width="7.5703125" style="378" customWidth="1"/>
    <col min="6382" max="6383" width="6.140625" style="378" customWidth="1"/>
    <col min="6384" max="6384" width="7.5703125" style="378" customWidth="1"/>
    <col min="6385" max="6385" width="30.28515625" style="378" customWidth="1"/>
    <col min="6386" max="6386" width="7.42578125" style="378" customWidth="1"/>
    <col min="6387" max="6387" width="4.7109375" style="378" customWidth="1"/>
    <col min="6388" max="6388" width="6.85546875" style="378" customWidth="1"/>
    <col min="6389" max="6389" width="7.42578125" style="378" customWidth="1"/>
    <col min="6390" max="6390" width="7.28515625" style="378" customWidth="1"/>
    <col min="6391" max="6391" width="0" style="378" hidden="1" customWidth="1"/>
    <col min="6392" max="6394" width="7.28515625" style="378" customWidth="1"/>
    <col min="6395" max="6395" width="8" style="378" customWidth="1"/>
    <col min="6396" max="6396" width="37.7109375" style="378" customWidth="1"/>
    <col min="6397" max="6397" width="3.5703125" style="378" customWidth="1"/>
    <col min="6398" max="6407" width="4.140625" style="378" customWidth="1"/>
    <col min="6408" max="6411" width="5.28515625" style="378" customWidth="1"/>
    <col min="6412" max="6636" width="12.85546875" style="378"/>
    <col min="6637" max="6637" width="7.5703125" style="378" customWidth="1"/>
    <col min="6638" max="6639" width="6.140625" style="378" customWidth="1"/>
    <col min="6640" max="6640" width="7.5703125" style="378" customWidth="1"/>
    <col min="6641" max="6641" width="30.28515625" style="378" customWidth="1"/>
    <col min="6642" max="6642" width="7.42578125" style="378" customWidth="1"/>
    <col min="6643" max="6643" width="4.7109375" style="378" customWidth="1"/>
    <col min="6644" max="6644" width="6.85546875" style="378" customWidth="1"/>
    <col min="6645" max="6645" width="7.42578125" style="378" customWidth="1"/>
    <col min="6646" max="6646" width="7.28515625" style="378" customWidth="1"/>
    <col min="6647" max="6647" width="0" style="378" hidden="1" customWidth="1"/>
    <col min="6648" max="6650" width="7.28515625" style="378" customWidth="1"/>
    <col min="6651" max="6651" width="8" style="378" customWidth="1"/>
    <col min="6652" max="6652" width="37.7109375" style="378" customWidth="1"/>
    <col min="6653" max="6653" width="3.5703125" style="378" customWidth="1"/>
    <col min="6654" max="6663" width="4.140625" style="378" customWidth="1"/>
    <col min="6664" max="6667" width="5.28515625" style="378" customWidth="1"/>
    <col min="6668" max="6892" width="12.85546875" style="378"/>
    <col min="6893" max="6893" width="7.5703125" style="378" customWidth="1"/>
    <col min="6894" max="6895" width="6.140625" style="378" customWidth="1"/>
    <col min="6896" max="6896" width="7.5703125" style="378" customWidth="1"/>
    <col min="6897" max="6897" width="30.28515625" style="378" customWidth="1"/>
    <col min="6898" max="6898" width="7.42578125" style="378" customWidth="1"/>
    <col min="6899" max="6899" width="4.7109375" style="378" customWidth="1"/>
    <col min="6900" max="6900" width="6.85546875" style="378" customWidth="1"/>
    <col min="6901" max="6901" width="7.42578125" style="378" customWidth="1"/>
    <col min="6902" max="6902" width="7.28515625" style="378" customWidth="1"/>
    <col min="6903" max="6903" width="0" style="378" hidden="1" customWidth="1"/>
    <col min="6904" max="6906" width="7.28515625" style="378" customWidth="1"/>
    <col min="6907" max="6907" width="8" style="378" customWidth="1"/>
    <col min="6908" max="6908" width="37.7109375" style="378" customWidth="1"/>
    <col min="6909" max="6909" width="3.5703125" style="378" customWidth="1"/>
    <col min="6910" max="6919" width="4.140625" style="378" customWidth="1"/>
    <col min="6920" max="6923" width="5.28515625" style="378" customWidth="1"/>
    <col min="6924" max="7148" width="12.85546875" style="378"/>
    <col min="7149" max="7149" width="7.5703125" style="378" customWidth="1"/>
    <col min="7150" max="7151" width="6.140625" style="378" customWidth="1"/>
    <col min="7152" max="7152" width="7.5703125" style="378" customWidth="1"/>
    <col min="7153" max="7153" width="30.28515625" style="378" customWidth="1"/>
    <col min="7154" max="7154" width="7.42578125" style="378" customWidth="1"/>
    <col min="7155" max="7155" width="4.7109375" style="378" customWidth="1"/>
    <col min="7156" max="7156" width="6.85546875" style="378" customWidth="1"/>
    <col min="7157" max="7157" width="7.42578125" style="378" customWidth="1"/>
    <col min="7158" max="7158" width="7.28515625" style="378" customWidth="1"/>
    <col min="7159" max="7159" width="0" style="378" hidden="1" customWidth="1"/>
    <col min="7160" max="7162" width="7.28515625" style="378" customWidth="1"/>
    <col min="7163" max="7163" width="8" style="378" customWidth="1"/>
    <col min="7164" max="7164" width="37.7109375" style="378" customWidth="1"/>
    <col min="7165" max="7165" width="3.5703125" style="378" customWidth="1"/>
    <col min="7166" max="7175" width="4.140625" style="378" customWidth="1"/>
    <col min="7176" max="7179" width="5.28515625" style="378" customWidth="1"/>
    <col min="7180" max="7404" width="12.85546875" style="378"/>
    <col min="7405" max="7405" width="7.5703125" style="378" customWidth="1"/>
    <col min="7406" max="7407" width="6.140625" style="378" customWidth="1"/>
    <col min="7408" max="7408" width="7.5703125" style="378" customWidth="1"/>
    <col min="7409" max="7409" width="30.28515625" style="378" customWidth="1"/>
    <col min="7410" max="7410" width="7.42578125" style="378" customWidth="1"/>
    <col min="7411" max="7411" width="4.7109375" style="378" customWidth="1"/>
    <col min="7412" max="7412" width="6.85546875" style="378" customWidth="1"/>
    <col min="7413" max="7413" width="7.42578125" style="378" customWidth="1"/>
    <col min="7414" max="7414" width="7.28515625" style="378" customWidth="1"/>
    <col min="7415" max="7415" width="0" style="378" hidden="1" customWidth="1"/>
    <col min="7416" max="7418" width="7.28515625" style="378" customWidth="1"/>
    <col min="7419" max="7419" width="8" style="378" customWidth="1"/>
    <col min="7420" max="7420" width="37.7109375" style="378" customWidth="1"/>
    <col min="7421" max="7421" width="3.5703125" style="378" customWidth="1"/>
    <col min="7422" max="7431" width="4.140625" style="378" customWidth="1"/>
    <col min="7432" max="7435" width="5.28515625" style="378" customWidth="1"/>
    <col min="7436" max="7660" width="12.85546875" style="378"/>
    <col min="7661" max="7661" width="7.5703125" style="378" customWidth="1"/>
    <col min="7662" max="7663" width="6.140625" style="378" customWidth="1"/>
    <col min="7664" max="7664" width="7.5703125" style="378" customWidth="1"/>
    <col min="7665" max="7665" width="30.28515625" style="378" customWidth="1"/>
    <col min="7666" max="7666" width="7.42578125" style="378" customWidth="1"/>
    <col min="7667" max="7667" width="4.7109375" style="378" customWidth="1"/>
    <col min="7668" max="7668" width="6.85546875" style="378" customWidth="1"/>
    <col min="7669" max="7669" width="7.42578125" style="378" customWidth="1"/>
    <col min="7670" max="7670" width="7.28515625" style="378" customWidth="1"/>
    <col min="7671" max="7671" width="0" style="378" hidden="1" customWidth="1"/>
    <col min="7672" max="7674" width="7.28515625" style="378" customWidth="1"/>
    <col min="7675" max="7675" width="8" style="378" customWidth="1"/>
    <col min="7676" max="7676" width="37.7109375" style="378" customWidth="1"/>
    <col min="7677" max="7677" width="3.5703125" style="378" customWidth="1"/>
    <col min="7678" max="7687" width="4.140625" style="378" customWidth="1"/>
    <col min="7688" max="7691" width="5.28515625" style="378" customWidth="1"/>
    <col min="7692" max="7916" width="12.85546875" style="378"/>
    <col min="7917" max="7917" width="7.5703125" style="378" customWidth="1"/>
    <col min="7918" max="7919" width="6.140625" style="378" customWidth="1"/>
    <col min="7920" max="7920" width="7.5703125" style="378" customWidth="1"/>
    <col min="7921" max="7921" width="30.28515625" style="378" customWidth="1"/>
    <col min="7922" max="7922" width="7.42578125" style="378" customWidth="1"/>
    <col min="7923" max="7923" width="4.7109375" style="378" customWidth="1"/>
    <col min="7924" max="7924" width="6.85546875" style="378" customWidth="1"/>
    <col min="7925" max="7925" width="7.42578125" style="378" customWidth="1"/>
    <col min="7926" max="7926" width="7.28515625" style="378" customWidth="1"/>
    <col min="7927" max="7927" width="0" style="378" hidden="1" customWidth="1"/>
    <col min="7928" max="7930" width="7.28515625" style="378" customWidth="1"/>
    <col min="7931" max="7931" width="8" style="378" customWidth="1"/>
    <col min="7932" max="7932" width="37.7109375" style="378" customWidth="1"/>
    <col min="7933" max="7933" width="3.5703125" style="378" customWidth="1"/>
    <col min="7934" max="7943" width="4.140625" style="378" customWidth="1"/>
    <col min="7944" max="7947" width="5.28515625" style="378" customWidth="1"/>
    <col min="7948" max="8172" width="12.85546875" style="378"/>
    <col min="8173" max="8173" width="7.5703125" style="378" customWidth="1"/>
    <col min="8174" max="8175" width="6.140625" style="378" customWidth="1"/>
    <col min="8176" max="8176" width="7.5703125" style="378" customWidth="1"/>
    <col min="8177" max="8177" width="30.28515625" style="378" customWidth="1"/>
    <col min="8178" max="8178" width="7.42578125" style="378" customWidth="1"/>
    <col min="8179" max="8179" width="4.7109375" style="378" customWidth="1"/>
    <col min="8180" max="8180" width="6.85546875" style="378" customWidth="1"/>
    <col min="8181" max="8181" width="7.42578125" style="378" customWidth="1"/>
    <col min="8182" max="8182" width="7.28515625" style="378" customWidth="1"/>
    <col min="8183" max="8183" width="0" style="378" hidden="1" customWidth="1"/>
    <col min="8184" max="8186" width="7.28515625" style="378" customWidth="1"/>
    <col min="8187" max="8187" width="8" style="378" customWidth="1"/>
    <col min="8188" max="8188" width="37.7109375" style="378" customWidth="1"/>
    <col min="8189" max="8189" width="3.5703125" style="378" customWidth="1"/>
    <col min="8190" max="8199" width="4.140625" style="378" customWidth="1"/>
    <col min="8200" max="8203" width="5.28515625" style="378" customWidth="1"/>
    <col min="8204" max="8428" width="12.85546875" style="378"/>
    <col min="8429" max="8429" width="7.5703125" style="378" customWidth="1"/>
    <col min="8430" max="8431" width="6.140625" style="378" customWidth="1"/>
    <col min="8432" max="8432" width="7.5703125" style="378" customWidth="1"/>
    <col min="8433" max="8433" width="30.28515625" style="378" customWidth="1"/>
    <col min="8434" max="8434" width="7.42578125" style="378" customWidth="1"/>
    <col min="8435" max="8435" width="4.7109375" style="378" customWidth="1"/>
    <col min="8436" max="8436" width="6.85546875" style="378" customWidth="1"/>
    <col min="8437" max="8437" width="7.42578125" style="378" customWidth="1"/>
    <col min="8438" max="8438" width="7.28515625" style="378" customWidth="1"/>
    <col min="8439" max="8439" width="0" style="378" hidden="1" customWidth="1"/>
    <col min="8440" max="8442" width="7.28515625" style="378" customWidth="1"/>
    <col min="8443" max="8443" width="8" style="378" customWidth="1"/>
    <col min="8444" max="8444" width="37.7109375" style="378" customWidth="1"/>
    <col min="8445" max="8445" width="3.5703125" style="378" customWidth="1"/>
    <col min="8446" max="8455" width="4.140625" style="378" customWidth="1"/>
    <col min="8456" max="8459" width="5.28515625" style="378" customWidth="1"/>
    <col min="8460" max="8684" width="12.85546875" style="378"/>
    <col min="8685" max="8685" width="7.5703125" style="378" customWidth="1"/>
    <col min="8686" max="8687" width="6.140625" style="378" customWidth="1"/>
    <col min="8688" max="8688" width="7.5703125" style="378" customWidth="1"/>
    <col min="8689" max="8689" width="30.28515625" style="378" customWidth="1"/>
    <col min="8690" max="8690" width="7.42578125" style="378" customWidth="1"/>
    <col min="8691" max="8691" width="4.7109375" style="378" customWidth="1"/>
    <col min="8692" max="8692" width="6.85546875" style="378" customWidth="1"/>
    <col min="8693" max="8693" width="7.42578125" style="378" customWidth="1"/>
    <col min="8694" max="8694" width="7.28515625" style="378" customWidth="1"/>
    <col min="8695" max="8695" width="0" style="378" hidden="1" customWidth="1"/>
    <col min="8696" max="8698" width="7.28515625" style="378" customWidth="1"/>
    <col min="8699" max="8699" width="8" style="378" customWidth="1"/>
    <col min="8700" max="8700" width="37.7109375" style="378" customWidth="1"/>
    <col min="8701" max="8701" width="3.5703125" style="378" customWidth="1"/>
    <col min="8702" max="8711" width="4.140625" style="378" customWidth="1"/>
    <col min="8712" max="8715" width="5.28515625" style="378" customWidth="1"/>
    <col min="8716" max="8940" width="12.85546875" style="378"/>
    <col min="8941" max="8941" width="7.5703125" style="378" customWidth="1"/>
    <col min="8942" max="8943" width="6.140625" style="378" customWidth="1"/>
    <col min="8944" max="8944" width="7.5703125" style="378" customWidth="1"/>
    <col min="8945" max="8945" width="30.28515625" style="378" customWidth="1"/>
    <col min="8946" max="8946" width="7.42578125" style="378" customWidth="1"/>
    <col min="8947" max="8947" width="4.7109375" style="378" customWidth="1"/>
    <col min="8948" max="8948" width="6.85546875" style="378" customWidth="1"/>
    <col min="8949" max="8949" width="7.42578125" style="378" customWidth="1"/>
    <col min="8950" max="8950" width="7.28515625" style="378" customWidth="1"/>
    <col min="8951" max="8951" width="0" style="378" hidden="1" customWidth="1"/>
    <col min="8952" max="8954" width="7.28515625" style="378" customWidth="1"/>
    <col min="8955" max="8955" width="8" style="378" customWidth="1"/>
    <col min="8956" max="8956" width="37.7109375" style="378" customWidth="1"/>
    <col min="8957" max="8957" width="3.5703125" style="378" customWidth="1"/>
    <col min="8958" max="8967" width="4.140625" style="378" customWidth="1"/>
    <col min="8968" max="8971" width="5.28515625" style="378" customWidth="1"/>
    <col min="8972" max="9196" width="12.85546875" style="378"/>
    <col min="9197" max="9197" width="7.5703125" style="378" customWidth="1"/>
    <col min="9198" max="9199" width="6.140625" style="378" customWidth="1"/>
    <col min="9200" max="9200" width="7.5703125" style="378" customWidth="1"/>
    <col min="9201" max="9201" width="30.28515625" style="378" customWidth="1"/>
    <col min="9202" max="9202" width="7.42578125" style="378" customWidth="1"/>
    <col min="9203" max="9203" width="4.7109375" style="378" customWidth="1"/>
    <col min="9204" max="9204" width="6.85546875" style="378" customWidth="1"/>
    <col min="9205" max="9205" width="7.42578125" style="378" customWidth="1"/>
    <col min="9206" max="9206" width="7.28515625" style="378" customWidth="1"/>
    <col min="9207" max="9207" width="0" style="378" hidden="1" customWidth="1"/>
    <col min="9208" max="9210" width="7.28515625" style="378" customWidth="1"/>
    <col min="9211" max="9211" width="8" style="378" customWidth="1"/>
    <col min="9212" max="9212" width="37.7109375" style="378" customWidth="1"/>
    <col min="9213" max="9213" width="3.5703125" style="378" customWidth="1"/>
    <col min="9214" max="9223" width="4.140625" style="378" customWidth="1"/>
    <col min="9224" max="9227" width="5.28515625" style="378" customWidth="1"/>
    <col min="9228" max="9452" width="12.85546875" style="378"/>
    <col min="9453" max="9453" width="7.5703125" style="378" customWidth="1"/>
    <col min="9454" max="9455" width="6.140625" style="378" customWidth="1"/>
    <col min="9456" max="9456" width="7.5703125" style="378" customWidth="1"/>
    <col min="9457" max="9457" width="30.28515625" style="378" customWidth="1"/>
    <col min="9458" max="9458" width="7.42578125" style="378" customWidth="1"/>
    <col min="9459" max="9459" width="4.7109375" style="378" customWidth="1"/>
    <col min="9460" max="9460" width="6.85546875" style="378" customWidth="1"/>
    <col min="9461" max="9461" width="7.42578125" style="378" customWidth="1"/>
    <col min="9462" max="9462" width="7.28515625" style="378" customWidth="1"/>
    <col min="9463" max="9463" width="0" style="378" hidden="1" customWidth="1"/>
    <col min="9464" max="9466" width="7.28515625" style="378" customWidth="1"/>
    <col min="9467" max="9467" width="8" style="378" customWidth="1"/>
    <col min="9468" max="9468" width="37.7109375" style="378" customWidth="1"/>
    <col min="9469" max="9469" width="3.5703125" style="378" customWidth="1"/>
    <col min="9470" max="9479" width="4.140625" style="378" customWidth="1"/>
    <col min="9480" max="9483" width="5.28515625" style="378" customWidth="1"/>
    <col min="9484" max="9708" width="12.85546875" style="378"/>
    <col min="9709" max="9709" width="7.5703125" style="378" customWidth="1"/>
    <col min="9710" max="9711" width="6.140625" style="378" customWidth="1"/>
    <col min="9712" max="9712" width="7.5703125" style="378" customWidth="1"/>
    <col min="9713" max="9713" width="30.28515625" style="378" customWidth="1"/>
    <col min="9714" max="9714" width="7.42578125" style="378" customWidth="1"/>
    <col min="9715" max="9715" width="4.7109375" style="378" customWidth="1"/>
    <col min="9716" max="9716" width="6.85546875" style="378" customWidth="1"/>
    <col min="9717" max="9717" width="7.42578125" style="378" customWidth="1"/>
    <col min="9718" max="9718" width="7.28515625" style="378" customWidth="1"/>
    <col min="9719" max="9719" width="0" style="378" hidden="1" customWidth="1"/>
    <col min="9720" max="9722" width="7.28515625" style="378" customWidth="1"/>
    <col min="9723" max="9723" width="8" style="378" customWidth="1"/>
    <col min="9724" max="9724" width="37.7109375" style="378" customWidth="1"/>
    <col min="9725" max="9725" width="3.5703125" style="378" customWidth="1"/>
    <col min="9726" max="9735" width="4.140625" style="378" customWidth="1"/>
    <col min="9736" max="9739" width="5.28515625" style="378" customWidth="1"/>
    <col min="9740" max="9964" width="12.85546875" style="378"/>
    <col min="9965" max="9965" width="7.5703125" style="378" customWidth="1"/>
    <col min="9966" max="9967" width="6.140625" style="378" customWidth="1"/>
    <col min="9968" max="9968" width="7.5703125" style="378" customWidth="1"/>
    <col min="9969" max="9969" width="30.28515625" style="378" customWidth="1"/>
    <col min="9970" max="9970" width="7.42578125" style="378" customWidth="1"/>
    <col min="9971" max="9971" width="4.7109375" style="378" customWidth="1"/>
    <col min="9972" max="9972" width="6.85546875" style="378" customWidth="1"/>
    <col min="9973" max="9973" width="7.42578125" style="378" customWidth="1"/>
    <col min="9974" max="9974" width="7.28515625" style="378" customWidth="1"/>
    <col min="9975" max="9975" width="0" style="378" hidden="1" customWidth="1"/>
    <col min="9976" max="9978" width="7.28515625" style="378" customWidth="1"/>
    <col min="9979" max="9979" width="8" style="378" customWidth="1"/>
    <col min="9980" max="9980" width="37.7109375" style="378" customWidth="1"/>
    <col min="9981" max="9981" width="3.5703125" style="378" customWidth="1"/>
    <col min="9982" max="9991" width="4.140625" style="378" customWidth="1"/>
    <col min="9992" max="9995" width="5.28515625" style="378" customWidth="1"/>
    <col min="9996" max="10220" width="12.85546875" style="378"/>
    <col min="10221" max="10221" width="7.5703125" style="378" customWidth="1"/>
    <col min="10222" max="10223" width="6.140625" style="378" customWidth="1"/>
    <col min="10224" max="10224" width="7.5703125" style="378" customWidth="1"/>
    <col min="10225" max="10225" width="30.28515625" style="378" customWidth="1"/>
    <col min="10226" max="10226" width="7.42578125" style="378" customWidth="1"/>
    <col min="10227" max="10227" width="4.7109375" style="378" customWidth="1"/>
    <col min="10228" max="10228" width="6.85546875" style="378" customWidth="1"/>
    <col min="10229" max="10229" width="7.42578125" style="378" customWidth="1"/>
    <col min="10230" max="10230" width="7.28515625" style="378" customWidth="1"/>
    <col min="10231" max="10231" width="0" style="378" hidden="1" customWidth="1"/>
    <col min="10232" max="10234" width="7.28515625" style="378" customWidth="1"/>
    <col min="10235" max="10235" width="8" style="378" customWidth="1"/>
    <col min="10236" max="10236" width="37.7109375" style="378" customWidth="1"/>
    <col min="10237" max="10237" width="3.5703125" style="378" customWidth="1"/>
    <col min="10238" max="10247" width="4.140625" style="378" customWidth="1"/>
    <col min="10248" max="10251" width="5.28515625" style="378" customWidth="1"/>
    <col min="10252" max="10476" width="12.85546875" style="378"/>
    <col min="10477" max="10477" width="7.5703125" style="378" customWidth="1"/>
    <col min="10478" max="10479" width="6.140625" style="378" customWidth="1"/>
    <col min="10480" max="10480" width="7.5703125" style="378" customWidth="1"/>
    <col min="10481" max="10481" width="30.28515625" style="378" customWidth="1"/>
    <col min="10482" max="10482" width="7.42578125" style="378" customWidth="1"/>
    <col min="10483" max="10483" width="4.7109375" style="378" customWidth="1"/>
    <col min="10484" max="10484" width="6.85546875" style="378" customWidth="1"/>
    <col min="10485" max="10485" width="7.42578125" style="378" customWidth="1"/>
    <col min="10486" max="10486" width="7.28515625" style="378" customWidth="1"/>
    <col min="10487" max="10487" width="0" style="378" hidden="1" customWidth="1"/>
    <col min="10488" max="10490" width="7.28515625" style="378" customWidth="1"/>
    <col min="10491" max="10491" width="8" style="378" customWidth="1"/>
    <col min="10492" max="10492" width="37.7109375" style="378" customWidth="1"/>
    <col min="10493" max="10493" width="3.5703125" style="378" customWidth="1"/>
    <col min="10494" max="10503" width="4.140625" style="378" customWidth="1"/>
    <col min="10504" max="10507" width="5.28515625" style="378" customWidth="1"/>
    <col min="10508" max="10732" width="12.85546875" style="378"/>
    <col min="10733" max="10733" width="7.5703125" style="378" customWidth="1"/>
    <col min="10734" max="10735" width="6.140625" style="378" customWidth="1"/>
    <col min="10736" max="10736" width="7.5703125" style="378" customWidth="1"/>
    <col min="10737" max="10737" width="30.28515625" style="378" customWidth="1"/>
    <col min="10738" max="10738" width="7.42578125" style="378" customWidth="1"/>
    <col min="10739" max="10739" width="4.7109375" style="378" customWidth="1"/>
    <col min="10740" max="10740" width="6.85546875" style="378" customWidth="1"/>
    <col min="10741" max="10741" width="7.42578125" style="378" customWidth="1"/>
    <col min="10742" max="10742" width="7.28515625" style="378" customWidth="1"/>
    <col min="10743" max="10743" width="0" style="378" hidden="1" customWidth="1"/>
    <col min="10744" max="10746" width="7.28515625" style="378" customWidth="1"/>
    <col min="10747" max="10747" width="8" style="378" customWidth="1"/>
    <col min="10748" max="10748" width="37.7109375" style="378" customWidth="1"/>
    <col min="10749" max="10749" width="3.5703125" style="378" customWidth="1"/>
    <col min="10750" max="10759" width="4.140625" style="378" customWidth="1"/>
    <col min="10760" max="10763" width="5.28515625" style="378" customWidth="1"/>
    <col min="10764" max="10988" width="12.85546875" style="378"/>
    <col min="10989" max="10989" width="7.5703125" style="378" customWidth="1"/>
    <col min="10990" max="10991" width="6.140625" style="378" customWidth="1"/>
    <col min="10992" max="10992" width="7.5703125" style="378" customWidth="1"/>
    <col min="10993" max="10993" width="30.28515625" style="378" customWidth="1"/>
    <col min="10994" max="10994" width="7.42578125" style="378" customWidth="1"/>
    <col min="10995" max="10995" width="4.7109375" style="378" customWidth="1"/>
    <col min="10996" max="10996" width="6.85546875" style="378" customWidth="1"/>
    <col min="10997" max="10997" width="7.42578125" style="378" customWidth="1"/>
    <col min="10998" max="10998" width="7.28515625" style="378" customWidth="1"/>
    <col min="10999" max="10999" width="0" style="378" hidden="1" customWidth="1"/>
    <col min="11000" max="11002" width="7.28515625" style="378" customWidth="1"/>
    <col min="11003" max="11003" width="8" style="378" customWidth="1"/>
    <col min="11004" max="11004" width="37.7109375" style="378" customWidth="1"/>
    <col min="11005" max="11005" width="3.5703125" style="378" customWidth="1"/>
    <col min="11006" max="11015" width="4.140625" style="378" customWidth="1"/>
    <col min="11016" max="11019" width="5.28515625" style="378" customWidth="1"/>
    <col min="11020" max="11244" width="12.85546875" style="378"/>
    <col min="11245" max="11245" width="7.5703125" style="378" customWidth="1"/>
    <col min="11246" max="11247" width="6.140625" style="378" customWidth="1"/>
    <col min="11248" max="11248" width="7.5703125" style="378" customWidth="1"/>
    <col min="11249" max="11249" width="30.28515625" style="378" customWidth="1"/>
    <col min="11250" max="11250" width="7.42578125" style="378" customWidth="1"/>
    <col min="11251" max="11251" width="4.7109375" style="378" customWidth="1"/>
    <col min="11252" max="11252" width="6.85546875" style="378" customWidth="1"/>
    <col min="11253" max="11253" width="7.42578125" style="378" customWidth="1"/>
    <col min="11254" max="11254" width="7.28515625" style="378" customWidth="1"/>
    <col min="11255" max="11255" width="0" style="378" hidden="1" customWidth="1"/>
    <col min="11256" max="11258" width="7.28515625" style="378" customWidth="1"/>
    <col min="11259" max="11259" width="8" style="378" customWidth="1"/>
    <col min="11260" max="11260" width="37.7109375" style="378" customWidth="1"/>
    <col min="11261" max="11261" width="3.5703125" style="378" customWidth="1"/>
    <col min="11262" max="11271" width="4.140625" style="378" customWidth="1"/>
    <col min="11272" max="11275" width="5.28515625" style="378" customWidth="1"/>
    <col min="11276" max="11500" width="12.85546875" style="378"/>
    <col min="11501" max="11501" width="7.5703125" style="378" customWidth="1"/>
    <col min="11502" max="11503" width="6.140625" style="378" customWidth="1"/>
    <col min="11504" max="11504" width="7.5703125" style="378" customWidth="1"/>
    <col min="11505" max="11505" width="30.28515625" style="378" customWidth="1"/>
    <col min="11506" max="11506" width="7.42578125" style="378" customWidth="1"/>
    <col min="11507" max="11507" width="4.7109375" style="378" customWidth="1"/>
    <col min="11508" max="11508" width="6.85546875" style="378" customWidth="1"/>
    <col min="11509" max="11509" width="7.42578125" style="378" customWidth="1"/>
    <col min="11510" max="11510" width="7.28515625" style="378" customWidth="1"/>
    <col min="11511" max="11511" width="0" style="378" hidden="1" customWidth="1"/>
    <col min="11512" max="11514" width="7.28515625" style="378" customWidth="1"/>
    <col min="11515" max="11515" width="8" style="378" customWidth="1"/>
    <col min="11516" max="11516" width="37.7109375" style="378" customWidth="1"/>
    <col min="11517" max="11517" width="3.5703125" style="378" customWidth="1"/>
    <col min="11518" max="11527" width="4.140625" style="378" customWidth="1"/>
    <col min="11528" max="11531" width="5.28515625" style="378" customWidth="1"/>
    <col min="11532" max="11756" width="12.85546875" style="378"/>
    <col min="11757" max="11757" width="7.5703125" style="378" customWidth="1"/>
    <col min="11758" max="11759" width="6.140625" style="378" customWidth="1"/>
    <col min="11760" max="11760" width="7.5703125" style="378" customWidth="1"/>
    <col min="11761" max="11761" width="30.28515625" style="378" customWidth="1"/>
    <col min="11762" max="11762" width="7.42578125" style="378" customWidth="1"/>
    <col min="11763" max="11763" width="4.7109375" style="378" customWidth="1"/>
    <col min="11764" max="11764" width="6.85546875" style="378" customWidth="1"/>
    <col min="11765" max="11765" width="7.42578125" style="378" customWidth="1"/>
    <col min="11766" max="11766" width="7.28515625" style="378" customWidth="1"/>
    <col min="11767" max="11767" width="0" style="378" hidden="1" customWidth="1"/>
    <col min="11768" max="11770" width="7.28515625" style="378" customWidth="1"/>
    <col min="11771" max="11771" width="8" style="378" customWidth="1"/>
    <col min="11772" max="11772" width="37.7109375" style="378" customWidth="1"/>
    <col min="11773" max="11773" width="3.5703125" style="378" customWidth="1"/>
    <col min="11774" max="11783" width="4.140625" style="378" customWidth="1"/>
    <col min="11784" max="11787" width="5.28515625" style="378" customWidth="1"/>
    <col min="11788" max="12012" width="12.85546875" style="378"/>
    <col min="12013" max="12013" width="7.5703125" style="378" customWidth="1"/>
    <col min="12014" max="12015" width="6.140625" style="378" customWidth="1"/>
    <col min="12016" max="12016" width="7.5703125" style="378" customWidth="1"/>
    <col min="12017" max="12017" width="30.28515625" style="378" customWidth="1"/>
    <col min="12018" max="12018" width="7.42578125" style="378" customWidth="1"/>
    <col min="12019" max="12019" width="4.7109375" style="378" customWidth="1"/>
    <col min="12020" max="12020" width="6.85546875" style="378" customWidth="1"/>
    <col min="12021" max="12021" width="7.42578125" style="378" customWidth="1"/>
    <col min="12022" max="12022" width="7.28515625" style="378" customWidth="1"/>
    <col min="12023" max="12023" width="0" style="378" hidden="1" customWidth="1"/>
    <col min="12024" max="12026" width="7.28515625" style="378" customWidth="1"/>
    <col min="12027" max="12027" width="8" style="378" customWidth="1"/>
    <col min="12028" max="12028" width="37.7109375" style="378" customWidth="1"/>
    <col min="12029" max="12029" width="3.5703125" style="378" customWidth="1"/>
    <col min="12030" max="12039" width="4.140625" style="378" customWidth="1"/>
    <col min="12040" max="12043" width="5.28515625" style="378" customWidth="1"/>
    <col min="12044" max="12268" width="12.85546875" style="378"/>
    <col min="12269" max="12269" width="7.5703125" style="378" customWidth="1"/>
    <col min="12270" max="12271" width="6.140625" style="378" customWidth="1"/>
    <col min="12272" max="12272" width="7.5703125" style="378" customWidth="1"/>
    <col min="12273" max="12273" width="30.28515625" style="378" customWidth="1"/>
    <col min="12274" max="12274" width="7.42578125" style="378" customWidth="1"/>
    <col min="12275" max="12275" width="4.7109375" style="378" customWidth="1"/>
    <col min="12276" max="12276" width="6.85546875" style="378" customWidth="1"/>
    <col min="12277" max="12277" width="7.42578125" style="378" customWidth="1"/>
    <col min="12278" max="12278" width="7.28515625" style="378" customWidth="1"/>
    <col min="12279" max="12279" width="0" style="378" hidden="1" customWidth="1"/>
    <col min="12280" max="12282" width="7.28515625" style="378" customWidth="1"/>
    <col min="12283" max="12283" width="8" style="378" customWidth="1"/>
    <col min="12284" max="12284" width="37.7109375" style="378" customWidth="1"/>
    <col min="12285" max="12285" width="3.5703125" style="378" customWidth="1"/>
    <col min="12286" max="12295" width="4.140625" style="378" customWidth="1"/>
    <col min="12296" max="12299" width="5.28515625" style="378" customWidth="1"/>
    <col min="12300" max="12524" width="12.85546875" style="378"/>
    <col min="12525" max="12525" width="7.5703125" style="378" customWidth="1"/>
    <col min="12526" max="12527" width="6.140625" style="378" customWidth="1"/>
    <col min="12528" max="12528" width="7.5703125" style="378" customWidth="1"/>
    <col min="12529" max="12529" width="30.28515625" style="378" customWidth="1"/>
    <col min="12530" max="12530" width="7.42578125" style="378" customWidth="1"/>
    <col min="12531" max="12531" width="4.7109375" style="378" customWidth="1"/>
    <col min="12532" max="12532" width="6.85546875" style="378" customWidth="1"/>
    <col min="12533" max="12533" width="7.42578125" style="378" customWidth="1"/>
    <col min="12534" max="12534" width="7.28515625" style="378" customWidth="1"/>
    <col min="12535" max="12535" width="0" style="378" hidden="1" customWidth="1"/>
    <col min="12536" max="12538" width="7.28515625" style="378" customWidth="1"/>
    <col min="12539" max="12539" width="8" style="378" customWidth="1"/>
    <col min="12540" max="12540" width="37.7109375" style="378" customWidth="1"/>
    <col min="12541" max="12541" width="3.5703125" style="378" customWidth="1"/>
    <col min="12542" max="12551" width="4.140625" style="378" customWidth="1"/>
    <col min="12552" max="12555" width="5.28515625" style="378" customWidth="1"/>
    <col min="12556" max="12780" width="12.85546875" style="378"/>
    <col min="12781" max="12781" width="7.5703125" style="378" customWidth="1"/>
    <col min="12782" max="12783" width="6.140625" style="378" customWidth="1"/>
    <col min="12784" max="12784" width="7.5703125" style="378" customWidth="1"/>
    <col min="12785" max="12785" width="30.28515625" style="378" customWidth="1"/>
    <col min="12786" max="12786" width="7.42578125" style="378" customWidth="1"/>
    <col min="12787" max="12787" width="4.7109375" style="378" customWidth="1"/>
    <col min="12788" max="12788" width="6.85546875" style="378" customWidth="1"/>
    <col min="12789" max="12789" width="7.42578125" style="378" customWidth="1"/>
    <col min="12790" max="12790" width="7.28515625" style="378" customWidth="1"/>
    <col min="12791" max="12791" width="0" style="378" hidden="1" customWidth="1"/>
    <col min="12792" max="12794" width="7.28515625" style="378" customWidth="1"/>
    <col min="12795" max="12795" width="8" style="378" customWidth="1"/>
    <col min="12796" max="12796" width="37.7109375" style="378" customWidth="1"/>
    <col min="12797" max="12797" width="3.5703125" style="378" customWidth="1"/>
    <col min="12798" max="12807" width="4.140625" style="378" customWidth="1"/>
    <col min="12808" max="12811" width="5.28515625" style="378" customWidth="1"/>
    <col min="12812" max="13036" width="12.85546875" style="378"/>
    <col min="13037" max="13037" width="7.5703125" style="378" customWidth="1"/>
    <col min="13038" max="13039" width="6.140625" style="378" customWidth="1"/>
    <col min="13040" max="13040" width="7.5703125" style="378" customWidth="1"/>
    <col min="13041" max="13041" width="30.28515625" style="378" customWidth="1"/>
    <col min="13042" max="13042" width="7.42578125" style="378" customWidth="1"/>
    <col min="13043" max="13043" width="4.7109375" style="378" customWidth="1"/>
    <col min="13044" max="13044" width="6.85546875" style="378" customWidth="1"/>
    <col min="13045" max="13045" width="7.42578125" style="378" customWidth="1"/>
    <col min="13046" max="13046" width="7.28515625" style="378" customWidth="1"/>
    <col min="13047" max="13047" width="0" style="378" hidden="1" customWidth="1"/>
    <col min="13048" max="13050" width="7.28515625" style="378" customWidth="1"/>
    <col min="13051" max="13051" width="8" style="378" customWidth="1"/>
    <col min="13052" max="13052" width="37.7109375" style="378" customWidth="1"/>
    <col min="13053" max="13053" width="3.5703125" style="378" customWidth="1"/>
    <col min="13054" max="13063" width="4.140625" style="378" customWidth="1"/>
    <col min="13064" max="13067" width="5.28515625" style="378" customWidth="1"/>
    <col min="13068" max="13292" width="12.85546875" style="378"/>
    <col min="13293" max="13293" width="7.5703125" style="378" customWidth="1"/>
    <col min="13294" max="13295" width="6.140625" style="378" customWidth="1"/>
    <col min="13296" max="13296" width="7.5703125" style="378" customWidth="1"/>
    <col min="13297" max="13297" width="30.28515625" style="378" customWidth="1"/>
    <col min="13298" max="13298" width="7.42578125" style="378" customWidth="1"/>
    <col min="13299" max="13299" width="4.7109375" style="378" customWidth="1"/>
    <col min="13300" max="13300" width="6.85546875" style="378" customWidth="1"/>
    <col min="13301" max="13301" width="7.42578125" style="378" customWidth="1"/>
    <col min="13302" max="13302" width="7.28515625" style="378" customWidth="1"/>
    <col min="13303" max="13303" width="0" style="378" hidden="1" customWidth="1"/>
    <col min="13304" max="13306" width="7.28515625" style="378" customWidth="1"/>
    <col min="13307" max="13307" width="8" style="378" customWidth="1"/>
    <col min="13308" max="13308" width="37.7109375" style="378" customWidth="1"/>
    <col min="13309" max="13309" width="3.5703125" style="378" customWidth="1"/>
    <col min="13310" max="13319" width="4.140625" style="378" customWidth="1"/>
    <col min="13320" max="13323" width="5.28515625" style="378" customWidth="1"/>
    <col min="13324" max="13548" width="12.85546875" style="378"/>
    <col min="13549" max="13549" width="7.5703125" style="378" customWidth="1"/>
    <col min="13550" max="13551" width="6.140625" style="378" customWidth="1"/>
    <col min="13552" max="13552" width="7.5703125" style="378" customWidth="1"/>
    <col min="13553" max="13553" width="30.28515625" style="378" customWidth="1"/>
    <col min="13554" max="13554" width="7.42578125" style="378" customWidth="1"/>
    <col min="13555" max="13555" width="4.7109375" style="378" customWidth="1"/>
    <col min="13556" max="13556" width="6.85546875" style="378" customWidth="1"/>
    <col min="13557" max="13557" width="7.42578125" style="378" customWidth="1"/>
    <col min="13558" max="13558" width="7.28515625" style="378" customWidth="1"/>
    <col min="13559" max="13559" width="0" style="378" hidden="1" customWidth="1"/>
    <col min="13560" max="13562" width="7.28515625" style="378" customWidth="1"/>
    <col min="13563" max="13563" width="8" style="378" customWidth="1"/>
    <col min="13564" max="13564" width="37.7109375" style="378" customWidth="1"/>
    <col min="13565" max="13565" width="3.5703125" style="378" customWidth="1"/>
    <col min="13566" max="13575" width="4.140625" style="378" customWidth="1"/>
    <col min="13576" max="13579" width="5.28515625" style="378" customWidth="1"/>
    <col min="13580" max="13804" width="12.85546875" style="378"/>
    <col min="13805" max="13805" width="7.5703125" style="378" customWidth="1"/>
    <col min="13806" max="13807" width="6.140625" style="378" customWidth="1"/>
    <col min="13808" max="13808" width="7.5703125" style="378" customWidth="1"/>
    <col min="13809" max="13809" width="30.28515625" style="378" customWidth="1"/>
    <col min="13810" max="13810" width="7.42578125" style="378" customWidth="1"/>
    <col min="13811" max="13811" width="4.7109375" style="378" customWidth="1"/>
    <col min="13812" max="13812" width="6.85546875" style="378" customWidth="1"/>
    <col min="13813" max="13813" width="7.42578125" style="378" customWidth="1"/>
    <col min="13814" max="13814" width="7.28515625" style="378" customWidth="1"/>
    <col min="13815" max="13815" width="0" style="378" hidden="1" customWidth="1"/>
    <col min="13816" max="13818" width="7.28515625" style="378" customWidth="1"/>
    <col min="13819" max="13819" width="8" style="378" customWidth="1"/>
    <col min="13820" max="13820" width="37.7109375" style="378" customWidth="1"/>
    <col min="13821" max="13821" width="3.5703125" style="378" customWidth="1"/>
    <col min="13822" max="13831" width="4.140625" style="378" customWidth="1"/>
    <col min="13832" max="13835" width="5.28515625" style="378" customWidth="1"/>
    <col min="13836" max="14060" width="12.85546875" style="378"/>
    <col min="14061" max="14061" width="7.5703125" style="378" customWidth="1"/>
    <col min="14062" max="14063" width="6.140625" style="378" customWidth="1"/>
    <col min="14064" max="14064" width="7.5703125" style="378" customWidth="1"/>
    <col min="14065" max="14065" width="30.28515625" style="378" customWidth="1"/>
    <col min="14066" max="14066" width="7.42578125" style="378" customWidth="1"/>
    <col min="14067" max="14067" width="4.7109375" style="378" customWidth="1"/>
    <col min="14068" max="14068" width="6.85546875" style="378" customWidth="1"/>
    <col min="14069" max="14069" width="7.42578125" style="378" customWidth="1"/>
    <col min="14070" max="14070" width="7.28515625" style="378" customWidth="1"/>
    <col min="14071" max="14071" width="0" style="378" hidden="1" customWidth="1"/>
    <col min="14072" max="14074" width="7.28515625" style="378" customWidth="1"/>
    <col min="14075" max="14075" width="8" style="378" customWidth="1"/>
    <col min="14076" max="14076" width="37.7109375" style="378" customWidth="1"/>
    <col min="14077" max="14077" width="3.5703125" style="378" customWidth="1"/>
    <col min="14078" max="14087" width="4.140625" style="378" customWidth="1"/>
    <col min="14088" max="14091" width="5.28515625" style="378" customWidth="1"/>
    <col min="14092" max="14316" width="12.85546875" style="378"/>
    <col min="14317" max="14317" width="7.5703125" style="378" customWidth="1"/>
    <col min="14318" max="14319" width="6.140625" style="378" customWidth="1"/>
    <col min="14320" max="14320" width="7.5703125" style="378" customWidth="1"/>
    <col min="14321" max="14321" width="30.28515625" style="378" customWidth="1"/>
    <col min="14322" max="14322" width="7.42578125" style="378" customWidth="1"/>
    <col min="14323" max="14323" width="4.7109375" style="378" customWidth="1"/>
    <col min="14324" max="14324" width="6.85546875" style="378" customWidth="1"/>
    <col min="14325" max="14325" width="7.42578125" style="378" customWidth="1"/>
    <col min="14326" max="14326" width="7.28515625" style="378" customWidth="1"/>
    <col min="14327" max="14327" width="0" style="378" hidden="1" customWidth="1"/>
    <col min="14328" max="14330" width="7.28515625" style="378" customWidth="1"/>
    <col min="14331" max="14331" width="8" style="378" customWidth="1"/>
    <col min="14332" max="14332" width="37.7109375" style="378" customWidth="1"/>
    <col min="14333" max="14333" width="3.5703125" style="378" customWidth="1"/>
    <col min="14334" max="14343" width="4.140625" style="378" customWidth="1"/>
    <col min="14344" max="14347" width="5.28515625" style="378" customWidth="1"/>
    <col min="14348" max="14572" width="12.85546875" style="378"/>
    <col min="14573" max="14573" width="7.5703125" style="378" customWidth="1"/>
    <col min="14574" max="14575" width="6.140625" style="378" customWidth="1"/>
    <col min="14576" max="14576" width="7.5703125" style="378" customWidth="1"/>
    <col min="14577" max="14577" width="30.28515625" style="378" customWidth="1"/>
    <col min="14578" max="14578" width="7.42578125" style="378" customWidth="1"/>
    <col min="14579" max="14579" width="4.7109375" style="378" customWidth="1"/>
    <col min="14580" max="14580" width="6.85546875" style="378" customWidth="1"/>
    <col min="14581" max="14581" width="7.42578125" style="378" customWidth="1"/>
    <col min="14582" max="14582" width="7.28515625" style="378" customWidth="1"/>
    <col min="14583" max="14583" width="0" style="378" hidden="1" customWidth="1"/>
    <col min="14584" max="14586" width="7.28515625" style="378" customWidth="1"/>
    <col min="14587" max="14587" width="8" style="378" customWidth="1"/>
    <col min="14588" max="14588" width="37.7109375" style="378" customWidth="1"/>
    <col min="14589" max="14589" width="3.5703125" style="378" customWidth="1"/>
    <col min="14590" max="14599" width="4.140625" style="378" customWidth="1"/>
    <col min="14600" max="14603" width="5.28515625" style="378" customWidth="1"/>
    <col min="14604" max="14828" width="12.85546875" style="378"/>
    <col min="14829" max="14829" width="7.5703125" style="378" customWidth="1"/>
    <col min="14830" max="14831" width="6.140625" style="378" customWidth="1"/>
    <col min="14832" max="14832" width="7.5703125" style="378" customWidth="1"/>
    <col min="14833" max="14833" width="30.28515625" style="378" customWidth="1"/>
    <col min="14834" max="14834" width="7.42578125" style="378" customWidth="1"/>
    <col min="14835" max="14835" width="4.7109375" style="378" customWidth="1"/>
    <col min="14836" max="14836" width="6.85546875" style="378" customWidth="1"/>
    <col min="14837" max="14837" width="7.42578125" style="378" customWidth="1"/>
    <col min="14838" max="14838" width="7.28515625" style="378" customWidth="1"/>
    <col min="14839" max="14839" width="0" style="378" hidden="1" customWidth="1"/>
    <col min="14840" max="14842" width="7.28515625" style="378" customWidth="1"/>
    <col min="14843" max="14843" width="8" style="378" customWidth="1"/>
    <col min="14844" max="14844" width="37.7109375" style="378" customWidth="1"/>
    <col min="14845" max="14845" width="3.5703125" style="378" customWidth="1"/>
    <col min="14846" max="14855" width="4.140625" style="378" customWidth="1"/>
    <col min="14856" max="14859" width="5.28515625" style="378" customWidth="1"/>
    <col min="14860" max="15084" width="12.85546875" style="378"/>
    <col min="15085" max="15085" width="7.5703125" style="378" customWidth="1"/>
    <col min="15086" max="15087" width="6.140625" style="378" customWidth="1"/>
    <col min="15088" max="15088" width="7.5703125" style="378" customWidth="1"/>
    <col min="15089" max="15089" width="30.28515625" style="378" customWidth="1"/>
    <col min="15090" max="15090" width="7.42578125" style="378" customWidth="1"/>
    <col min="15091" max="15091" width="4.7109375" style="378" customWidth="1"/>
    <col min="15092" max="15092" width="6.85546875" style="378" customWidth="1"/>
    <col min="15093" max="15093" width="7.42578125" style="378" customWidth="1"/>
    <col min="15094" max="15094" width="7.28515625" style="378" customWidth="1"/>
    <col min="15095" max="15095" width="0" style="378" hidden="1" customWidth="1"/>
    <col min="15096" max="15098" width="7.28515625" style="378" customWidth="1"/>
    <col min="15099" max="15099" width="8" style="378" customWidth="1"/>
    <col min="15100" max="15100" width="37.7109375" style="378" customWidth="1"/>
    <col min="15101" max="15101" width="3.5703125" style="378" customWidth="1"/>
    <col min="15102" max="15111" width="4.140625" style="378" customWidth="1"/>
    <col min="15112" max="15115" width="5.28515625" style="378" customWidth="1"/>
    <col min="15116" max="15340" width="12.85546875" style="378"/>
    <col min="15341" max="15341" width="7.5703125" style="378" customWidth="1"/>
    <col min="15342" max="15343" width="6.140625" style="378" customWidth="1"/>
    <col min="15344" max="15344" width="7.5703125" style="378" customWidth="1"/>
    <col min="15345" max="15345" width="30.28515625" style="378" customWidth="1"/>
    <col min="15346" max="15346" width="7.42578125" style="378" customWidth="1"/>
    <col min="15347" max="15347" width="4.7109375" style="378" customWidth="1"/>
    <col min="15348" max="15348" width="6.85546875" style="378" customWidth="1"/>
    <col min="15349" max="15349" width="7.42578125" style="378" customWidth="1"/>
    <col min="15350" max="15350" width="7.28515625" style="378" customWidth="1"/>
    <col min="15351" max="15351" width="0" style="378" hidden="1" customWidth="1"/>
    <col min="15352" max="15354" width="7.28515625" style="378" customWidth="1"/>
    <col min="15355" max="15355" width="8" style="378" customWidth="1"/>
    <col min="15356" max="15356" width="37.7109375" style="378" customWidth="1"/>
    <col min="15357" max="15357" width="3.5703125" style="378" customWidth="1"/>
    <col min="15358" max="15367" width="4.140625" style="378" customWidth="1"/>
    <col min="15368" max="15371" width="5.28515625" style="378" customWidth="1"/>
    <col min="15372" max="15596" width="12.85546875" style="378"/>
    <col min="15597" max="15597" width="7.5703125" style="378" customWidth="1"/>
    <col min="15598" max="15599" width="6.140625" style="378" customWidth="1"/>
    <col min="15600" max="15600" width="7.5703125" style="378" customWidth="1"/>
    <col min="15601" max="15601" width="30.28515625" style="378" customWidth="1"/>
    <col min="15602" max="15602" width="7.42578125" style="378" customWidth="1"/>
    <col min="15603" max="15603" width="4.7109375" style="378" customWidth="1"/>
    <col min="15604" max="15604" width="6.85546875" style="378" customWidth="1"/>
    <col min="15605" max="15605" width="7.42578125" style="378" customWidth="1"/>
    <col min="15606" max="15606" width="7.28515625" style="378" customWidth="1"/>
    <col min="15607" max="15607" width="0" style="378" hidden="1" customWidth="1"/>
    <col min="15608" max="15610" width="7.28515625" style="378" customWidth="1"/>
    <col min="15611" max="15611" width="8" style="378" customWidth="1"/>
    <col min="15612" max="15612" width="37.7109375" style="378" customWidth="1"/>
    <col min="15613" max="15613" width="3.5703125" style="378" customWidth="1"/>
    <col min="15614" max="15623" width="4.140625" style="378" customWidth="1"/>
    <col min="15624" max="15627" width="5.28515625" style="378" customWidth="1"/>
    <col min="15628" max="15852" width="12.85546875" style="378"/>
    <col min="15853" max="15853" width="7.5703125" style="378" customWidth="1"/>
    <col min="15854" max="15855" width="6.140625" style="378" customWidth="1"/>
    <col min="15856" max="15856" width="7.5703125" style="378" customWidth="1"/>
    <col min="15857" max="15857" width="30.28515625" style="378" customWidth="1"/>
    <col min="15858" max="15858" width="7.42578125" style="378" customWidth="1"/>
    <col min="15859" max="15859" width="4.7109375" style="378" customWidth="1"/>
    <col min="15860" max="15860" width="6.85546875" style="378" customWidth="1"/>
    <col min="15861" max="15861" width="7.42578125" style="378" customWidth="1"/>
    <col min="15862" max="15862" width="7.28515625" style="378" customWidth="1"/>
    <col min="15863" max="15863" width="0" style="378" hidden="1" customWidth="1"/>
    <col min="15864" max="15866" width="7.28515625" style="378" customWidth="1"/>
    <col min="15867" max="15867" width="8" style="378" customWidth="1"/>
    <col min="15868" max="15868" width="37.7109375" style="378" customWidth="1"/>
    <col min="15869" max="15869" width="3.5703125" style="378" customWidth="1"/>
    <col min="15870" max="15879" width="4.140625" style="378" customWidth="1"/>
    <col min="15880" max="15883" width="5.28515625" style="378" customWidth="1"/>
    <col min="15884" max="16108" width="12.85546875" style="378"/>
    <col min="16109" max="16109" width="7.5703125" style="378" customWidth="1"/>
    <col min="16110" max="16111" width="6.140625" style="378" customWidth="1"/>
    <col min="16112" max="16112" width="7.5703125" style="378" customWidth="1"/>
    <col min="16113" max="16113" width="30.28515625" style="378" customWidth="1"/>
    <col min="16114" max="16114" width="7.42578125" style="378" customWidth="1"/>
    <col min="16115" max="16115" width="4.7109375" style="378" customWidth="1"/>
    <col min="16116" max="16116" width="6.85546875" style="378" customWidth="1"/>
    <col min="16117" max="16117" width="7.42578125" style="378" customWidth="1"/>
    <col min="16118" max="16118" width="7.28515625" style="378" customWidth="1"/>
    <col min="16119" max="16119" width="0" style="378" hidden="1" customWidth="1"/>
    <col min="16120" max="16122" width="7.28515625" style="378" customWidth="1"/>
    <col min="16123" max="16123" width="8" style="378" customWidth="1"/>
    <col min="16124" max="16124" width="37.7109375" style="378" customWidth="1"/>
    <col min="16125" max="16125" width="3.5703125" style="378" customWidth="1"/>
    <col min="16126" max="16135" width="4.140625" style="378" customWidth="1"/>
    <col min="16136" max="16139" width="5.28515625" style="378" customWidth="1"/>
    <col min="16140" max="16384" width="12.85546875" style="378"/>
  </cols>
  <sheetData>
    <row r="1" spans="1:16" ht="21" x14ac:dyDescent="0.35">
      <c r="E1" s="380"/>
      <c r="F1" s="381" t="str">
        <f>Konti_PTS!C7</f>
        <v>PTS  . . .</v>
      </c>
      <c r="G1" s="381"/>
      <c r="H1" s="382"/>
      <c r="I1" s="382"/>
      <c r="J1" s="382"/>
      <c r="K1" s="760" t="str">
        <f>Kontrolle!M20</f>
        <v>*hier eintragen*</v>
      </c>
      <c r="L1" s="760"/>
      <c r="M1" s="760"/>
      <c r="N1" s="382"/>
      <c r="P1" s="378" t="s">
        <v>407</v>
      </c>
    </row>
    <row r="2" spans="1:16" ht="21" customHeight="1" x14ac:dyDescent="0.25">
      <c r="E2" s="383"/>
      <c r="F2" s="384" t="s">
        <v>248</v>
      </c>
      <c r="H2" s="384"/>
      <c r="I2" s="384"/>
      <c r="J2" s="384"/>
      <c r="L2" s="761" t="s">
        <v>249</v>
      </c>
      <c r="M2" s="761"/>
      <c r="P2" s="378" t="s">
        <v>408</v>
      </c>
    </row>
    <row r="3" spans="1:16" ht="23.25" x14ac:dyDescent="0.35">
      <c r="A3" s="762" t="s">
        <v>250</v>
      </c>
      <c r="B3" s="762"/>
      <c r="C3" s="762"/>
      <c r="D3" s="762"/>
      <c r="E3" s="762"/>
      <c r="F3" s="762"/>
      <c r="G3" s="762"/>
      <c r="H3" s="762"/>
      <c r="I3" s="762"/>
      <c r="J3" s="762"/>
      <c r="K3" s="762"/>
      <c r="L3" s="762"/>
      <c r="M3" s="762"/>
      <c r="N3" s="762"/>
      <c r="P3" s="378" t="s">
        <v>409</v>
      </c>
    </row>
    <row r="4" spans="1:16" ht="15.75" x14ac:dyDescent="0.25">
      <c r="A4" s="763" t="s">
        <v>251</v>
      </c>
      <c r="B4" s="763"/>
      <c r="C4" s="763"/>
      <c r="D4" s="763"/>
      <c r="E4" s="463" t="s">
        <v>252</v>
      </c>
      <c r="F4" s="765" t="str">
        <f>Kontrolle!M20</f>
        <v>*hier eintragen*</v>
      </c>
      <c r="G4" s="766"/>
      <c r="H4" s="766"/>
      <c r="I4" s="766"/>
      <c r="J4" s="766"/>
      <c r="K4" s="766"/>
      <c r="L4" s="767"/>
      <c r="M4" s="768" t="s">
        <v>406</v>
      </c>
      <c r="N4" s="386"/>
      <c r="P4" s="378" t="s">
        <v>345</v>
      </c>
    </row>
    <row r="5" spans="1:16" ht="15.75" customHeight="1" x14ac:dyDescent="0.25">
      <c r="A5" s="764"/>
      <c r="B5" s="764"/>
      <c r="C5" s="764"/>
      <c r="D5" s="764"/>
      <c r="E5" s="387" t="s">
        <v>255</v>
      </c>
      <c r="F5" s="388" t="s">
        <v>256</v>
      </c>
      <c r="G5" s="389"/>
      <c r="H5" s="390"/>
      <c r="I5" s="388"/>
      <c r="J5" s="389"/>
      <c r="K5" s="390"/>
      <c r="L5" s="391"/>
      <c r="M5" s="769"/>
      <c r="N5" s="676"/>
    </row>
    <row r="6" spans="1:16" ht="82.5" customHeight="1" x14ac:dyDescent="0.25">
      <c r="A6" s="392" t="s">
        <v>258</v>
      </c>
      <c r="B6" s="771" t="s">
        <v>257</v>
      </c>
      <c r="C6" s="772"/>
      <c r="D6" s="392" t="s">
        <v>259</v>
      </c>
      <c r="E6" s="393" t="s">
        <v>260</v>
      </c>
      <c r="F6" s="443" t="s">
        <v>261</v>
      </c>
      <c r="G6" s="443" t="s">
        <v>283</v>
      </c>
      <c r="H6" s="444" t="s">
        <v>284</v>
      </c>
      <c r="I6" s="445" t="s">
        <v>262</v>
      </c>
      <c r="J6" s="446" t="s">
        <v>263</v>
      </c>
      <c r="K6" s="447" t="s">
        <v>264</v>
      </c>
      <c r="L6" s="687" t="s">
        <v>413</v>
      </c>
      <c r="M6" s="770"/>
      <c r="N6" s="394" t="s">
        <v>265</v>
      </c>
      <c r="O6" s="689" t="s">
        <v>415</v>
      </c>
    </row>
    <row r="7" spans="1:16" s="401" customFormat="1" ht="5.25" x14ac:dyDescent="0.25">
      <c r="A7" s="395"/>
      <c r="B7" s="396"/>
      <c r="C7" s="396"/>
      <c r="D7" s="395"/>
      <c r="E7" s="464"/>
      <c r="F7" s="448"/>
      <c r="G7" s="449"/>
      <c r="H7" s="450"/>
      <c r="I7" s="451"/>
      <c r="J7" s="451"/>
      <c r="K7" s="451"/>
      <c r="L7" s="398"/>
      <c r="M7" s="399"/>
      <c r="N7" s="400"/>
      <c r="O7" s="690"/>
    </row>
    <row r="8" spans="1:16" ht="15.75" x14ac:dyDescent="0.25">
      <c r="A8" s="645"/>
      <c r="B8" s="645"/>
      <c r="C8" s="699"/>
      <c r="D8" s="424"/>
      <c r="E8" s="696"/>
      <c r="F8" s="452"/>
      <c r="G8" s="453"/>
      <c r="H8" s="454"/>
      <c r="I8" s="455"/>
      <c r="J8" s="456"/>
      <c r="K8" s="457"/>
      <c r="L8" s="425"/>
      <c r="M8" s="426"/>
      <c r="N8" s="697">
        <f t="shared" ref="N8:N81" si="0">SUM(F8:M8)</f>
        <v>0</v>
      </c>
      <c r="O8" s="691"/>
    </row>
    <row r="9" spans="1:16" ht="15.75" x14ac:dyDescent="0.25">
      <c r="A9" s="646"/>
      <c r="B9" s="646"/>
      <c r="C9" s="700"/>
      <c r="D9" s="427"/>
      <c r="E9" s="696"/>
      <c r="F9" s="452"/>
      <c r="G9" s="453"/>
      <c r="H9" s="454"/>
      <c r="I9" s="455"/>
      <c r="J9" s="456"/>
      <c r="K9" s="457"/>
      <c r="L9" s="405"/>
      <c r="M9" s="406"/>
      <c r="N9" s="697">
        <f t="shared" si="0"/>
        <v>0</v>
      </c>
      <c r="O9" s="692"/>
    </row>
    <row r="10" spans="1:16" ht="15.75" x14ac:dyDescent="0.25">
      <c r="A10" s="646"/>
      <c r="B10" s="646"/>
      <c r="C10" s="700"/>
      <c r="D10" s="427"/>
      <c r="E10" s="696"/>
      <c r="F10" s="452"/>
      <c r="G10" s="453"/>
      <c r="H10" s="454"/>
      <c r="I10" s="455"/>
      <c r="J10" s="456"/>
      <c r="K10" s="457"/>
      <c r="L10" s="405"/>
      <c r="M10" s="406"/>
      <c r="N10" s="697">
        <f t="shared" si="0"/>
        <v>0</v>
      </c>
      <c r="O10" s="692"/>
    </row>
    <row r="11" spans="1:16" ht="15.75" x14ac:dyDescent="0.25">
      <c r="A11" s="646"/>
      <c r="B11" s="646"/>
      <c r="C11" s="700"/>
      <c r="D11" s="427"/>
      <c r="E11" s="696"/>
      <c r="F11" s="452"/>
      <c r="G11" s="453"/>
      <c r="H11" s="454"/>
      <c r="I11" s="455"/>
      <c r="J11" s="456"/>
      <c r="K11" s="457"/>
      <c r="L11" s="405"/>
      <c r="M11" s="406"/>
      <c r="N11" s="697">
        <f t="shared" si="0"/>
        <v>0</v>
      </c>
      <c r="O11" s="692"/>
    </row>
    <row r="12" spans="1:16" ht="15.75" x14ac:dyDescent="0.25">
      <c r="A12" s="646"/>
      <c r="B12" s="646"/>
      <c r="C12" s="700"/>
      <c r="D12" s="427"/>
      <c r="E12" s="696"/>
      <c r="F12" s="452"/>
      <c r="G12" s="453"/>
      <c r="H12" s="454"/>
      <c r="I12" s="455"/>
      <c r="J12" s="456"/>
      <c r="K12" s="457"/>
      <c r="L12" s="405"/>
      <c r="M12" s="406"/>
      <c r="N12" s="697">
        <f t="shared" si="0"/>
        <v>0</v>
      </c>
      <c r="O12" s="692"/>
    </row>
    <row r="13" spans="1:16" ht="15.75" x14ac:dyDescent="0.25">
      <c r="A13" s="646"/>
      <c r="B13" s="646"/>
      <c r="C13" s="700"/>
      <c r="D13" s="427"/>
      <c r="E13" s="696"/>
      <c r="F13" s="452"/>
      <c r="G13" s="453"/>
      <c r="H13" s="454"/>
      <c r="I13" s="455"/>
      <c r="J13" s="456"/>
      <c r="K13" s="457"/>
      <c r="L13" s="405"/>
      <c r="M13" s="406"/>
      <c r="N13" s="697">
        <f t="shared" si="0"/>
        <v>0</v>
      </c>
      <c r="O13" s="692"/>
    </row>
    <row r="14" spans="1:16" ht="15.75" x14ac:dyDescent="0.25">
      <c r="A14" s="646"/>
      <c r="B14" s="646"/>
      <c r="C14" s="700"/>
      <c r="D14" s="427"/>
      <c r="E14" s="696"/>
      <c r="F14" s="452"/>
      <c r="G14" s="453"/>
      <c r="H14" s="454"/>
      <c r="I14" s="455"/>
      <c r="J14" s="456"/>
      <c r="K14" s="457"/>
      <c r="L14" s="405"/>
      <c r="M14" s="406"/>
      <c r="N14" s="697">
        <f t="shared" si="0"/>
        <v>0</v>
      </c>
      <c r="O14" s="692"/>
    </row>
    <row r="15" spans="1:16" ht="15.75" x14ac:dyDescent="0.25">
      <c r="A15" s="646"/>
      <c r="B15" s="646"/>
      <c r="C15" s="700"/>
      <c r="D15" s="427"/>
      <c r="E15" s="696"/>
      <c r="F15" s="452"/>
      <c r="G15" s="453"/>
      <c r="H15" s="454"/>
      <c r="I15" s="455"/>
      <c r="J15" s="456"/>
      <c r="K15" s="457"/>
      <c r="L15" s="405"/>
      <c r="M15" s="406"/>
      <c r="N15" s="697">
        <f t="shared" si="0"/>
        <v>0</v>
      </c>
      <c r="O15" s="692"/>
    </row>
    <row r="16" spans="1:16" ht="15.75" x14ac:dyDescent="0.25">
      <c r="A16" s="646"/>
      <c r="B16" s="646"/>
      <c r="C16" s="700"/>
      <c r="D16" s="427"/>
      <c r="E16" s="696"/>
      <c r="F16" s="452"/>
      <c r="G16" s="453"/>
      <c r="H16" s="454"/>
      <c r="I16" s="455"/>
      <c r="J16" s="456"/>
      <c r="K16" s="457"/>
      <c r="L16" s="405"/>
      <c r="M16" s="406"/>
      <c r="N16" s="697">
        <f t="shared" si="0"/>
        <v>0</v>
      </c>
      <c r="O16" s="692"/>
    </row>
    <row r="17" spans="1:15" ht="15.75" x14ac:dyDescent="0.25">
      <c r="A17" s="646"/>
      <c r="B17" s="646"/>
      <c r="C17" s="700"/>
      <c r="D17" s="427"/>
      <c r="E17" s="696"/>
      <c r="F17" s="452"/>
      <c r="G17" s="453"/>
      <c r="H17" s="454"/>
      <c r="I17" s="455"/>
      <c r="J17" s="456"/>
      <c r="K17" s="457"/>
      <c r="L17" s="405"/>
      <c r="M17" s="406"/>
      <c r="N17" s="697">
        <f t="shared" si="0"/>
        <v>0</v>
      </c>
      <c r="O17" s="692"/>
    </row>
    <row r="18" spans="1:15" ht="15.75" x14ac:dyDescent="0.25">
      <c r="A18" s="646"/>
      <c r="B18" s="646"/>
      <c r="C18" s="700"/>
      <c r="D18" s="427"/>
      <c r="E18" s="696"/>
      <c r="F18" s="452"/>
      <c r="G18" s="453"/>
      <c r="H18" s="454"/>
      <c r="I18" s="455"/>
      <c r="J18" s="456"/>
      <c r="K18" s="457"/>
      <c r="L18" s="405"/>
      <c r="M18" s="406"/>
      <c r="N18" s="697">
        <f t="shared" si="0"/>
        <v>0</v>
      </c>
      <c r="O18" s="692"/>
    </row>
    <row r="19" spans="1:15" ht="15.75" x14ac:dyDescent="0.25">
      <c r="A19" s="646"/>
      <c r="B19" s="646"/>
      <c r="C19" s="700"/>
      <c r="D19" s="427"/>
      <c r="E19" s="696"/>
      <c r="F19" s="452"/>
      <c r="G19" s="453"/>
      <c r="H19" s="454"/>
      <c r="I19" s="455"/>
      <c r="J19" s="456"/>
      <c r="K19" s="457"/>
      <c r="L19" s="405"/>
      <c r="M19" s="406"/>
      <c r="N19" s="697">
        <f t="shared" si="0"/>
        <v>0</v>
      </c>
      <c r="O19" s="692"/>
    </row>
    <row r="20" spans="1:15" ht="15.75" x14ac:dyDescent="0.25">
      <c r="A20" s="646"/>
      <c r="B20" s="646"/>
      <c r="C20" s="700"/>
      <c r="D20" s="427"/>
      <c r="E20" s="696"/>
      <c r="F20" s="452"/>
      <c r="G20" s="453"/>
      <c r="H20" s="454"/>
      <c r="I20" s="455"/>
      <c r="J20" s="456"/>
      <c r="K20" s="457"/>
      <c r="L20" s="405"/>
      <c r="M20" s="406"/>
      <c r="N20" s="697">
        <f t="shared" si="0"/>
        <v>0</v>
      </c>
      <c r="O20" s="692"/>
    </row>
    <row r="21" spans="1:15" ht="15.75" x14ac:dyDescent="0.25">
      <c r="A21" s="646"/>
      <c r="B21" s="646"/>
      <c r="C21" s="700"/>
      <c r="D21" s="427"/>
      <c r="E21" s="696"/>
      <c r="F21" s="452"/>
      <c r="G21" s="453"/>
      <c r="H21" s="454"/>
      <c r="I21" s="455"/>
      <c r="J21" s="456"/>
      <c r="K21" s="457"/>
      <c r="L21" s="405"/>
      <c r="M21" s="406"/>
      <c r="N21" s="697">
        <f t="shared" si="0"/>
        <v>0</v>
      </c>
      <c r="O21" s="692"/>
    </row>
    <row r="22" spans="1:15" ht="15.75" x14ac:dyDescent="0.25">
      <c r="A22" s="646"/>
      <c r="B22" s="646"/>
      <c r="C22" s="700"/>
      <c r="D22" s="427"/>
      <c r="E22" s="696"/>
      <c r="F22" s="452"/>
      <c r="G22" s="453"/>
      <c r="H22" s="454"/>
      <c r="I22" s="455"/>
      <c r="J22" s="456"/>
      <c r="K22" s="457"/>
      <c r="L22" s="405"/>
      <c r="M22" s="406"/>
      <c r="N22" s="697">
        <f t="shared" si="0"/>
        <v>0</v>
      </c>
      <c r="O22" s="692"/>
    </row>
    <row r="23" spans="1:15" ht="15.75" x14ac:dyDescent="0.25">
      <c r="A23" s="646"/>
      <c r="B23" s="646"/>
      <c r="C23" s="700"/>
      <c r="D23" s="427"/>
      <c r="E23" s="696"/>
      <c r="F23" s="452"/>
      <c r="G23" s="453"/>
      <c r="H23" s="454"/>
      <c r="I23" s="455"/>
      <c r="J23" s="456"/>
      <c r="K23" s="457"/>
      <c r="L23" s="405"/>
      <c r="M23" s="406"/>
      <c r="N23" s="697">
        <f t="shared" si="0"/>
        <v>0</v>
      </c>
      <c r="O23" s="692"/>
    </row>
    <row r="24" spans="1:15" ht="15.75" x14ac:dyDescent="0.25">
      <c r="A24" s="646"/>
      <c r="B24" s="646"/>
      <c r="C24" s="700"/>
      <c r="D24" s="427"/>
      <c r="E24" s="696"/>
      <c r="F24" s="452"/>
      <c r="G24" s="453"/>
      <c r="H24" s="454"/>
      <c r="I24" s="455"/>
      <c r="J24" s="456"/>
      <c r="K24" s="457"/>
      <c r="L24" s="405"/>
      <c r="M24" s="406"/>
      <c r="N24" s="697">
        <f t="shared" si="0"/>
        <v>0</v>
      </c>
      <c r="O24" s="692"/>
    </row>
    <row r="25" spans="1:15" ht="15.75" x14ac:dyDescent="0.25">
      <c r="A25" s="646"/>
      <c r="B25" s="646"/>
      <c r="C25" s="700"/>
      <c r="D25" s="427"/>
      <c r="E25" s="696"/>
      <c r="F25" s="452"/>
      <c r="G25" s="453"/>
      <c r="H25" s="454"/>
      <c r="I25" s="455"/>
      <c r="J25" s="456"/>
      <c r="K25" s="457"/>
      <c r="L25" s="405"/>
      <c r="M25" s="406"/>
      <c r="N25" s="697">
        <f t="shared" si="0"/>
        <v>0</v>
      </c>
      <c r="O25" s="692"/>
    </row>
    <row r="26" spans="1:15" ht="15.75" x14ac:dyDescent="0.25">
      <c r="A26" s="646"/>
      <c r="B26" s="646"/>
      <c r="C26" s="700"/>
      <c r="D26" s="427"/>
      <c r="E26" s="696"/>
      <c r="F26" s="452"/>
      <c r="G26" s="453"/>
      <c r="H26" s="454"/>
      <c r="I26" s="455"/>
      <c r="J26" s="456"/>
      <c r="K26" s="457"/>
      <c r="L26" s="405"/>
      <c r="M26" s="406"/>
      <c r="N26" s="697">
        <f t="shared" si="0"/>
        <v>0</v>
      </c>
      <c r="O26" s="692"/>
    </row>
    <row r="27" spans="1:15" ht="15.75" x14ac:dyDescent="0.25">
      <c r="A27" s="646"/>
      <c r="B27" s="646"/>
      <c r="C27" s="700"/>
      <c r="D27" s="427"/>
      <c r="E27" s="696"/>
      <c r="F27" s="452"/>
      <c r="G27" s="453"/>
      <c r="H27" s="454"/>
      <c r="I27" s="455"/>
      <c r="J27" s="456"/>
      <c r="K27" s="457"/>
      <c r="L27" s="405"/>
      <c r="M27" s="406"/>
      <c r="N27" s="697">
        <f t="shared" si="0"/>
        <v>0</v>
      </c>
      <c r="O27" s="692"/>
    </row>
    <row r="28" spans="1:15" ht="15.75" x14ac:dyDescent="0.25">
      <c r="A28" s="646"/>
      <c r="B28" s="646"/>
      <c r="C28" s="700"/>
      <c r="D28" s="427"/>
      <c r="E28" s="696"/>
      <c r="F28" s="452"/>
      <c r="G28" s="453"/>
      <c r="H28" s="454"/>
      <c r="I28" s="455"/>
      <c r="J28" s="456"/>
      <c r="K28" s="457"/>
      <c r="L28" s="405"/>
      <c r="M28" s="406"/>
      <c r="N28" s="697">
        <f t="shared" si="0"/>
        <v>0</v>
      </c>
      <c r="O28" s="692"/>
    </row>
    <row r="29" spans="1:15" ht="15.75" x14ac:dyDescent="0.25">
      <c r="A29" s="646"/>
      <c r="B29" s="646"/>
      <c r="C29" s="700"/>
      <c r="D29" s="427"/>
      <c r="E29" s="696"/>
      <c r="F29" s="452"/>
      <c r="G29" s="453"/>
      <c r="H29" s="454"/>
      <c r="I29" s="455"/>
      <c r="J29" s="456"/>
      <c r="K29" s="457"/>
      <c r="L29" s="405"/>
      <c r="M29" s="406"/>
      <c r="N29" s="697">
        <f t="shared" si="0"/>
        <v>0</v>
      </c>
      <c r="O29" s="692"/>
    </row>
    <row r="30" spans="1:15" ht="15.75" x14ac:dyDescent="0.25">
      <c r="A30" s="646"/>
      <c r="B30" s="646"/>
      <c r="C30" s="700"/>
      <c r="D30" s="427"/>
      <c r="E30" s="696"/>
      <c r="F30" s="452"/>
      <c r="G30" s="453"/>
      <c r="H30" s="454"/>
      <c r="I30" s="455"/>
      <c r="J30" s="456"/>
      <c r="K30" s="457"/>
      <c r="L30" s="405"/>
      <c r="M30" s="406"/>
      <c r="N30" s="697">
        <f t="shared" si="0"/>
        <v>0</v>
      </c>
      <c r="O30" s="692"/>
    </row>
    <row r="31" spans="1:15" ht="15.75" x14ac:dyDescent="0.25">
      <c r="A31" s="646"/>
      <c r="B31" s="646"/>
      <c r="C31" s="700"/>
      <c r="D31" s="427"/>
      <c r="E31" s="696"/>
      <c r="F31" s="452"/>
      <c r="G31" s="453"/>
      <c r="H31" s="454"/>
      <c r="I31" s="455"/>
      <c r="J31" s="456"/>
      <c r="K31" s="457"/>
      <c r="L31" s="405"/>
      <c r="M31" s="406"/>
      <c r="N31" s="697">
        <f t="shared" si="0"/>
        <v>0</v>
      </c>
      <c r="O31" s="692"/>
    </row>
    <row r="32" spans="1:15" ht="15.75" x14ac:dyDescent="0.25">
      <c r="A32" s="646"/>
      <c r="B32" s="646"/>
      <c r="C32" s="700"/>
      <c r="D32" s="427"/>
      <c r="E32" s="696"/>
      <c r="F32" s="452"/>
      <c r="G32" s="453"/>
      <c r="H32" s="454"/>
      <c r="I32" s="455"/>
      <c r="J32" s="456"/>
      <c r="K32" s="457"/>
      <c r="L32" s="405"/>
      <c r="M32" s="406"/>
      <c r="N32" s="697">
        <f t="shared" si="0"/>
        <v>0</v>
      </c>
      <c r="O32" s="692"/>
    </row>
    <row r="33" spans="1:15" ht="15.75" x14ac:dyDescent="0.25">
      <c r="A33" s="646"/>
      <c r="B33" s="646"/>
      <c r="C33" s="700"/>
      <c r="D33" s="427"/>
      <c r="E33" s="696"/>
      <c r="F33" s="452"/>
      <c r="G33" s="453"/>
      <c r="H33" s="454"/>
      <c r="I33" s="455"/>
      <c r="J33" s="456"/>
      <c r="K33" s="457"/>
      <c r="L33" s="405"/>
      <c r="M33" s="406"/>
      <c r="N33" s="697">
        <f t="shared" si="0"/>
        <v>0</v>
      </c>
      <c r="O33" s="692"/>
    </row>
    <row r="34" spans="1:15" ht="15.75" x14ac:dyDescent="0.25">
      <c r="A34" s="646"/>
      <c r="B34" s="646"/>
      <c r="C34" s="700"/>
      <c r="D34" s="427"/>
      <c r="E34" s="696"/>
      <c r="F34" s="452"/>
      <c r="G34" s="453"/>
      <c r="H34" s="454"/>
      <c r="I34" s="455"/>
      <c r="J34" s="456"/>
      <c r="K34" s="457"/>
      <c r="L34" s="405"/>
      <c r="M34" s="406"/>
      <c r="N34" s="697">
        <f t="shared" si="0"/>
        <v>0</v>
      </c>
      <c r="O34" s="692"/>
    </row>
    <row r="35" spans="1:15" ht="15.75" x14ac:dyDescent="0.25">
      <c r="A35" s="646"/>
      <c r="B35" s="646"/>
      <c r="C35" s="700"/>
      <c r="D35" s="427"/>
      <c r="E35" s="696"/>
      <c r="F35" s="452"/>
      <c r="G35" s="453"/>
      <c r="H35" s="454"/>
      <c r="I35" s="455"/>
      <c r="J35" s="456"/>
      <c r="K35" s="457"/>
      <c r="L35" s="405"/>
      <c r="M35" s="406"/>
      <c r="N35" s="697">
        <f t="shared" si="0"/>
        <v>0</v>
      </c>
      <c r="O35" s="692"/>
    </row>
    <row r="36" spans="1:15" ht="15.75" x14ac:dyDescent="0.25">
      <c r="A36" s="646"/>
      <c r="B36" s="646"/>
      <c r="C36" s="700"/>
      <c r="D36" s="427"/>
      <c r="E36" s="696"/>
      <c r="F36" s="452"/>
      <c r="G36" s="453"/>
      <c r="H36" s="454"/>
      <c r="I36" s="455"/>
      <c r="J36" s="456"/>
      <c r="K36" s="457"/>
      <c r="L36" s="405"/>
      <c r="M36" s="406"/>
      <c r="N36" s="697">
        <f t="shared" si="0"/>
        <v>0</v>
      </c>
      <c r="O36" s="692"/>
    </row>
    <row r="37" spans="1:15" ht="15.75" x14ac:dyDescent="0.25">
      <c r="A37" s="646"/>
      <c r="B37" s="646"/>
      <c r="C37" s="700"/>
      <c r="D37" s="427"/>
      <c r="E37" s="696"/>
      <c r="F37" s="452"/>
      <c r="G37" s="453"/>
      <c r="H37" s="454"/>
      <c r="I37" s="455"/>
      <c r="J37" s="456"/>
      <c r="K37" s="457"/>
      <c r="L37" s="405"/>
      <c r="M37" s="406"/>
      <c r="N37" s="697">
        <f t="shared" si="0"/>
        <v>0</v>
      </c>
      <c r="O37" s="692"/>
    </row>
    <row r="38" spans="1:15" ht="15.75" x14ac:dyDescent="0.25">
      <c r="A38" s="646"/>
      <c r="B38" s="646"/>
      <c r="C38" s="700"/>
      <c r="D38" s="427"/>
      <c r="E38" s="696"/>
      <c r="F38" s="452"/>
      <c r="G38" s="453"/>
      <c r="H38" s="454"/>
      <c r="I38" s="455"/>
      <c r="J38" s="456"/>
      <c r="K38" s="457"/>
      <c r="L38" s="405"/>
      <c r="M38" s="406"/>
      <c r="N38" s="697">
        <f t="shared" si="0"/>
        <v>0</v>
      </c>
      <c r="O38" s="692"/>
    </row>
    <row r="39" spans="1:15" ht="15.75" x14ac:dyDescent="0.25">
      <c r="A39" s="646"/>
      <c r="B39" s="646"/>
      <c r="C39" s="700"/>
      <c r="D39" s="427"/>
      <c r="E39" s="696"/>
      <c r="F39" s="452"/>
      <c r="G39" s="453"/>
      <c r="H39" s="454"/>
      <c r="I39" s="455"/>
      <c r="J39" s="456"/>
      <c r="K39" s="457"/>
      <c r="L39" s="405"/>
      <c r="M39" s="406"/>
      <c r="N39" s="697">
        <f t="shared" si="0"/>
        <v>0</v>
      </c>
      <c r="O39" s="692"/>
    </row>
    <row r="40" spans="1:15" ht="15.75" x14ac:dyDescent="0.25">
      <c r="A40" s="646"/>
      <c r="B40" s="646"/>
      <c r="C40" s="700"/>
      <c r="D40" s="427"/>
      <c r="E40" s="696"/>
      <c r="F40" s="452"/>
      <c r="G40" s="453"/>
      <c r="H40" s="454"/>
      <c r="I40" s="455"/>
      <c r="J40" s="456"/>
      <c r="K40" s="457"/>
      <c r="L40" s="405"/>
      <c r="M40" s="406"/>
      <c r="N40" s="697">
        <f t="shared" si="0"/>
        <v>0</v>
      </c>
      <c r="O40" s="692"/>
    </row>
    <row r="41" spans="1:15" ht="15.75" x14ac:dyDescent="0.25">
      <c r="A41" s="646"/>
      <c r="B41" s="646"/>
      <c r="C41" s="700"/>
      <c r="D41" s="427"/>
      <c r="E41" s="696"/>
      <c r="F41" s="452"/>
      <c r="G41" s="453"/>
      <c r="H41" s="454"/>
      <c r="I41" s="455"/>
      <c r="J41" s="456"/>
      <c r="K41" s="457"/>
      <c r="L41" s="405"/>
      <c r="M41" s="406"/>
      <c r="N41" s="697">
        <f t="shared" si="0"/>
        <v>0</v>
      </c>
      <c r="O41" s="692"/>
    </row>
    <row r="42" spans="1:15" ht="15.75" x14ac:dyDescent="0.25">
      <c r="A42" s="646"/>
      <c r="B42" s="646"/>
      <c r="C42" s="700"/>
      <c r="D42" s="427"/>
      <c r="E42" s="696"/>
      <c r="F42" s="452"/>
      <c r="G42" s="453"/>
      <c r="H42" s="454"/>
      <c r="I42" s="455"/>
      <c r="J42" s="456"/>
      <c r="K42" s="457"/>
      <c r="L42" s="405"/>
      <c r="M42" s="406"/>
      <c r="N42" s="697">
        <f t="shared" si="0"/>
        <v>0</v>
      </c>
      <c r="O42" s="692"/>
    </row>
    <row r="43" spans="1:15" ht="15.75" x14ac:dyDescent="0.25">
      <c r="A43" s="646"/>
      <c r="B43" s="646"/>
      <c r="C43" s="700"/>
      <c r="D43" s="427"/>
      <c r="E43" s="696"/>
      <c r="F43" s="452"/>
      <c r="G43" s="453"/>
      <c r="H43" s="454"/>
      <c r="I43" s="455"/>
      <c r="J43" s="456"/>
      <c r="K43" s="457"/>
      <c r="L43" s="405"/>
      <c r="M43" s="406"/>
      <c r="N43" s="697">
        <f t="shared" si="0"/>
        <v>0</v>
      </c>
      <c r="O43" s="692"/>
    </row>
    <row r="44" spans="1:15" ht="15.75" x14ac:dyDescent="0.25">
      <c r="A44" s="646"/>
      <c r="B44" s="646"/>
      <c r="C44" s="700"/>
      <c r="D44" s="427"/>
      <c r="E44" s="696"/>
      <c r="F44" s="452"/>
      <c r="G44" s="453"/>
      <c r="H44" s="454"/>
      <c r="I44" s="455"/>
      <c r="J44" s="456"/>
      <c r="K44" s="457"/>
      <c r="L44" s="405"/>
      <c r="M44" s="406"/>
      <c r="N44" s="697">
        <f t="shared" si="0"/>
        <v>0</v>
      </c>
      <c r="O44" s="692"/>
    </row>
    <row r="45" spans="1:15" ht="15.75" x14ac:dyDescent="0.25">
      <c r="A45" s="646"/>
      <c r="B45" s="646"/>
      <c r="C45" s="700"/>
      <c r="D45" s="427"/>
      <c r="E45" s="696"/>
      <c r="F45" s="452"/>
      <c r="G45" s="453"/>
      <c r="H45" s="454"/>
      <c r="I45" s="455"/>
      <c r="J45" s="456"/>
      <c r="K45" s="457"/>
      <c r="L45" s="405"/>
      <c r="M45" s="406"/>
      <c r="N45" s="697">
        <f t="shared" si="0"/>
        <v>0</v>
      </c>
      <c r="O45" s="692"/>
    </row>
    <row r="46" spans="1:15" ht="15.75" x14ac:dyDescent="0.25">
      <c r="A46" s="646"/>
      <c r="B46" s="646"/>
      <c r="C46" s="700"/>
      <c r="D46" s="427"/>
      <c r="E46" s="696"/>
      <c r="F46" s="452"/>
      <c r="G46" s="453"/>
      <c r="H46" s="454"/>
      <c r="I46" s="455"/>
      <c r="J46" s="456"/>
      <c r="K46" s="457"/>
      <c r="L46" s="405"/>
      <c r="M46" s="406"/>
      <c r="N46" s="697">
        <f t="shared" si="0"/>
        <v>0</v>
      </c>
      <c r="O46" s="692"/>
    </row>
    <row r="47" spans="1:15" ht="15.75" x14ac:dyDescent="0.25">
      <c r="A47" s="646"/>
      <c r="B47" s="646"/>
      <c r="C47" s="700"/>
      <c r="D47" s="427"/>
      <c r="E47" s="696"/>
      <c r="F47" s="452"/>
      <c r="G47" s="453"/>
      <c r="H47" s="454"/>
      <c r="I47" s="455"/>
      <c r="J47" s="456"/>
      <c r="K47" s="457"/>
      <c r="L47" s="405"/>
      <c r="M47" s="406"/>
      <c r="N47" s="697">
        <f t="shared" si="0"/>
        <v>0</v>
      </c>
      <c r="O47" s="692"/>
    </row>
    <row r="48" spans="1:15" ht="15.75" x14ac:dyDescent="0.25">
      <c r="A48" s="646"/>
      <c r="B48" s="646"/>
      <c r="C48" s="700"/>
      <c r="D48" s="427"/>
      <c r="E48" s="696"/>
      <c r="F48" s="452"/>
      <c r="G48" s="453"/>
      <c r="H48" s="454"/>
      <c r="I48" s="455"/>
      <c r="J48" s="456"/>
      <c r="K48" s="457"/>
      <c r="L48" s="405"/>
      <c r="M48" s="406"/>
      <c r="N48" s="697">
        <f t="shared" si="0"/>
        <v>0</v>
      </c>
      <c r="O48" s="692"/>
    </row>
    <row r="49" spans="1:15" ht="15.75" x14ac:dyDescent="0.25">
      <c r="A49" s="646"/>
      <c r="B49" s="646"/>
      <c r="C49" s="700"/>
      <c r="D49" s="427"/>
      <c r="E49" s="696"/>
      <c r="F49" s="452"/>
      <c r="G49" s="453"/>
      <c r="H49" s="454"/>
      <c r="I49" s="455"/>
      <c r="J49" s="456"/>
      <c r="K49" s="457"/>
      <c r="L49" s="405"/>
      <c r="M49" s="406"/>
      <c r="N49" s="697">
        <f t="shared" si="0"/>
        <v>0</v>
      </c>
      <c r="O49" s="692"/>
    </row>
    <row r="50" spans="1:15" ht="15.75" x14ac:dyDescent="0.25">
      <c r="A50" s="646"/>
      <c r="B50" s="646"/>
      <c r="C50" s="700"/>
      <c r="D50" s="427"/>
      <c r="E50" s="696"/>
      <c r="F50" s="452"/>
      <c r="G50" s="453"/>
      <c r="H50" s="454"/>
      <c r="I50" s="455"/>
      <c r="J50" s="456"/>
      <c r="K50" s="457"/>
      <c r="L50" s="405"/>
      <c r="M50" s="406"/>
      <c r="N50" s="697">
        <f t="shared" si="0"/>
        <v>0</v>
      </c>
      <c r="O50" s="692"/>
    </row>
    <row r="51" spans="1:15" ht="15.75" x14ac:dyDescent="0.25">
      <c r="A51" s="646"/>
      <c r="B51" s="646"/>
      <c r="C51" s="700"/>
      <c r="D51" s="427"/>
      <c r="E51" s="696"/>
      <c r="F51" s="452"/>
      <c r="G51" s="453"/>
      <c r="H51" s="454"/>
      <c r="I51" s="455"/>
      <c r="J51" s="456"/>
      <c r="K51" s="457"/>
      <c r="L51" s="405"/>
      <c r="M51" s="406"/>
      <c r="N51" s="697">
        <f t="shared" si="0"/>
        <v>0</v>
      </c>
      <c r="O51" s="692"/>
    </row>
    <row r="52" spans="1:15" ht="15.75" x14ac:dyDescent="0.25">
      <c r="A52" s="646"/>
      <c r="B52" s="646"/>
      <c r="C52" s="700"/>
      <c r="D52" s="427"/>
      <c r="E52" s="696"/>
      <c r="F52" s="452"/>
      <c r="G52" s="453"/>
      <c r="H52" s="454"/>
      <c r="I52" s="455"/>
      <c r="J52" s="456"/>
      <c r="K52" s="457"/>
      <c r="L52" s="405"/>
      <c r="M52" s="406"/>
      <c r="N52" s="697">
        <f t="shared" si="0"/>
        <v>0</v>
      </c>
      <c r="O52" s="692"/>
    </row>
    <row r="53" spans="1:15" ht="15.75" x14ac:dyDescent="0.25">
      <c r="A53" s="646"/>
      <c r="B53" s="646"/>
      <c r="C53" s="700"/>
      <c r="D53" s="427"/>
      <c r="E53" s="696"/>
      <c r="F53" s="452"/>
      <c r="G53" s="453"/>
      <c r="H53" s="454"/>
      <c r="I53" s="455"/>
      <c r="J53" s="456"/>
      <c r="K53" s="457"/>
      <c r="L53" s="405"/>
      <c r="M53" s="406"/>
      <c r="N53" s="697">
        <f t="shared" si="0"/>
        <v>0</v>
      </c>
      <c r="O53" s="692"/>
    </row>
    <row r="54" spans="1:15" ht="15.75" x14ac:dyDescent="0.25">
      <c r="A54" s="646"/>
      <c r="B54" s="646"/>
      <c r="C54" s="700"/>
      <c r="D54" s="427"/>
      <c r="E54" s="696"/>
      <c r="F54" s="452"/>
      <c r="G54" s="453"/>
      <c r="H54" s="454"/>
      <c r="I54" s="455"/>
      <c r="J54" s="456"/>
      <c r="K54" s="457"/>
      <c r="L54" s="405"/>
      <c r="M54" s="406"/>
      <c r="N54" s="697">
        <f t="shared" si="0"/>
        <v>0</v>
      </c>
      <c r="O54" s="692"/>
    </row>
    <row r="55" spans="1:15" ht="15.75" x14ac:dyDescent="0.25">
      <c r="A55" s="646"/>
      <c r="B55" s="646"/>
      <c r="C55" s="700"/>
      <c r="D55" s="427"/>
      <c r="E55" s="696"/>
      <c r="F55" s="452"/>
      <c r="G55" s="453"/>
      <c r="H55" s="454"/>
      <c r="I55" s="455"/>
      <c r="J55" s="456"/>
      <c r="K55" s="457"/>
      <c r="L55" s="405"/>
      <c r="M55" s="406"/>
      <c r="N55" s="697">
        <f t="shared" si="0"/>
        <v>0</v>
      </c>
      <c r="O55" s="692"/>
    </row>
    <row r="56" spans="1:15" ht="15.75" x14ac:dyDescent="0.25">
      <c r="A56" s="646"/>
      <c r="B56" s="646"/>
      <c r="C56" s="700"/>
      <c r="D56" s="427"/>
      <c r="E56" s="696"/>
      <c r="F56" s="452"/>
      <c r="G56" s="453"/>
      <c r="H56" s="454"/>
      <c r="I56" s="455"/>
      <c r="J56" s="456"/>
      <c r="K56" s="457"/>
      <c r="L56" s="405"/>
      <c r="M56" s="406"/>
      <c r="N56" s="697">
        <f t="shared" si="0"/>
        <v>0</v>
      </c>
      <c r="O56" s="692"/>
    </row>
    <row r="57" spans="1:15" ht="15.75" x14ac:dyDescent="0.25">
      <c r="A57" s="646"/>
      <c r="B57" s="646"/>
      <c r="C57" s="700"/>
      <c r="D57" s="427"/>
      <c r="E57" s="696"/>
      <c r="F57" s="452"/>
      <c r="G57" s="453"/>
      <c r="H57" s="454"/>
      <c r="I57" s="455"/>
      <c r="J57" s="456"/>
      <c r="K57" s="457"/>
      <c r="L57" s="405"/>
      <c r="M57" s="406"/>
      <c r="N57" s="697">
        <f t="shared" si="0"/>
        <v>0</v>
      </c>
      <c r="O57" s="692"/>
    </row>
    <row r="58" spans="1:15" ht="15.75" x14ac:dyDescent="0.25">
      <c r="A58" s="646"/>
      <c r="B58" s="646"/>
      <c r="C58" s="700"/>
      <c r="D58" s="427"/>
      <c r="E58" s="696"/>
      <c r="F58" s="452"/>
      <c r="G58" s="453"/>
      <c r="H58" s="454"/>
      <c r="I58" s="455"/>
      <c r="J58" s="456"/>
      <c r="K58" s="457"/>
      <c r="L58" s="405"/>
      <c r="M58" s="406"/>
      <c r="N58" s="697">
        <f t="shared" si="0"/>
        <v>0</v>
      </c>
      <c r="O58" s="692"/>
    </row>
    <row r="59" spans="1:15" ht="15.75" x14ac:dyDescent="0.25">
      <c r="A59" s="646"/>
      <c r="B59" s="646"/>
      <c r="C59" s="700"/>
      <c r="D59" s="427"/>
      <c r="E59" s="696"/>
      <c r="F59" s="452"/>
      <c r="G59" s="453"/>
      <c r="H59" s="454"/>
      <c r="I59" s="455"/>
      <c r="J59" s="456"/>
      <c r="K59" s="457"/>
      <c r="L59" s="405"/>
      <c r="M59" s="406"/>
      <c r="N59" s="697">
        <f t="shared" si="0"/>
        <v>0</v>
      </c>
      <c r="O59" s="692"/>
    </row>
    <row r="60" spans="1:15" ht="15.75" x14ac:dyDescent="0.25">
      <c r="A60" s="646"/>
      <c r="B60" s="646"/>
      <c r="C60" s="700"/>
      <c r="D60" s="427"/>
      <c r="E60" s="696"/>
      <c r="F60" s="452"/>
      <c r="G60" s="453"/>
      <c r="H60" s="454"/>
      <c r="I60" s="455"/>
      <c r="J60" s="456"/>
      <c r="K60" s="457"/>
      <c r="L60" s="405"/>
      <c r="M60" s="406"/>
      <c r="N60" s="697">
        <f t="shared" si="0"/>
        <v>0</v>
      </c>
      <c r="O60" s="692"/>
    </row>
    <row r="61" spans="1:15" ht="15.75" x14ac:dyDescent="0.25">
      <c r="A61" s="646"/>
      <c r="B61" s="646"/>
      <c r="C61" s="700"/>
      <c r="D61" s="427"/>
      <c r="E61" s="696"/>
      <c r="F61" s="452"/>
      <c r="G61" s="453"/>
      <c r="H61" s="454"/>
      <c r="I61" s="455"/>
      <c r="J61" s="456"/>
      <c r="K61" s="457"/>
      <c r="L61" s="405"/>
      <c r="M61" s="406"/>
      <c r="N61" s="697">
        <f t="shared" si="0"/>
        <v>0</v>
      </c>
      <c r="O61" s="692"/>
    </row>
    <row r="62" spans="1:15" ht="15.75" x14ac:dyDescent="0.25">
      <c r="A62" s="646"/>
      <c r="B62" s="646"/>
      <c r="C62" s="700"/>
      <c r="D62" s="427"/>
      <c r="E62" s="696"/>
      <c r="F62" s="452"/>
      <c r="G62" s="453"/>
      <c r="H62" s="454"/>
      <c r="I62" s="455"/>
      <c r="J62" s="456"/>
      <c r="K62" s="457"/>
      <c r="L62" s="405"/>
      <c r="M62" s="406"/>
      <c r="N62" s="697">
        <f t="shared" si="0"/>
        <v>0</v>
      </c>
      <c r="O62" s="692"/>
    </row>
    <row r="63" spans="1:15" ht="15.75" x14ac:dyDescent="0.25">
      <c r="A63" s="646"/>
      <c r="B63" s="646"/>
      <c r="C63" s="700"/>
      <c r="D63" s="427"/>
      <c r="E63" s="696"/>
      <c r="F63" s="452"/>
      <c r="G63" s="453"/>
      <c r="H63" s="454"/>
      <c r="I63" s="455"/>
      <c r="J63" s="456"/>
      <c r="K63" s="457"/>
      <c r="L63" s="405"/>
      <c r="M63" s="406"/>
      <c r="N63" s="697">
        <f t="shared" si="0"/>
        <v>0</v>
      </c>
      <c r="O63" s="692"/>
    </row>
    <row r="64" spans="1:15" ht="15.75" x14ac:dyDescent="0.25">
      <c r="A64" s="646"/>
      <c r="B64" s="646"/>
      <c r="C64" s="700"/>
      <c r="D64" s="427"/>
      <c r="E64" s="696"/>
      <c r="F64" s="452"/>
      <c r="G64" s="453"/>
      <c r="H64" s="454"/>
      <c r="I64" s="455"/>
      <c r="J64" s="456"/>
      <c r="K64" s="457"/>
      <c r="L64" s="405"/>
      <c r="M64" s="406"/>
      <c r="N64" s="697">
        <f t="shared" si="0"/>
        <v>0</v>
      </c>
      <c r="O64" s="692"/>
    </row>
    <row r="65" spans="1:15" ht="15.75" x14ac:dyDescent="0.25">
      <c r="A65" s="646"/>
      <c r="B65" s="646"/>
      <c r="C65" s="700"/>
      <c r="D65" s="427"/>
      <c r="E65" s="696"/>
      <c r="F65" s="452"/>
      <c r="G65" s="453"/>
      <c r="H65" s="454"/>
      <c r="I65" s="455"/>
      <c r="J65" s="456"/>
      <c r="K65" s="457"/>
      <c r="L65" s="405"/>
      <c r="M65" s="406"/>
      <c r="N65" s="697">
        <f t="shared" si="0"/>
        <v>0</v>
      </c>
      <c r="O65" s="692"/>
    </row>
    <row r="66" spans="1:15" ht="15.75" x14ac:dyDescent="0.25">
      <c r="A66" s="646"/>
      <c r="B66" s="646"/>
      <c r="C66" s="700"/>
      <c r="D66" s="427"/>
      <c r="E66" s="696"/>
      <c r="F66" s="452"/>
      <c r="G66" s="453"/>
      <c r="H66" s="454"/>
      <c r="I66" s="455"/>
      <c r="J66" s="456"/>
      <c r="K66" s="457"/>
      <c r="L66" s="405"/>
      <c r="M66" s="406"/>
      <c r="N66" s="697">
        <f t="shared" si="0"/>
        <v>0</v>
      </c>
      <c r="O66" s="692"/>
    </row>
    <row r="67" spans="1:15" ht="15.75" x14ac:dyDescent="0.25">
      <c r="A67" s="646"/>
      <c r="B67" s="646"/>
      <c r="C67" s="700"/>
      <c r="D67" s="427"/>
      <c r="E67" s="696"/>
      <c r="F67" s="452"/>
      <c r="G67" s="453"/>
      <c r="H67" s="454"/>
      <c r="I67" s="455"/>
      <c r="J67" s="456"/>
      <c r="K67" s="457"/>
      <c r="L67" s="405"/>
      <c r="M67" s="406"/>
      <c r="N67" s="697">
        <f t="shared" si="0"/>
        <v>0</v>
      </c>
      <c r="O67" s="692"/>
    </row>
    <row r="68" spans="1:15" ht="15.75" x14ac:dyDescent="0.25">
      <c r="A68" s="646"/>
      <c r="B68" s="646"/>
      <c r="C68" s="700"/>
      <c r="D68" s="427"/>
      <c r="E68" s="696"/>
      <c r="F68" s="452"/>
      <c r="G68" s="453"/>
      <c r="H68" s="454"/>
      <c r="I68" s="455"/>
      <c r="J68" s="456"/>
      <c r="K68" s="457"/>
      <c r="L68" s="405"/>
      <c r="M68" s="406"/>
      <c r="N68" s="697">
        <f t="shared" si="0"/>
        <v>0</v>
      </c>
      <c r="O68" s="692"/>
    </row>
    <row r="69" spans="1:15" ht="15.75" x14ac:dyDescent="0.25">
      <c r="A69" s="646"/>
      <c r="B69" s="646"/>
      <c r="C69" s="700"/>
      <c r="D69" s="427"/>
      <c r="E69" s="696"/>
      <c r="F69" s="452"/>
      <c r="G69" s="453"/>
      <c r="H69" s="454"/>
      <c r="I69" s="455"/>
      <c r="J69" s="456"/>
      <c r="K69" s="457"/>
      <c r="L69" s="405"/>
      <c r="M69" s="406"/>
      <c r="N69" s="697">
        <f t="shared" si="0"/>
        <v>0</v>
      </c>
      <c r="O69" s="692"/>
    </row>
    <row r="70" spans="1:15" ht="15.75" x14ac:dyDescent="0.25">
      <c r="A70" s="646"/>
      <c r="B70" s="646"/>
      <c r="C70" s="700"/>
      <c r="D70" s="427"/>
      <c r="E70" s="696"/>
      <c r="F70" s="452"/>
      <c r="G70" s="453"/>
      <c r="H70" s="454"/>
      <c r="I70" s="455"/>
      <c r="J70" s="456"/>
      <c r="K70" s="457"/>
      <c r="L70" s="405"/>
      <c r="M70" s="406"/>
      <c r="N70" s="697">
        <f t="shared" si="0"/>
        <v>0</v>
      </c>
      <c r="O70" s="692"/>
    </row>
    <row r="71" spans="1:15" ht="15.75" x14ac:dyDescent="0.25">
      <c r="A71" s="646"/>
      <c r="B71" s="646"/>
      <c r="C71" s="700"/>
      <c r="D71" s="427"/>
      <c r="E71" s="696"/>
      <c r="F71" s="452"/>
      <c r="G71" s="453"/>
      <c r="H71" s="454"/>
      <c r="I71" s="455"/>
      <c r="J71" s="456"/>
      <c r="K71" s="457"/>
      <c r="L71" s="405"/>
      <c r="M71" s="406"/>
      <c r="N71" s="697">
        <f t="shared" si="0"/>
        <v>0</v>
      </c>
      <c r="O71" s="692"/>
    </row>
    <row r="72" spans="1:15" ht="15.75" x14ac:dyDescent="0.25">
      <c r="A72" s="646"/>
      <c r="B72" s="646"/>
      <c r="C72" s="700"/>
      <c r="D72" s="427"/>
      <c r="E72" s="696"/>
      <c r="F72" s="452"/>
      <c r="G72" s="453"/>
      <c r="H72" s="454"/>
      <c r="I72" s="455"/>
      <c r="J72" s="456"/>
      <c r="K72" s="457"/>
      <c r="L72" s="405"/>
      <c r="M72" s="406"/>
      <c r="N72" s="697">
        <f t="shared" si="0"/>
        <v>0</v>
      </c>
      <c r="O72" s="692"/>
    </row>
    <row r="73" spans="1:15" ht="15.75" x14ac:dyDescent="0.25">
      <c r="A73" s="646"/>
      <c r="B73" s="646"/>
      <c r="C73" s="700"/>
      <c r="D73" s="427"/>
      <c r="E73" s="696"/>
      <c r="F73" s="452"/>
      <c r="G73" s="453"/>
      <c r="H73" s="454"/>
      <c r="I73" s="455"/>
      <c r="J73" s="456"/>
      <c r="K73" s="457"/>
      <c r="L73" s="405"/>
      <c r="M73" s="406"/>
      <c r="N73" s="697">
        <f t="shared" si="0"/>
        <v>0</v>
      </c>
      <c r="O73" s="692"/>
    </row>
    <row r="74" spans="1:15" ht="15.75" x14ac:dyDescent="0.25">
      <c r="A74" s="646"/>
      <c r="B74" s="646"/>
      <c r="C74" s="700"/>
      <c r="D74" s="427"/>
      <c r="E74" s="696"/>
      <c r="F74" s="452"/>
      <c r="G74" s="453"/>
      <c r="H74" s="454"/>
      <c r="I74" s="455"/>
      <c r="J74" s="456"/>
      <c r="K74" s="457"/>
      <c r="L74" s="405"/>
      <c r="M74" s="406"/>
      <c r="N74" s="697">
        <f t="shared" si="0"/>
        <v>0</v>
      </c>
      <c r="O74" s="692"/>
    </row>
    <row r="75" spans="1:15" ht="15.75" x14ac:dyDescent="0.25">
      <c r="A75" s="646"/>
      <c r="B75" s="646"/>
      <c r="C75" s="700"/>
      <c r="D75" s="427"/>
      <c r="E75" s="696"/>
      <c r="F75" s="452"/>
      <c r="G75" s="453"/>
      <c r="H75" s="454"/>
      <c r="I75" s="455"/>
      <c r="J75" s="456"/>
      <c r="K75" s="457"/>
      <c r="L75" s="405"/>
      <c r="M75" s="406"/>
      <c r="N75" s="697">
        <f t="shared" si="0"/>
        <v>0</v>
      </c>
      <c r="O75" s="692"/>
    </row>
    <row r="76" spans="1:15" ht="15.75" x14ac:dyDescent="0.25">
      <c r="A76" s="646"/>
      <c r="B76" s="646"/>
      <c r="C76" s="700"/>
      <c r="D76" s="427"/>
      <c r="E76" s="696"/>
      <c r="F76" s="452"/>
      <c r="G76" s="453"/>
      <c r="H76" s="454"/>
      <c r="I76" s="455"/>
      <c r="J76" s="456"/>
      <c r="K76" s="457"/>
      <c r="L76" s="405"/>
      <c r="M76" s="406"/>
      <c r="N76" s="697">
        <f t="shared" si="0"/>
        <v>0</v>
      </c>
      <c r="O76" s="692"/>
    </row>
    <row r="77" spans="1:15" ht="15.75" x14ac:dyDescent="0.25">
      <c r="A77" s="646"/>
      <c r="B77" s="646"/>
      <c r="C77" s="700"/>
      <c r="D77" s="427"/>
      <c r="E77" s="696"/>
      <c r="F77" s="452"/>
      <c r="G77" s="453"/>
      <c r="H77" s="454"/>
      <c r="I77" s="455"/>
      <c r="J77" s="456"/>
      <c r="K77" s="457"/>
      <c r="L77" s="405"/>
      <c r="M77" s="406"/>
      <c r="N77" s="697">
        <f t="shared" si="0"/>
        <v>0</v>
      </c>
      <c r="O77" s="692"/>
    </row>
    <row r="78" spans="1:15" ht="15.75" x14ac:dyDescent="0.25">
      <c r="A78" s="646"/>
      <c r="B78" s="646"/>
      <c r="C78" s="700"/>
      <c r="D78" s="427"/>
      <c r="E78" s="696"/>
      <c r="F78" s="452"/>
      <c r="G78" s="453"/>
      <c r="H78" s="454"/>
      <c r="I78" s="455"/>
      <c r="J78" s="456"/>
      <c r="K78" s="457"/>
      <c r="L78" s="405"/>
      <c r="M78" s="406"/>
      <c r="N78" s="697">
        <f t="shared" si="0"/>
        <v>0</v>
      </c>
      <c r="O78" s="692"/>
    </row>
    <row r="79" spans="1:15" ht="15.75" x14ac:dyDescent="0.25">
      <c r="A79" s="646"/>
      <c r="B79" s="646"/>
      <c r="C79" s="700"/>
      <c r="D79" s="427"/>
      <c r="E79" s="696"/>
      <c r="F79" s="452"/>
      <c r="G79" s="453"/>
      <c r="H79" s="454"/>
      <c r="I79" s="455"/>
      <c r="J79" s="456"/>
      <c r="K79" s="457"/>
      <c r="L79" s="405"/>
      <c r="M79" s="406"/>
      <c r="N79" s="697">
        <f t="shared" si="0"/>
        <v>0</v>
      </c>
      <c r="O79" s="692"/>
    </row>
    <row r="80" spans="1:15" ht="15.75" x14ac:dyDescent="0.25">
      <c r="A80" s="646"/>
      <c r="B80" s="646"/>
      <c r="C80" s="700"/>
      <c r="D80" s="427"/>
      <c r="E80" s="696"/>
      <c r="F80" s="452"/>
      <c r="G80" s="453"/>
      <c r="H80" s="454"/>
      <c r="I80" s="455"/>
      <c r="J80" s="456"/>
      <c r="K80" s="457"/>
      <c r="L80" s="405"/>
      <c r="M80" s="406"/>
      <c r="N80" s="697">
        <f t="shared" si="0"/>
        <v>0</v>
      </c>
      <c r="O80" s="692"/>
    </row>
    <row r="81" spans="1:15" ht="15.75" x14ac:dyDescent="0.25">
      <c r="A81" s="647"/>
      <c r="B81" s="647"/>
      <c r="C81" s="701"/>
      <c r="D81" s="427"/>
      <c r="E81" s="696"/>
      <c r="F81" s="452"/>
      <c r="G81" s="453"/>
      <c r="H81" s="454"/>
      <c r="I81" s="455"/>
      <c r="J81" s="456"/>
      <c r="K81" s="457"/>
      <c r="L81" s="405"/>
      <c r="M81" s="406"/>
      <c r="N81" s="697">
        <f t="shared" si="0"/>
        <v>0</v>
      </c>
      <c r="O81" s="693"/>
    </row>
    <row r="82" spans="1:15" ht="18.75" x14ac:dyDescent="0.25">
      <c r="A82" s="661">
        <f>COUNTA(A8:A81)</f>
        <v>0</v>
      </c>
      <c r="B82" s="773">
        <f>COUNTA(B8:C81)</f>
        <v>0</v>
      </c>
      <c r="C82" s="773"/>
      <c r="D82" s="411">
        <f>SUM(D8:D81)</f>
        <v>0</v>
      </c>
      <c r="E82" s="428" t="s">
        <v>275</v>
      </c>
      <c r="F82" s="458">
        <f t="shared" ref="F82:N82" si="1">SUM(F8:F81)</f>
        <v>0</v>
      </c>
      <c r="G82" s="458">
        <f t="shared" si="1"/>
        <v>0</v>
      </c>
      <c r="H82" s="459">
        <f t="shared" si="1"/>
        <v>0</v>
      </c>
      <c r="I82" s="460">
        <f t="shared" si="1"/>
        <v>0</v>
      </c>
      <c r="J82" s="461">
        <f t="shared" si="1"/>
        <v>0</v>
      </c>
      <c r="K82" s="462">
        <f t="shared" si="1"/>
        <v>0</v>
      </c>
      <c r="L82" s="414">
        <f t="shared" si="1"/>
        <v>0</v>
      </c>
      <c r="M82" s="415">
        <f t="shared" si="1"/>
        <v>0</v>
      </c>
      <c r="N82" s="698">
        <f t="shared" si="1"/>
        <v>0</v>
      </c>
    </row>
    <row r="83" spans="1:15" s="657" customFormat="1" ht="4.5" customHeight="1" x14ac:dyDescent="0.25">
      <c r="A83" s="658"/>
      <c r="B83" s="658"/>
      <c r="C83" s="658"/>
      <c r="D83" s="658"/>
      <c r="E83" s="659"/>
      <c r="F83" s="659"/>
      <c r="G83" s="659"/>
      <c r="H83" s="659"/>
      <c r="I83" s="659"/>
      <c r="J83" s="659"/>
      <c r="K83" s="659"/>
      <c r="L83" s="659"/>
      <c r="M83" s="659"/>
      <c r="N83" s="659"/>
      <c r="O83" s="694"/>
    </row>
    <row r="84" spans="1:15" s="657" customFormat="1" ht="15.75" customHeight="1" x14ac:dyDescent="0.25">
      <c r="A84" s="648">
        <f>Konti_PTS!D19-A82</f>
        <v>0</v>
      </c>
      <c r="B84" s="774">
        <f>IF(Konti_PTS!D19=0,0,4)-B82</f>
        <v>0</v>
      </c>
      <c r="C84" s="775"/>
      <c r="D84" s="648">
        <f>ROUND(Konti_PTS!L53-D82,2)</f>
        <v>0</v>
      </c>
      <c r="E84" s="649" t="s">
        <v>384</v>
      </c>
      <c r="F84" s="755">
        <f>ROUND(IF(Konti_PTS!F37&gt;0,Konti_PTS!F37,Konti_PTS!E33)-SUM(F82:G82),2)</f>
        <v>0</v>
      </c>
      <c r="G84" s="756"/>
      <c r="H84" s="650">
        <f>SUM(Konti_PTS!D23:E23)-H82</f>
        <v>0</v>
      </c>
      <c r="I84" s="651">
        <f>ROUND(GTS!D41-I82,2)</f>
        <v>0</v>
      </c>
      <c r="J84" s="652">
        <f>ROUND(Assistenz!L63-J82,2)</f>
        <v>0</v>
      </c>
      <c r="K84" s="653">
        <f>ROUND(Konti_PTS!D72-K82,2)</f>
        <v>0</v>
      </c>
      <c r="L84" s="654"/>
      <c r="M84" s="654"/>
      <c r="N84" s="654"/>
      <c r="O84" s="695"/>
    </row>
    <row r="85" spans="1:15" s="657" customFormat="1" ht="12" customHeight="1" x14ac:dyDescent="0.2">
      <c r="A85" s="655"/>
      <c r="B85" s="656"/>
      <c r="C85" s="656"/>
      <c r="D85" s="655"/>
      <c r="E85" s="649" t="s">
        <v>385</v>
      </c>
      <c r="F85" s="757">
        <f>IF(H84="",F84,F84+H84)</f>
        <v>0</v>
      </c>
      <c r="G85" s="758"/>
      <c r="H85" s="759"/>
      <c r="I85" s="663"/>
      <c r="J85" s="664"/>
      <c r="K85" s="378"/>
      <c r="O85" s="695"/>
    </row>
    <row r="86" spans="1:15" ht="15" x14ac:dyDescent="0.25"/>
    <row r="87" spans="1:15" ht="15" x14ac:dyDescent="0.25"/>
    <row r="88" spans="1:15" ht="15" x14ac:dyDescent="0.25"/>
    <row r="89" spans="1:15" ht="15" x14ac:dyDescent="0.25"/>
    <row r="90" spans="1:15" ht="15" x14ac:dyDescent="0.25"/>
    <row r="91" spans="1:15" ht="15" x14ac:dyDescent="0.25"/>
    <row r="92" spans="1:15" ht="15" x14ac:dyDescent="0.25"/>
    <row r="93" spans="1:15" ht="15" x14ac:dyDescent="0.25"/>
    <row r="94" spans="1:15" ht="15" x14ac:dyDescent="0.25"/>
    <row r="95" spans="1:15" ht="15" x14ac:dyDescent="0.25"/>
    <row r="96" spans="1:15" ht="15"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sheetData>
  <sheetProtection algorithmName="SHA-512" hashValue="W6/jPhZ3mmqpntmob+o4nWhoQwX4fvwl4Lp3qGvBgbXWtXQRb+Lsn9KYGE/oTKclrpXFSBn+GW0JVzIN2Pj97w==" saltValue="PwEkYUq2+mF4TRl4xuEe/Q==" spinCount="100000" sheet="1" formatRows="0"/>
  <mergeCells count="11">
    <mergeCell ref="F84:G84"/>
    <mergeCell ref="F85:H85"/>
    <mergeCell ref="K1:M1"/>
    <mergeCell ref="L2:M2"/>
    <mergeCell ref="A3:N3"/>
    <mergeCell ref="A4:D5"/>
    <mergeCell ref="F4:L4"/>
    <mergeCell ref="M4:M6"/>
    <mergeCell ref="B6:C6"/>
    <mergeCell ref="B82:C82"/>
    <mergeCell ref="B84:C84"/>
  </mergeCells>
  <conditionalFormatting sqref="D8:D81">
    <cfRule type="cellIs" dxfId="94" priority="30" stopIfTrue="1" operator="greaterThan">
      <formula>0</formula>
    </cfRule>
  </conditionalFormatting>
  <conditionalFormatting sqref="I8">
    <cfRule type="cellIs" dxfId="93" priority="25" stopIfTrue="1" operator="greaterThan">
      <formula>0</formula>
    </cfRule>
  </conditionalFormatting>
  <conditionalFormatting sqref="J8">
    <cfRule type="cellIs" dxfId="92" priority="24" stopIfTrue="1" operator="greaterThan">
      <formula>0</formula>
    </cfRule>
  </conditionalFormatting>
  <conditionalFormatting sqref="K8">
    <cfRule type="cellIs" dxfId="91" priority="23" stopIfTrue="1" operator="greaterThan">
      <formula>0</formula>
    </cfRule>
  </conditionalFormatting>
  <conditionalFormatting sqref="F8">
    <cfRule type="cellIs" dxfId="90" priority="26" stopIfTrue="1" operator="greaterThan">
      <formula>0</formula>
    </cfRule>
  </conditionalFormatting>
  <conditionalFormatting sqref="G8:H81">
    <cfRule type="cellIs" dxfId="89" priority="22" stopIfTrue="1" operator="greaterThan">
      <formula>0</formula>
    </cfRule>
  </conditionalFormatting>
  <conditionalFormatting sqref="F8:F81">
    <cfRule type="cellIs" dxfId="88" priority="21" stopIfTrue="1" operator="greaterThan">
      <formula>0</formula>
    </cfRule>
  </conditionalFormatting>
  <conditionalFormatting sqref="G8">
    <cfRule type="cellIs" dxfId="87" priority="20" stopIfTrue="1" operator="greaterThan">
      <formula>0</formula>
    </cfRule>
  </conditionalFormatting>
  <conditionalFormatting sqref="A8:A81">
    <cfRule type="cellIs" dxfId="86" priority="19" stopIfTrue="1" operator="greaterThan">
      <formula>0</formula>
    </cfRule>
  </conditionalFormatting>
  <conditionalFormatting sqref="A84">
    <cfRule type="cellIs" dxfId="85" priority="5" operator="lessThan">
      <formula>0</formula>
    </cfRule>
  </conditionalFormatting>
  <conditionalFormatting sqref="B84:C84">
    <cfRule type="cellIs" dxfId="84" priority="4" operator="equal">
      <formula>0</formula>
    </cfRule>
    <cfRule type="cellIs" dxfId="83" priority="3" operator="lessThan">
      <formula>0</formula>
    </cfRule>
  </conditionalFormatting>
  <conditionalFormatting sqref="E84:E85">
    <cfRule type="expression" dxfId="82" priority="11">
      <formula>SUM($F$84:$K$85)=0</formula>
    </cfRule>
  </conditionalFormatting>
  <conditionalFormatting sqref="F84:K84 F85:H85 D84">
    <cfRule type="cellIs" dxfId="81" priority="10" operator="equal">
      <formula>0</formula>
    </cfRule>
  </conditionalFormatting>
  <conditionalFormatting sqref="F84:H85 I84:K84">
    <cfRule type="cellIs" dxfId="80" priority="8" operator="lessThan">
      <formula>0</formula>
    </cfRule>
  </conditionalFormatting>
  <conditionalFormatting sqref="H84">
    <cfRule type="expression" dxfId="79" priority="9">
      <formula>AND(F84&gt;0,H16=0)</formula>
    </cfRule>
  </conditionalFormatting>
  <conditionalFormatting sqref="D84">
    <cfRule type="cellIs" dxfId="78" priority="7" operator="lessThan">
      <formula>0</formula>
    </cfRule>
  </conditionalFormatting>
  <conditionalFormatting sqref="A84">
    <cfRule type="cellIs" dxfId="77" priority="6" operator="equal">
      <formula>0</formula>
    </cfRule>
  </conditionalFormatting>
  <conditionalFormatting sqref="B8:C81">
    <cfRule type="cellIs" dxfId="76" priority="2" stopIfTrue="1" operator="greaterThan">
      <formula>0</formula>
    </cfRule>
  </conditionalFormatting>
  <conditionalFormatting sqref="O8:O81">
    <cfRule type="cellIs" dxfId="75" priority="1" stopIfTrue="1" operator="greaterThan">
      <formula>0</formula>
    </cfRule>
  </conditionalFormatting>
  <dataValidations count="7">
    <dataValidation type="decimal" allowBlank="1" showInputMessage="1" showErrorMessage="1" error="bitte eine gültige Zahl eingeben !!" sqref="IE65568:IE65585 SA65568:SA65585 ABW65568:ABW65585 ALS65568:ALS65585 AVO65568:AVO65585 BFK65568:BFK65585 BPG65568:BPG65585 BZC65568:BZC65585 CIY65568:CIY65585 CSU65568:CSU65585 DCQ65568:DCQ65585 DMM65568:DMM65585 DWI65568:DWI65585 EGE65568:EGE65585 EQA65568:EQA65585 EZW65568:EZW65585 FJS65568:FJS65585 FTO65568:FTO65585 GDK65568:GDK65585 GNG65568:GNG65585 GXC65568:GXC65585 HGY65568:HGY65585 HQU65568:HQU65585 IAQ65568:IAQ65585 IKM65568:IKM65585 IUI65568:IUI65585 JEE65568:JEE65585 JOA65568:JOA65585 JXW65568:JXW65585 KHS65568:KHS65585 KRO65568:KRO65585 LBK65568:LBK65585 LLG65568:LLG65585 LVC65568:LVC65585 MEY65568:MEY65585 MOU65568:MOU65585 MYQ65568:MYQ65585 NIM65568:NIM65585 NSI65568:NSI65585 OCE65568:OCE65585 OMA65568:OMA65585 OVW65568:OVW65585 PFS65568:PFS65585 PPO65568:PPO65585 PZK65568:PZK65585 QJG65568:QJG65585 QTC65568:QTC65585 RCY65568:RCY65585 RMU65568:RMU65585 RWQ65568:RWQ65585 SGM65568:SGM65585 SQI65568:SQI65585 TAE65568:TAE65585 TKA65568:TKA65585 TTW65568:TTW65585 UDS65568:UDS65585 UNO65568:UNO65585 UXK65568:UXK65585 VHG65568:VHG65585 VRC65568:VRC65585 WAY65568:WAY65585 WKU65568:WKU65585 WUQ65568:WUQ65585 IE131104:IE131121 SA131104:SA131121 ABW131104:ABW131121 ALS131104:ALS131121 AVO131104:AVO131121 BFK131104:BFK131121 BPG131104:BPG131121 BZC131104:BZC131121 CIY131104:CIY131121 CSU131104:CSU131121 DCQ131104:DCQ131121 DMM131104:DMM131121 DWI131104:DWI131121 EGE131104:EGE131121 EQA131104:EQA131121 EZW131104:EZW131121 FJS131104:FJS131121 FTO131104:FTO131121 GDK131104:GDK131121 GNG131104:GNG131121 GXC131104:GXC131121 HGY131104:HGY131121 HQU131104:HQU131121 IAQ131104:IAQ131121 IKM131104:IKM131121 IUI131104:IUI131121 JEE131104:JEE131121 JOA131104:JOA131121 JXW131104:JXW131121 KHS131104:KHS131121 KRO131104:KRO131121 LBK131104:LBK131121 LLG131104:LLG131121 LVC131104:LVC131121 MEY131104:MEY131121 MOU131104:MOU131121 MYQ131104:MYQ131121 NIM131104:NIM131121 NSI131104:NSI131121 OCE131104:OCE131121 OMA131104:OMA131121 OVW131104:OVW131121 PFS131104:PFS131121 PPO131104:PPO131121 PZK131104:PZK131121 QJG131104:QJG131121 QTC131104:QTC131121 RCY131104:RCY131121 RMU131104:RMU131121 RWQ131104:RWQ131121 SGM131104:SGM131121 SQI131104:SQI131121 TAE131104:TAE131121 TKA131104:TKA131121 TTW131104:TTW131121 UDS131104:UDS131121 UNO131104:UNO131121 UXK131104:UXK131121 VHG131104:VHG131121 VRC131104:VRC131121 WAY131104:WAY131121 WKU131104:WKU131121 WUQ131104:WUQ131121 IE196640:IE196657 SA196640:SA196657 ABW196640:ABW196657 ALS196640:ALS196657 AVO196640:AVO196657 BFK196640:BFK196657 BPG196640:BPG196657 BZC196640:BZC196657 CIY196640:CIY196657 CSU196640:CSU196657 DCQ196640:DCQ196657 DMM196640:DMM196657 DWI196640:DWI196657 EGE196640:EGE196657 EQA196640:EQA196657 EZW196640:EZW196657 FJS196640:FJS196657 FTO196640:FTO196657 GDK196640:GDK196657 GNG196640:GNG196657 GXC196640:GXC196657 HGY196640:HGY196657 HQU196640:HQU196657 IAQ196640:IAQ196657 IKM196640:IKM196657 IUI196640:IUI196657 JEE196640:JEE196657 JOA196640:JOA196657 JXW196640:JXW196657 KHS196640:KHS196657 KRO196640:KRO196657 LBK196640:LBK196657 LLG196640:LLG196657 LVC196640:LVC196657 MEY196640:MEY196657 MOU196640:MOU196657 MYQ196640:MYQ196657 NIM196640:NIM196657 NSI196640:NSI196657 OCE196640:OCE196657 OMA196640:OMA196657 OVW196640:OVW196657 PFS196640:PFS196657 PPO196640:PPO196657 PZK196640:PZK196657 QJG196640:QJG196657 QTC196640:QTC196657 RCY196640:RCY196657 RMU196640:RMU196657 RWQ196640:RWQ196657 SGM196640:SGM196657 SQI196640:SQI196657 TAE196640:TAE196657 TKA196640:TKA196657 TTW196640:TTW196657 UDS196640:UDS196657 UNO196640:UNO196657 UXK196640:UXK196657 VHG196640:VHG196657 VRC196640:VRC196657 WAY196640:WAY196657 WKU196640:WKU196657 WUQ196640:WUQ196657 IE262176:IE262193 SA262176:SA262193 ABW262176:ABW262193 ALS262176:ALS262193 AVO262176:AVO262193 BFK262176:BFK262193 BPG262176:BPG262193 BZC262176:BZC262193 CIY262176:CIY262193 CSU262176:CSU262193 DCQ262176:DCQ262193 DMM262176:DMM262193 DWI262176:DWI262193 EGE262176:EGE262193 EQA262176:EQA262193 EZW262176:EZW262193 FJS262176:FJS262193 FTO262176:FTO262193 GDK262176:GDK262193 GNG262176:GNG262193 GXC262176:GXC262193 HGY262176:HGY262193 HQU262176:HQU262193 IAQ262176:IAQ262193 IKM262176:IKM262193 IUI262176:IUI262193 JEE262176:JEE262193 JOA262176:JOA262193 JXW262176:JXW262193 KHS262176:KHS262193 KRO262176:KRO262193 LBK262176:LBK262193 LLG262176:LLG262193 LVC262176:LVC262193 MEY262176:MEY262193 MOU262176:MOU262193 MYQ262176:MYQ262193 NIM262176:NIM262193 NSI262176:NSI262193 OCE262176:OCE262193 OMA262176:OMA262193 OVW262176:OVW262193 PFS262176:PFS262193 PPO262176:PPO262193 PZK262176:PZK262193 QJG262176:QJG262193 QTC262176:QTC262193 RCY262176:RCY262193 RMU262176:RMU262193 RWQ262176:RWQ262193 SGM262176:SGM262193 SQI262176:SQI262193 TAE262176:TAE262193 TKA262176:TKA262193 TTW262176:TTW262193 UDS262176:UDS262193 UNO262176:UNO262193 UXK262176:UXK262193 VHG262176:VHG262193 VRC262176:VRC262193 WAY262176:WAY262193 WKU262176:WKU262193 WUQ262176:WUQ262193 IE327712:IE327729 SA327712:SA327729 ABW327712:ABW327729 ALS327712:ALS327729 AVO327712:AVO327729 BFK327712:BFK327729 BPG327712:BPG327729 BZC327712:BZC327729 CIY327712:CIY327729 CSU327712:CSU327729 DCQ327712:DCQ327729 DMM327712:DMM327729 DWI327712:DWI327729 EGE327712:EGE327729 EQA327712:EQA327729 EZW327712:EZW327729 FJS327712:FJS327729 FTO327712:FTO327729 GDK327712:GDK327729 GNG327712:GNG327729 GXC327712:GXC327729 HGY327712:HGY327729 HQU327712:HQU327729 IAQ327712:IAQ327729 IKM327712:IKM327729 IUI327712:IUI327729 JEE327712:JEE327729 JOA327712:JOA327729 JXW327712:JXW327729 KHS327712:KHS327729 KRO327712:KRO327729 LBK327712:LBK327729 LLG327712:LLG327729 LVC327712:LVC327729 MEY327712:MEY327729 MOU327712:MOU327729 MYQ327712:MYQ327729 NIM327712:NIM327729 NSI327712:NSI327729 OCE327712:OCE327729 OMA327712:OMA327729 OVW327712:OVW327729 PFS327712:PFS327729 PPO327712:PPO327729 PZK327712:PZK327729 QJG327712:QJG327729 QTC327712:QTC327729 RCY327712:RCY327729 RMU327712:RMU327729 RWQ327712:RWQ327729 SGM327712:SGM327729 SQI327712:SQI327729 TAE327712:TAE327729 TKA327712:TKA327729 TTW327712:TTW327729 UDS327712:UDS327729 UNO327712:UNO327729 UXK327712:UXK327729 VHG327712:VHG327729 VRC327712:VRC327729 WAY327712:WAY327729 WKU327712:WKU327729 WUQ327712:WUQ327729 IE393248:IE393265 SA393248:SA393265 ABW393248:ABW393265 ALS393248:ALS393265 AVO393248:AVO393265 BFK393248:BFK393265 BPG393248:BPG393265 BZC393248:BZC393265 CIY393248:CIY393265 CSU393248:CSU393265 DCQ393248:DCQ393265 DMM393248:DMM393265 DWI393248:DWI393265 EGE393248:EGE393265 EQA393248:EQA393265 EZW393248:EZW393265 FJS393248:FJS393265 FTO393248:FTO393265 GDK393248:GDK393265 GNG393248:GNG393265 GXC393248:GXC393265 HGY393248:HGY393265 HQU393248:HQU393265 IAQ393248:IAQ393265 IKM393248:IKM393265 IUI393248:IUI393265 JEE393248:JEE393265 JOA393248:JOA393265 JXW393248:JXW393265 KHS393248:KHS393265 KRO393248:KRO393265 LBK393248:LBK393265 LLG393248:LLG393265 LVC393248:LVC393265 MEY393248:MEY393265 MOU393248:MOU393265 MYQ393248:MYQ393265 NIM393248:NIM393265 NSI393248:NSI393265 OCE393248:OCE393265 OMA393248:OMA393265 OVW393248:OVW393265 PFS393248:PFS393265 PPO393248:PPO393265 PZK393248:PZK393265 QJG393248:QJG393265 QTC393248:QTC393265 RCY393248:RCY393265 RMU393248:RMU393265 RWQ393248:RWQ393265 SGM393248:SGM393265 SQI393248:SQI393265 TAE393248:TAE393265 TKA393248:TKA393265 TTW393248:TTW393265 UDS393248:UDS393265 UNO393248:UNO393265 UXK393248:UXK393265 VHG393248:VHG393265 VRC393248:VRC393265 WAY393248:WAY393265 WKU393248:WKU393265 WUQ393248:WUQ393265 IE458784:IE458801 SA458784:SA458801 ABW458784:ABW458801 ALS458784:ALS458801 AVO458784:AVO458801 BFK458784:BFK458801 BPG458784:BPG458801 BZC458784:BZC458801 CIY458784:CIY458801 CSU458784:CSU458801 DCQ458784:DCQ458801 DMM458784:DMM458801 DWI458784:DWI458801 EGE458784:EGE458801 EQA458784:EQA458801 EZW458784:EZW458801 FJS458784:FJS458801 FTO458784:FTO458801 GDK458784:GDK458801 GNG458784:GNG458801 GXC458784:GXC458801 HGY458784:HGY458801 HQU458784:HQU458801 IAQ458784:IAQ458801 IKM458784:IKM458801 IUI458784:IUI458801 JEE458784:JEE458801 JOA458784:JOA458801 JXW458784:JXW458801 KHS458784:KHS458801 KRO458784:KRO458801 LBK458784:LBK458801 LLG458784:LLG458801 LVC458784:LVC458801 MEY458784:MEY458801 MOU458784:MOU458801 MYQ458784:MYQ458801 NIM458784:NIM458801 NSI458784:NSI458801 OCE458784:OCE458801 OMA458784:OMA458801 OVW458784:OVW458801 PFS458784:PFS458801 PPO458784:PPO458801 PZK458784:PZK458801 QJG458784:QJG458801 QTC458784:QTC458801 RCY458784:RCY458801 RMU458784:RMU458801 RWQ458784:RWQ458801 SGM458784:SGM458801 SQI458784:SQI458801 TAE458784:TAE458801 TKA458784:TKA458801 TTW458784:TTW458801 UDS458784:UDS458801 UNO458784:UNO458801 UXK458784:UXK458801 VHG458784:VHG458801 VRC458784:VRC458801 WAY458784:WAY458801 WKU458784:WKU458801 WUQ458784:WUQ458801 IE524320:IE524337 SA524320:SA524337 ABW524320:ABW524337 ALS524320:ALS524337 AVO524320:AVO524337 BFK524320:BFK524337 BPG524320:BPG524337 BZC524320:BZC524337 CIY524320:CIY524337 CSU524320:CSU524337 DCQ524320:DCQ524337 DMM524320:DMM524337 DWI524320:DWI524337 EGE524320:EGE524337 EQA524320:EQA524337 EZW524320:EZW524337 FJS524320:FJS524337 FTO524320:FTO524337 GDK524320:GDK524337 GNG524320:GNG524337 GXC524320:GXC524337 HGY524320:HGY524337 HQU524320:HQU524337 IAQ524320:IAQ524337 IKM524320:IKM524337 IUI524320:IUI524337 JEE524320:JEE524337 JOA524320:JOA524337 JXW524320:JXW524337 KHS524320:KHS524337 KRO524320:KRO524337 LBK524320:LBK524337 LLG524320:LLG524337 LVC524320:LVC524337 MEY524320:MEY524337 MOU524320:MOU524337 MYQ524320:MYQ524337 NIM524320:NIM524337 NSI524320:NSI524337 OCE524320:OCE524337 OMA524320:OMA524337 OVW524320:OVW524337 PFS524320:PFS524337 PPO524320:PPO524337 PZK524320:PZK524337 QJG524320:QJG524337 QTC524320:QTC524337 RCY524320:RCY524337 RMU524320:RMU524337 RWQ524320:RWQ524337 SGM524320:SGM524337 SQI524320:SQI524337 TAE524320:TAE524337 TKA524320:TKA524337 TTW524320:TTW524337 UDS524320:UDS524337 UNO524320:UNO524337 UXK524320:UXK524337 VHG524320:VHG524337 VRC524320:VRC524337 WAY524320:WAY524337 WKU524320:WKU524337 WUQ524320:WUQ524337 IE589856:IE589873 SA589856:SA589873 ABW589856:ABW589873 ALS589856:ALS589873 AVO589856:AVO589873 BFK589856:BFK589873 BPG589856:BPG589873 BZC589856:BZC589873 CIY589856:CIY589873 CSU589856:CSU589873 DCQ589856:DCQ589873 DMM589856:DMM589873 DWI589856:DWI589873 EGE589856:EGE589873 EQA589856:EQA589873 EZW589856:EZW589873 FJS589856:FJS589873 FTO589856:FTO589873 GDK589856:GDK589873 GNG589856:GNG589873 GXC589856:GXC589873 HGY589856:HGY589873 HQU589856:HQU589873 IAQ589856:IAQ589873 IKM589856:IKM589873 IUI589856:IUI589873 JEE589856:JEE589873 JOA589856:JOA589873 JXW589856:JXW589873 KHS589856:KHS589873 KRO589856:KRO589873 LBK589856:LBK589873 LLG589856:LLG589873 LVC589856:LVC589873 MEY589856:MEY589873 MOU589856:MOU589873 MYQ589856:MYQ589873 NIM589856:NIM589873 NSI589856:NSI589873 OCE589856:OCE589873 OMA589856:OMA589873 OVW589856:OVW589873 PFS589856:PFS589873 PPO589856:PPO589873 PZK589856:PZK589873 QJG589856:QJG589873 QTC589856:QTC589873 RCY589856:RCY589873 RMU589856:RMU589873 RWQ589856:RWQ589873 SGM589856:SGM589873 SQI589856:SQI589873 TAE589856:TAE589873 TKA589856:TKA589873 TTW589856:TTW589873 UDS589856:UDS589873 UNO589856:UNO589873 UXK589856:UXK589873 VHG589856:VHG589873 VRC589856:VRC589873 WAY589856:WAY589873 WKU589856:WKU589873 WUQ589856:WUQ589873 IE655392:IE655409 SA655392:SA655409 ABW655392:ABW655409 ALS655392:ALS655409 AVO655392:AVO655409 BFK655392:BFK655409 BPG655392:BPG655409 BZC655392:BZC655409 CIY655392:CIY655409 CSU655392:CSU655409 DCQ655392:DCQ655409 DMM655392:DMM655409 DWI655392:DWI655409 EGE655392:EGE655409 EQA655392:EQA655409 EZW655392:EZW655409 FJS655392:FJS655409 FTO655392:FTO655409 GDK655392:GDK655409 GNG655392:GNG655409 GXC655392:GXC655409 HGY655392:HGY655409 HQU655392:HQU655409 IAQ655392:IAQ655409 IKM655392:IKM655409 IUI655392:IUI655409 JEE655392:JEE655409 JOA655392:JOA655409 JXW655392:JXW655409 KHS655392:KHS655409 KRO655392:KRO655409 LBK655392:LBK655409 LLG655392:LLG655409 LVC655392:LVC655409 MEY655392:MEY655409 MOU655392:MOU655409 MYQ655392:MYQ655409 NIM655392:NIM655409 NSI655392:NSI655409 OCE655392:OCE655409 OMA655392:OMA655409 OVW655392:OVW655409 PFS655392:PFS655409 PPO655392:PPO655409 PZK655392:PZK655409 QJG655392:QJG655409 QTC655392:QTC655409 RCY655392:RCY655409 RMU655392:RMU655409 RWQ655392:RWQ655409 SGM655392:SGM655409 SQI655392:SQI655409 TAE655392:TAE655409 TKA655392:TKA655409 TTW655392:TTW655409 UDS655392:UDS655409 UNO655392:UNO655409 UXK655392:UXK655409 VHG655392:VHG655409 VRC655392:VRC655409 WAY655392:WAY655409 WKU655392:WKU655409 WUQ655392:WUQ655409 IE720928:IE720945 SA720928:SA720945 ABW720928:ABW720945 ALS720928:ALS720945 AVO720928:AVO720945 BFK720928:BFK720945 BPG720928:BPG720945 BZC720928:BZC720945 CIY720928:CIY720945 CSU720928:CSU720945 DCQ720928:DCQ720945 DMM720928:DMM720945 DWI720928:DWI720945 EGE720928:EGE720945 EQA720928:EQA720945 EZW720928:EZW720945 FJS720928:FJS720945 FTO720928:FTO720945 GDK720928:GDK720945 GNG720928:GNG720945 GXC720928:GXC720945 HGY720928:HGY720945 HQU720928:HQU720945 IAQ720928:IAQ720945 IKM720928:IKM720945 IUI720928:IUI720945 JEE720928:JEE720945 JOA720928:JOA720945 JXW720928:JXW720945 KHS720928:KHS720945 KRO720928:KRO720945 LBK720928:LBK720945 LLG720928:LLG720945 LVC720928:LVC720945 MEY720928:MEY720945 MOU720928:MOU720945 MYQ720928:MYQ720945 NIM720928:NIM720945 NSI720928:NSI720945 OCE720928:OCE720945 OMA720928:OMA720945 OVW720928:OVW720945 PFS720928:PFS720945 PPO720928:PPO720945 PZK720928:PZK720945 QJG720928:QJG720945 QTC720928:QTC720945 RCY720928:RCY720945 RMU720928:RMU720945 RWQ720928:RWQ720945 SGM720928:SGM720945 SQI720928:SQI720945 TAE720928:TAE720945 TKA720928:TKA720945 TTW720928:TTW720945 UDS720928:UDS720945 UNO720928:UNO720945 UXK720928:UXK720945 VHG720928:VHG720945 VRC720928:VRC720945 WAY720928:WAY720945 WKU720928:WKU720945 WUQ720928:WUQ720945 IE786464:IE786481 SA786464:SA786481 ABW786464:ABW786481 ALS786464:ALS786481 AVO786464:AVO786481 BFK786464:BFK786481 BPG786464:BPG786481 BZC786464:BZC786481 CIY786464:CIY786481 CSU786464:CSU786481 DCQ786464:DCQ786481 DMM786464:DMM786481 DWI786464:DWI786481 EGE786464:EGE786481 EQA786464:EQA786481 EZW786464:EZW786481 FJS786464:FJS786481 FTO786464:FTO786481 GDK786464:GDK786481 GNG786464:GNG786481 GXC786464:GXC786481 HGY786464:HGY786481 HQU786464:HQU786481 IAQ786464:IAQ786481 IKM786464:IKM786481 IUI786464:IUI786481 JEE786464:JEE786481 JOA786464:JOA786481 JXW786464:JXW786481 KHS786464:KHS786481 KRO786464:KRO786481 LBK786464:LBK786481 LLG786464:LLG786481 LVC786464:LVC786481 MEY786464:MEY786481 MOU786464:MOU786481 MYQ786464:MYQ786481 NIM786464:NIM786481 NSI786464:NSI786481 OCE786464:OCE786481 OMA786464:OMA786481 OVW786464:OVW786481 PFS786464:PFS786481 PPO786464:PPO786481 PZK786464:PZK786481 QJG786464:QJG786481 QTC786464:QTC786481 RCY786464:RCY786481 RMU786464:RMU786481 RWQ786464:RWQ786481 SGM786464:SGM786481 SQI786464:SQI786481 TAE786464:TAE786481 TKA786464:TKA786481 TTW786464:TTW786481 UDS786464:UDS786481 UNO786464:UNO786481 UXK786464:UXK786481 VHG786464:VHG786481 VRC786464:VRC786481 WAY786464:WAY786481 WKU786464:WKU786481 WUQ786464:WUQ786481 IE852000:IE852017 SA852000:SA852017 ABW852000:ABW852017 ALS852000:ALS852017 AVO852000:AVO852017 BFK852000:BFK852017 BPG852000:BPG852017 BZC852000:BZC852017 CIY852000:CIY852017 CSU852000:CSU852017 DCQ852000:DCQ852017 DMM852000:DMM852017 DWI852000:DWI852017 EGE852000:EGE852017 EQA852000:EQA852017 EZW852000:EZW852017 FJS852000:FJS852017 FTO852000:FTO852017 GDK852000:GDK852017 GNG852000:GNG852017 GXC852000:GXC852017 HGY852000:HGY852017 HQU852000:HQU852017 IAQ852000:IAQ852017 IKM852000:IKM852017 IUI852000:IUI852017 JEE852000:JEE852017 JOA852000:JOA852017 JXW852000:JXW852017 KHS852000:KHS852017 KRO852000:KRO852017 LBK852000:LBK852017 LLG852000:LLG852017 LVC852000:LVC852017 MEY852000:MEY852017 MOU852000:MOU852017 MYQ852000:MYQ852017 NIM852000:NIM852017 NSI852000:NSI852017 OCE852000:OCE852017 OMA852000:OMA852017 OVW852000:OVW852017 PFS852000:PFS852017 PPO852000:PPO852017 PZK852000:PZK852017 QJG852000:QJG852017 QTC852000:QTC852017 RCY852000:RCY852017 RMU852000:RMU852017 RWQ852000:RWQ852017 SGM852000:SGM852017 SQI852000:SQI852017 TAE852000:TAE852017 TKA852000:TKA852017 TTW852000:TTW852017 UDS852000:UDS852017 UNO852000:UNO852017 UXK852000:UXK852017 VHG852000:VHG852017 VRC852000:VRC852017 WAY852000:WAY852017 WKU852000:WKU852017 WUQ852000:WUQ852017 IE917536:IE917553 SA917536:SA917553 ABW917536:ABW917553 ALS917536:ALS917553 AVO917536:AVO917553 BFK917536:BFK917553 BPG917536:BPG917553 BZC917536:BZC917553 CIY917536:CIY917553 CSU917536:CSU917553 DCQ917536:DCQ917553 DMM917536:DMM917553 DWI917536:DWI917553 EGE917536:EGE917553 EQA917536:EQA917553 EZW917536:EZW917553 FJS917536:FJS917553 FTO917536:FTO917553 GDK917536:GDK917553 GNG917536:GNG917553 GXC917536:GXC917553 HGY917536:HGY917553 HQU917536:HQU917553 IAQ917536:IAQ917553 IKM917536:IKM917553 IUI917536:IUI917553 JEE917536:JEE917553 JOA917536:JOA917553 JXW917536:JXW917553 KHS917536:KHS917553 KRO917536:KRO917553 LBK917536:LBK917553 LLG917536:LLG917553 LVC917536:LVC917553 MEY917536:MEY917553 MOU917536:MOU917553 MYQ917536:MYQ917553 NIM917536:NIM917553 NSI917536:NSI917553 OCE917536:OCE917553 OMA917536:OMA917553 OVW917536:OVW917553 PFS917536:PFS917553 PPO917536:PPO917553 PZK917536:PZK917553 QJG917536:QJG917553 QTC917536:QTC917553 RCY917536:RCY917553 RMU917536:RMU917553 RWQ917536:RWQ917553 SGM917536:SGM917553 SQI917536:SQI917553 TAE917536:TAE917553 TKA917536:TKA917553 TTW917536:TTW917553 UDS917536:UDS917553 UNO917536:UNO917553 UXK917536:UXK917553 VHG917536:VHG917553 VRC917536:VRC917553 WAY917536:WAY917553 WKU917536:WKU917553 WUQ917536:WUQ917553 IE983072:IE983089 SA983072:SA983089 ABW983072:ABW983089 ALS983072:ALS983089 AVO983072:AVO983089 BFK983072:BFK983089 BPG983072:BPG983089 BZC983072:BZC983089 CIY983072:CIY983089 CSU983072:CSU983089 DCQ983072:DCQ983089 DMM983072:DMM983089 DWI983072:DWI983089 EGE983072:EGE983089 EQA983072:EQA983089 EZW983072:EZW983089 FJS983072:FJS983089 FTO983072:FTO983089 GDK983072:GDK983089 GNG983072:GNG983089 GXC983072:GXC983089 HGY983072:HGY983089 HQU983072:HQU983089 IAQ983072:IAQ983089 IKM983072:IKM983089 IUI983072:IUI983089 JEE983072:JEE983089 JOA983072:JOA983089 JXW983072:JXW983089 KHS983072:KHS983089 KRO983072:KRO983089 LBK983072:LBK983089 LLG983072:LLG983089 LVC983072:LVC983089 MEY983072:MEY983089 MOU983072:MOU983089 MYQ983072:MYQ983089 NIM983072:NIM983089 NSI983072:NSI983089 OCE983072:OCE983089 OMA983072:OMA983089 OVW983072:OVW983089 PFS983072:PFS983089 PPO983072:PPO983089 PZK983072:PZK983089 QJG983072:QJG983089 QTC983072:QTC983089 RCY983072:RCY983089 RMU983072:RMU983089 RWQ983072:RWQ983089 SGM983072:SGM983089 SQI983072:SQI983089 TAE983072:TAE983089 TKA983072:TKA983089 TTW983072:TTW983089 UDS983072:UDS983089 UNO983072:UNO983089 UXK983072:UXK983089 VHG983072:VHG983089 VRC983072:VRC983089 WAY983072:WAY983089 WKU983072:WKU983089 WUQ983072:WUQ983089 IE75:IE81 SA75:SA81 ABW75:ABW81 ALS75:ALS81 AVO75:AVO81 BFK75:BFK81 BPG75:BPG81 BZC75:BZC81 CIY75:CIY81 CSU75:CSU81 DCQ75:DCQ81 DMM75:DMM81 DWI75:DWI81 EGE75:EGE81 EQA75:EQA81 EZW75:EZW81 FJS75:FJS81 FTO75:FTO81 GDK75:GDK81 GNG75:GNG81 GXC75:GXC81 HGY75:HGY81 HQU75:HQU81 IAQ75:IAQ81 IKM75:IKM81 IUI75:IUI81 JEE75:JEE81 JOA75:JOA81 JXW75:JXW81 KHS75:KHS81 KRO75:KRO81 LBK75:LBK81 LLG75:LLG81 LVC75:LVC81 MEY75:MEY81 MOU75:MOU81 MYQ75:MYQ81 NIM75:NIM81 NSI75:NSI81 OCE75:OCE81 OMA75:OMA81 OVW75:OVW81 PFS75:PFS81 PPO75:PPO81 PZK75:PZK81 QJG75:QJG81 QTC75:QTC81 RCY75:RCY81 RMU75:RMU81 RWQ75:RWQ81 SGM75:SGM81 SQI75:SQI81 TAE75:TAE81 TKA75:TKA81 TTW75:TTW81 UDS75:UDS81 UNO75:UNO81 UXK75:UXK81 VHG75:VHG81 VRC75:VRC81 WAY75:WAY81 WKU75:WKU81 WUQ75:WUQ81">
      <formula1>0</formula1>
      <formula2>24</formula2>
    </dataValidation>
    <dataValidation type="decimal" allowBlank="1" showInputMessage="1" showErrorMessage="1" error="bitte eine gültige Zahl eingeben !!" sqref="IE65522:IE65567 SA65522:SA65567 ABW65522:ABW65567 ALS65522:ALS65567 AVO65522:AVO65567 BFK65522:BFK65567 BPG65522:BPG65567 BZC65522:BZC65567 CIY65522:CIY65567 CSU65522:CSU65567 DCQ65522:DCQ65567 DMM65522:DMM65567 DWI65522:DWI65567 EGE65522:EGE65567 EQA65522:EQA65567 EZW65522:EZW65567 FJS65522:FJS65567 FTO65522:FTO65567 GDK65522:GDK65567 GNG65522:GNG65567 GXC65522:GXC65567 HGY65522:HGY65567 HQU65522:HQU65567 IAQ65522:IAQ65567 IKM65522:IKM65567 IUI65522:IUI65567 JEE65522:JEE65567 JOA65522:JOA65567 JXW65522:JXW65567 KHS65522:KHS65567 KRO65522:KRO65567 LBK65522:LBK65567 LLG65522:LLG65567 LVC65522:LVC65567 MEY65522:MEY65567 MOU65522:MOU65567 MYQ65522:MYQ65567 NIM65522:NIM65567 NSI65522:NSI65567 OCE65522:OCE65567 OMA65522:OMA65567 OVW65522:OVW65567 PFS65522:PFS65567 PPO65522:PPO65567 PZK65522:PZK65567 QJG65522:QJG65567 QTC65522:QTC65567 RCY65522:RCY65567 RMU65522:RMU65567 RWQ65522:RWQ65567 SGM65522:SGM65567 SQI65522:SQI65567 TAE65522:TAE65567 TKA65522:TKA65567 TTW65522:TTW65567 UDS65522:UDS65567 UNO65522:UNO65567 UXK65522:UXK65567 VHG65522:VHG65567 VRC65522:VRC65567 WAY65522:WAY65567 WKU65522:WKU65567 WUQ65522:WUQ65567 IE131058:IE131103 SA131058:SA131103 ABW131058:ABW131103 ALS131058:ALS131103 AVO131058:AVO131103 BFK131058:BFK131103 BPG131058:BPG131103 BZC131058:BZC131103 CIY131058:CIY131103 CSU131058:CSU131103 DCQ131058:DCQ131103 DMM131058:DMM131103 DWI131058:DWI131103 EGE131058:EGE131103 EQA131058:EQA131103 EZW131058:EZW131103 FJS131058:FJS131103 FTO131058:FTO131103 GDK131058:GDK131103 GNG131058:GNG131103 GXC131058:GXC131103 HGY131058:HGY131103 HQU131058:HQU131103 IAQ131058:IAQ131103 IKM131058:IKM131103 IUI131058:IUI131103 JEE131058:JEE131103 JOA131058:JOA131103 JXW131058:JXW131103 KHS131058:KHS131103 KRO131058:KRO131103 LBK131058:LBK131103 LLG131058:LLG131103 LVC131058:LVC131103 MEY131058:MEY131103 MOU131058:MOU131103 MYQ131058:MYQ131103 NIM131058:NIM131103 NSI131058:NSI131103 OCE131058:OCE131103 OMA131058:OMA131103 OVW131058:OVW131103 PFS131058:PFS131103 PPO131058:PPO131103 PZK131058:PZK131103 QJG131058:QJG131103 QTC131058:QTC131103 RCY131058:RCY131103 RMU131058:RMU131103 RWQ131058:RWQ131103 SGM131058:SGM131103 SQI131058:SQI131103 TAE131058:TAE131103 TKA131058:TKA131103 TTW131058:TTW131103 UDS131058:UDS131103 UNO131058:UNO131103 UXK131058:UXK131103 VHG131058:VHG131103 VRC131058:VRC131103 WAY131058:WAY131103 WKU131058:WKU131103 WUQ131058:WUQ131103 IE196594:IE196639 SA196594:SA196639 ABW196594:ABW196639 ALS196594:ALS196639 AVO196594:AVO196639 BFK196594:BFK196639 BPG196594:BPG196639 BZC196594:BZC196639 CIY196594:CIY196639 CSU196594:CSU196639 DCQ196594:DCQ196639 DMM196594:DMM196639 DWI196594:DWI196639 EGE196594:EGE196639 EQA196594:EQA196639 EZW196594:EZW196639 FJS196594:FJS196639 FTO196594:FTO196639 GDK196594:GDK196639 GNG196594:GNG196639 GXC196594:GXC196639 HGY196594:HGY196639 HQU196594:HQU196639 IAQ196594:IAQ196639 IKM196594:IKM196639 IUI196594:IUI196639 JEE196594:JEE196639 JOA196594:JOA196639 JXW196594:JXW196639 KHS196594:KHS196639 KRO196594:KRO196639 LBK196594:LBK196639 LLG196594:LLG196639 LVC196594:LVC196639 MEY196594:MEY196639 MOU196594:MOU196639 MYQ196594:MYQ196639 NIM196594:NIM196639 NSI196594:NSI196639 OCE196594:OCE196639 OMA196594:OMA196639 OVW196594:OVW196639 PFS196594:PFS196639 PPO196594:PPO196639 PZK196594:PZK196639 QJG196594:QJG196639 QTC196594:QTC196639 RCY196594:RCY196639 RMU196594:RMU196639 RWQ196594:RWQ196639 SGM196594:SGM196639 SQI196594:SQI196639 TAE196594:TAE196639 TKA196594:TKA196639 TTW196594:TTW196639 UDS196594:UDS196639 UNO196594:UNO196639 UXK196594:UXK196639 VHG196594:VHG196639 VRC196594:VRC196639 WAY196594:WAY196639 WKU196594:WKU196639 WUQ196594:WUQ196639 IE262130:IE262175 SA262130:SA262175 ABW262130:ABW262175 ALS262130:ALS262175 AVO262130:AVO262175 BFK262130:BFK262175 BPG262130:BPG262175 BZC262130:BZC262175 CIY262130:CIY262175 CSU262130:CSU262175 DCQ262130:DCQ262175 DMM262130:DMM262175 DWI262130:DWI262175 EGE262130:EGE262175 EQA262130:EQA262175 EZW262130:EZW262175 FJS262130:FJS262175 FTO262130:FTO262175 GDK262130:GDK262175 GNG262130:GNG262175 GXC262130:GXC262175 HGY262130:HGY262175 HQU262130:HQU262175 IAQ262130:IAQ262175 IKM262130:IKM262175 IUI262130:IUI262175 JEE262130:JEE262175 JOA262130:JOA262175 JXW262130:JXW262175 KHS262130:KHS262175 KRO262130:KRO262175 LBK262130:LBK262175 LLG262130:LLG262175 LVC262130:LVC262175 MEY262130:MEY262175 MOU262130:MOU262175 MYQ262130:MYQ262175 NIM262130:NIM262175 NSI262130:NSI262175 OCE262130:OCE262175 OMA262130:OMA262175 OVW262130:OVW262175 PFS262130:PFS262175 PPO262130:PPO262175 PZK262130:PZK262175 QJG262130:QJG262175 QTC262130:QTC262175 RCY262130:RCY262175 RMU262130:RMU262175 RWQ262130:RWQ262175 SGM262130:SGM262175 SQI262130:SQI262175 TAE262130:TAE262175 TKA262130:TKA262175 TTW262130:TTW262175 UDS262130:UDS262175 UNO262130:UNO262175 UXK262130:UXK262175 VHG262130:VHG262175 VRC262130:VRC262175 WAY262130:WAY262175 WKU262130:WKU262175 WUQ262130:WUQ262175 IE327666:IE327711 SA327666:SA327711 ABW327666:ABW327711 ALS327666:ALS327711 AVO327666:AVO327711 BFK327666:BFK327711 BPG327666:BPG327711 BZC327666:BZC327711 CIY327666:CIY327711 CSU327666:CSU327711 DCQ327666:DCQ327711 DMM327666:DMM327711 DWI327666:DWI327711 EGE327666:EGE327711 EQA327666:EQA327711 EZW327666:EZW327711 FJS327666:FJS327711 FTO327666:FTO327711 GDK327666:GDK327711 GNG327666:GNG327711 GXC327666:GXC327711 HGY327666:HGY327711 HQU327666:HQU327711 IAQ327666:IAQ327711 IKM327666:IKM327711 IUI327666:IUI327711 JEE327666:JEE327711 JOA327666:JOA327711 JXW327666:JXW327711 KHS327666:KHS327711 KRO327666:KRO327711 LBK327666:LBK327711 LLG327666:LLG327711 LVC327666:LVC327711 MEY327666:MEY327711 MOU327666:MOU327711 MYQ327666:MYQ327711 NIM327666:NIM327711 NSI327666:NSI327711 OCE327666:OCE327711 OMA327666:OMA327711 OVW327666:OVW327711 PFS327666:PFS327711 PPO327666:PPO327711 PZK327666:PZK327711 QJG327666:QJG327711 QTC327666:QTC327711 RCY327666:RCY327711 RMU327666:RMU327711 RWQ327666:RWQ327711 SGM327666:SGM327711 SQI327666:SQI327711 TAE327666:TAE327711 TKA327666:TKA327711 TTW327666:TTW327711 UDS327666:UDS327711 UNO327666:UNO327711 UXK327666:UXK327711 VHG327666:VHG327711 VRC327666:VRC327711 WAY327666:WAY327711 WKU327666:WKU327711 WUQ327666:WUQ327711 IE393202:IE393247 SA393202:SA393247 ABW393202:ABW393247 ALS393202:ALS393247 AVO393202:AVO393247 BFK393202:BFK393247 BPG393202:BPG393247 BZC393202:BZC393247 CIY393202:CIY393247 CSU393202:CSU393247 DCQ393202:DCQ393247 DMM393202:DMM393247 DWI393202:DWI393247 EGE393202:EGE393247 EQA393202:EQA393247 EZW393202:EZW393247 FJS393202:FJS393247 FTO393202:FTO393247 GDK393202:GDK393247 GNG393202:GNG393247 GXC393202:GXC393247 HGY393202:HGY393247 HQU393202:HQU393247 IAQ393202:IAQ393247 IKM393202:IKM393247 IUI393202:IUI393247 JEE393202:JEE393247 JOA393202:JOA393247 JXW393202:JXW393247 KHS393202:KHS393247 KRO393202:KRO393247 LBK393202:LBK393247 LLG393202:LLG393247 LVC393202:LVC393247 MEY393202:MEY393247 MOU393202:MOU393247 MYQ393202:MYQ393247 NIM393202:NIM393247 NSI393202:NSI393247 OCE393202:OCE393247 OMA393202:OMA393247 OVW393202:OVW393247 PFS393202:PFS393247 PPO393202:PPO393247 PZK393202:PZK393247 QJG393202:QJG393247 QTC393202:QTC393247 RCY393202:RCY393247 RMU393202:RMU393247 RWQ393202:RWQ393247 SGM393202:SGM393247 SQI393202:SQI393247 TAE393202:TAE393247 TKA393202:TKA393247 TTW393202:TTW393247 UDS393202:UDS393247 UNO393202:UNO393247 UXK393202:UXK393247 VHG393202:VHG393247 VRC393202:VRC393247 WAY393202:WAY393247 WKU393202:WKU393247 WUQ393202:WUQ393247 IE458738:IE458783 SA458738:SA458783 ABW458738:ABW458783 ALS458738:ALS458783 AVO458738:AVO458783 BFK458738:BFK458783 BPG458738:BPG458783 BZC458738:BZC458783 CIY458738:CIY458783 CSU458738:CSU458783 DCQ458738:DCQ458783 DMM458738:DMM458783 DWI458738:DWI458783 EGE458738:EGE458783 EQA458738:EQA458783 EZW458738:EZW458783 FJS458738:FJS458783 FTO458738:FTO458783 GDK458738:GDK458783 GNG458738:GNG458783 GXC458738:GXC458783 HGY458738:HGY458783 HQU458738:HQU458783 IAQ458738:IAQ458783 IKM458738:IKM458783 IUI458738:IUI458783 JEE458738:JEE458783 JOA458738:JOA458783 JXW458738:JXW458783 KHS458738:KHS458783 KRO458738:KRO458783 LBK458738:LBK458783 LLG458738:LLG458783 LVC458738:LVC458783 MEY458738:MEY458783 MOU458738:MOU458783 MYQ458738:MYQ458783 NIM458738:NIM458783 NSI458738:NSI458783 OCE458738:OCE458783 OMA458738:OMA458783 OVW458738:OVW458783 PFS458738:PFS458783 PPO458738:PPO458783 PZK458738:PZK458783 QJG458738:QJG458783 QTC458738:QTC458783 RCY458738:RCY458783 RMU458738:RMU458783 RWQ458738:RWQ458783 SGM458738:SGM458783 SQI458738:SQI458783 TAE458738:TAE458783 TKA458738:TKA458783 TTW458738:TTW458783 UDS458738:UDS458783 UNO458738:UNO458783 UXK458738:UXK458783 VHG458738:VHG458783 VRC458738:VRC458783 WAY458738:WAY458783 WKU458738:WKU458783 WUQ458738:WUQ458783 IE524274:IE524319 SA524274:SA524319 ABW524274:ABW524319 ALS524274:ALS524319 AVO524274:AVO524319 BFK524274:BFK524319 BPG524274:BPG524319 BZC524274:BZC524319 CIY524274:CIY524319 CSU524274:CSU524319 DCQ524274:DCQ524319 DMM524274:DMM524319 DWI524274:DWI524319 EGE524274:EGE524319 EQA524274:EQA524319 EZW524274:EZW524319 FJS524274:FJS524319 FTO524274:FTO524319 GDK524274:GDK524319 GNG524274:GNG524319 GXC524274:GXC524319 HGY524274:HGY524319 HQU524274:HQU524319 IAQ524274:IAQ524319 IKM524274:IKM524319 IUI524274:IUI524319 JEE524274:JEE524319 JOA524274:JOA524319 JXW524274:JXW524319 KHS524274:KHS524319 KRO524274:KRO524319 LBK524274:LBK524319 LLG524274:LLG524319 LVC524274:LVC524319 MEY524274:MEY524319 MOU524274:MOU524319 MYQ524274:MYQ524319 NIM524274:NIM524319 NSI524274:NSI524319 OCE524274:OCE524319 OMA524274:OMA524319 OVW524274:OVW524319 PFS524274:PFS524319 PPO524274:PPO524319 PZK524274:PZK524319 QJG524274:QJG524319 QTC524274:QTC524319 RCY524274:RCY524319 RMU524274:RMU524319 RWQ524274:RWQ524319 SGM524274:SGM524319 SQI524274:SQI524319 TAE524274:TAE524319 TKA524274:TKA524319 TTW524274:TTW524319 UDS524274:UDS524319 UNO524274:UNO524319 UXK524274:UXK524319 VHG524274:VHG524319 VRC524274:VRC524319 WAY524274:WAY524319 WKU524274:WKU524319 WUQ524274:WUQ524319 IE589810:IE589855 SA589810:SA589855 ABW589810:ABW589855 ALS589810:ALS589855 AVO589810:AVO589855 BFK589810:BFK589855 BPG589810:BPG589855 BZC589810:BZC589855 CIY589810:CIY589855 CSU589810:CSU589855 DCQ589810:DCQ589855 DMM589810:DMM589855 DWI589810:DWI589855 EGE589810:EGE589855 EQA589810:EQA589855 EZW589810:EZW589855 FJS589810:FJS589855 FTO589810:FTO589855 GDK589810:GDK589855 GNG589810:GNG589855 GXC589810:GXC589855 HGY589810:HGY589855 HQU589810:HQU589855 IAQ589810:IAQ589855 IKM589810:IKM589855 IUI589810:IUI589855 JEE589810:JEE589855 JOA589810:JOA589855 JXW589810:JXW589855 KHS589810:KHS589855 KRO589810:KRO589855 LBK589810:LBK589855 LLG589810:LLG589855 LVC589810:LVC589855 MEY589810:MEY589855 MOU589810:MOU589855 MYQ589810:MYQ589855 NIM589810:NIM589855 NSI589810:NSI589855 OCE589810:OCE589855 OMA589810:OMA589855 OVW589810:OVW589855 PFS589810:PFS589855 PPO589810:PPO589855 PZK589810:PZK589855 QJG589810:QJG589855 QTC589810:QTC589855 RCY589810:RCY589855 RMU589810:RMU589855 RWQ589810:RWQ589855 SGM589810:SGM589855 SQI589810:SQI589855 TAE589810:TAE589855 TKA589810:TKA589855 TTW589810:TTW589855 UDS589810:UDS589855 UNO589810:UNO589855 UXK589810:UXK589855 VHG589810:VHG589855 VRC589810:VRC589855 WAY589810:WAY589855 WKU589810:WKU589855 WUQ589810:WUQ589855 IE655346:IE655391 SA655346:SA655391 ABW655346:ABW655391 ALS655346:ALS655391 AVO655346:AVO655391 BFK655346:BFK655391 BPG655346:BPG655391 BZC655346:BZC655391 CIY655346:CIY655391 CSU655346:CSU655391 DCQ655346:DCQ655391 DMM655346:DMM655391 DWI655346:DWI655391 EGE655346:EGE655391 EQA655346:EQA655391 EZW655346:EZW655391 FJS655346:FJS655391 FTO655346:FTO655391 GDK655346:GDK655391 GNG655346:GNG655391 GXC655346:GXC655391 HGY655346:HGY655391 HQU655346:HQU655391 IAQ655346:IAQ655391 IKM655346:IKM655391 IUI655346:IUI655391 JEE655346:JEE655391 JOA655346:JOA655391 JXW655346:JXW655391 KHS655346:KHS655391 KRO655346:KRO655391 LBK655346:LBK655391 LLG655346:LLG655391 LVC655346:LVC655391 MEY655346:MEY655391 MOU655346:MOU655391 MYQ655346:MYQ655391 NIM655346:NIM655391 NSI655346:NSI655391 OCE655346:OCE655391 OMA655346:OMA655391 OVW655346:OVW655391 PFS655346:PFS655391 PPO655346:PPO655391 PZK655346:PZK655391 QJG655346:QJG655391 QTC655346:QTC655391 RCY655346:RCY655391 RMU655346:RMU655391 RWQ655346:RWQ655391 SGM655346:SGM655391 SQI655346:SQI655391 TAE655346:TAE655391 TKA655346:TKA655391 TTW655346:TTW655391 UDS655346:UDS655391 UNO655346:UNO655391 UXK655346:UXK655391 VHG655346:VHG655391 VRC655346:VRC655391 WAY655346:WAY655391 WKU655346:WKU655391 WUQ655346:WUQ655391 IE720882:IE720927 SA720882:SA720927 ABW720882:ABW720927 ALS720882:ALS720927 AVO720882:AVO720927 BFK720882:BFK720927 BPG720882:BPG720927 BZC720882:BZC720927 CIY720882:CIY720927 CSU720882:CSU720927 DCQ720882:DCQ720927 DMM720882:DMM720927 DWI720882:DWI720927 EGE720882:EGE720927 EQA720882:EQA720927 EZW720882:EZW720927 FJS720882:FJS720927 FTO720882:FTO720927 GDK720882:GDK720927 GNG720882:GNG720927 GXC720882:GXC720927 HGY720882:HGY720927 HQU720882:HQU720927 IAQ720882:IAQ720927 IKM720882:IKM720927 IUI720882:IUI720927 JEE720882:JEE720927 JOA720882:JOA720927 JXW720882:JXW720927 KHS720882:KHS720927 KRO720882:KRO720927 LBK720882:LBK720927 LLG720882:LLG720927 LVC720882:LVC720927 MEY720882:MEY720927 MOU720882:MOU720927 MYQ720882:MYQ720927 NIM720882:NIM720927 NSI720882:NSI720927 OCE720882:OCE720927 OMA720882:OMA720927 OVW720882:OVW720927 PFS720882:PFS720927 PPO720882:PPO720927 PZK720882:PZK720927 QJG720882:QJG720927 QTC720882:QTC720927 RCY720882:RCY720927 RMU720882:RMU720927 RWQ720882:RWQ720927 SGM720882:SGM720927 SQI720882:SQI720927 TAE720882:TAE720927 TKA720882:TKA720927 TTW720882:TTW720927 UDS720882:UDS720927 UNO720882:UNO720927 UXK720882:UXK720927 VHG720882:VHG720927 VRC720882:VRC720927 WAY720882:WAY720927 WKU720882:WKU720927 WUQ720882:WUQ720927 IE786418:IE786463 SA786418:SA786463 ABW786418:ABW786463 ALS786418:ALS786463 AVO786418:AVO786463 BFK786418:BFK786463 BPG786418:BPG786463 BZC786418:BZC786463 CIY786418:CIY786463 CSU786418:CSU786463 DCQ786418:DCQ786463 DMM786418:DMM786463 DWI786418:DWI786463 EGE786418:EGE786463 EQA786418:EQA786463 EZW786418:EZW786463 FJS786418:FJS786463 FTO786418:FTO786463 GDK786418:GDK786463 GNG786418:GNG786463 GXC786418:GXC786463 HGY786418:HGY786463 HQU786418:HQU786463 IAQ786418:IAQ786463 IKM786418:IKM786463 IUI786418:IUI786463 JEE786418:JEE786463 JOA786418:JOA786463 JXW786418:JXW786463 KHS786418:KHS786463 KRO786418:KRO786463 LBK786418:LBK786463 LLG786418:LLG786463 LVC786418:LVC786463 MEY786418:MEY786463 MOU786418:MOU786463 MYQ786418:MYQ786463 NIM786418:NIM786463 NSI786418:NSI786463 OCE786418:OCE786463 OMA786418:OMA786463 OVW786418:OVW786463 PFS786418:PFS786463 PPO786418:PPO786463 PZK786418:PZK786463 QJG786418:QJG786463 QTC786418:QTC786463 RCY786418:RCY786463 RMU786418:RMU786463 RWQ786418:RWQ786463 SGM786418:SGM786463 SQI786418:SQI786463 TAE786418:TAE786463 TKA786418:TKA786463 TTW786418:TTW786463 UDS786418:UDS786463 UNO786418:UNO786463 UXK786418:UXK786463 VHG786418:VHG786463 VRC786418:VRC786463 WAY786418:WAY786463 WKU786418:WKU786463 WUQ786418:WUQ786463 IE851954:IE851999 SA851954:SA851999 ABW851954:ABW851999 ALS851954:ALS851999 AVO851954:AVO851999 BFK851954:BFK851999 BPG851954:BPG851999 BZC851954:BZC851999 CIY851954:CIY851999 CSU851954:CSU851999 DCQ851954:DCQ851999 DMM851954:DMM851999 DWI851954:DWI851999 EGE851954:EGE851999 EQA851954:EQA851999 EZW851954:EZW851999 FJS851954:FJS851999 FTO851954:FTO851999 GDK851954:GDK851999 GNG851954:GNG851999 GXC851954:GXC851999 HGY851954:HGY851999 HQU851954:HQU851999 IAQ851954:IAQ851999 IKM851954:IKM851999 IUI851954:IUI851999 JEE851954:JEE851999 JOA851954:JOA851999 JXW851954:JXW851999 KHS851954:KHS851999 KRO851954:KRO851999 LBK851954:LBK851999 LLG851954:LLG851999 LVC851954:LVC851999 MEY851954:MEY851999 MOU851954:MOU851999 MYQ851954:MYQ851999 NIM851954:NIM851999 NSI851954:NSI851999 OCE851954:OCE851999 OMA851954:OMA851999 OVW851954:OVW851999 PFS851954:PFS851999 PPO851954:PPO851999 PZK851954:PZK851999 QJG851954:QJG851999 QTC851954:QTC851999 RCY851954:RCY851999 RMU851954:RMU851999 RWQ851954:RWQ851999 SGM851954:SGM851999 SQI851954:SQI851999 TAE851954:TAE851999 TKA851954:TKA851999 TTW851954:TTW851999 UDS851954:UDS851999 UNO851954:UNO851999 UXK851954:UXK851999 VHG851954:VHG851999 VRC851954:VRC851999 WAY851954:WAY851999 WKU851954:WKU851999 WUQ851954:WUQ851999 IE917490:IE917535 SA917490:SA917535 ABW917490:ABW917535 ALS917490:ALS917535 AVO917490:AVO917535 BFK917490:BFK917535 BPG917490:BPG917535 BZC917490:BZC917535 CIY917490:CIY917535 CSU917490:CSU917535 DCQ917490:DCQ917535 DMM917490:DMM917535 DWI917490:DWI917535 EGE917490:EGE917535 EQA917490:EQA917535 EZW917490:EZW917535 FJS917490:FJS917535 FTO917490:FTO917535 GDK917490:GDK917535 GNG917490:GNG917535 GXC917490:GXC917535 HGY917490:HGY917535 HQU917490:HQU917535 IAQ917490:IAQ917535 IKM917490:IKM917535 IUI917490:IUI917535 JEE917490:JEE917535 JOA917490:JOA917535 JXW917490:JXW917535 KHS917490:KHS917535 KRO917490:KRO917535 LBK917490:LBK917535 LLG917490:LLG917535 LVC917490:LVC917535 MEY917490:MEY917535 MOU917490:MOU917535 MYQ917490:MYQ917535 NIM917490:NIM917535 NSI917490:NSI917535 OCE917490:OCE917535 OMA917490:OMA917535 OVW917490:OVW917535 PFS917490:PFS917535 PPO917490:PPO917535 PZK917490:PZK917535 QJG917490:QJG917535 QTC917490:QTC917535 RCY917490:RCY917535 RMU917490:RMU917535 RWQ917490:RWQ917535 SGM917490:SGM917535 SQI917490:SQI917535 TAE917490:TAE917535 TKA917490:TKA917535 TTW917490:TTW917535 UDS917490:UDS917535 UNO917490:UNO917535 UXK917490:UXK917535 VHG917490:VHG917535 VRC917490:VRC917535 WAY917490:WAY917535 WKU917490:WKU917535 WUQ917490:WUQ917535 IE983026:IE983071 SA983026:SA983071 ABW983026:ABW983071 ALS983026:ALS983071 AVO983026:AVO983071 BFK983026:BFK983071 BPG983026:BPG983071 BZC983026:BZC983071 CIY983026:CIY983071 CSU983026:CSU983071 DCQ983026:DCQ983071 DMM983026:DMM983071 DWI983026:DWI983071 EGE983026:EGE983071 EQA983026:EQA983071 EZW983026:EZW983071 FJS983026:FJS983071 FTO983026:FTO983071 GDK983026:GDK983071 GNG983026:GNG983071 GXC983026:GXC983071 HGY983026:HGY983071 HQU983026:HQU983071 IAQ983026:IAQ983071 IKM983026:IKM983071 IUI983026:IUI983071 JEE983026:JEE983071 JOA983026:JOA983071 JXW983026:JXW983071 KHS983026:KHS983071 KRO983026:KRO983071 LBK983026:LBK983071 LLG983026:LLG983071 LVC983026:LVC983071 MEY983026:MEY983071 MOU983026:MOU983071 MYQ983026:MYQ983071 NIM983026:NIM983071 NSI983026:NSI983071 OCE983026:OCE983071 OMA983026:OMA983071 OVW983026:OVW983071 PFS983026:PFS983071 PPO983026:PPO983071 PZK983026:PZK983071 QJG983026:QJG983071 QTC983026:QTC983071 RCY983026:RCY983071 RMU983026:RMU983071 RWQ983026:RWQ983071 SGM983026:SGM983071 SQI983026:SQI983071 TAE983026:TAE983071 TKA983026:TKA983071 TTW983026:TTW983071 UDS983026:UDS983071 UNO983026:UNO983071 UXK983026:UXK983071 VHG983026:VHG983071 VRC983026:VRC983071 WAY983026:WAY983071 WKU983026:WKU983071 WUQ983026:WUQ983071 IE9:IE74 SA9:SA74 ABW9:ABW74 ALS9:ALS74 AVO9:AVO74 BFK9:BFK74 BPG9:BPG74 BZC9:BZC74 CIY9:CIY74 CSU9:CSU74 DCQ9:DCQ74 DMM9:DMM74 DWI9:DWI74 EGE9:EGE74 EQA9:EQA74 EZW9:EZW74 FJS9:FJS74 FTO9:FTO74 GDK9:GDK74 GNG9:GNG74 GXC9:GXC74 HGY9:HGY74 HQU9:HQU74 IAQ9:IAQ74 IKM9:IKM74 IUI9:IUI74 JEE9:JEE74 JOA9:JOA74 JXW9:JXW74 KHS9:KHS74 KRO9:KRO74 LBK9:LBK74 LLG9:LLG74 LVC9:LVC74 MEY9:MEY74 MOU9:MOU74 MYQ9:MYQ74 NIM9:NIM74 NSI9:NSI74 OCE9:OCE74 OMA9:OMA74 OVW9:OVW74 PFS9:PFS74 PPO9:PPO74 PZK9:PZK74 QJG9:QJG74 QTC9:QTC74 RCY9:RCY74 RMU9:RMU74 RWQ9:RWQ74 SGM9:SGM74 SQI9:SQI74 TAE9:TAE74 TKA9:TKA74 TTW9:TTW74 UDS9:UDS74 UNO9:UNO74 UXK9:UXK74 VHG9:VHG74 VRC9:VRC74 WAY9:WAY74 WKU9:WKU74 WUQ9:WUQ74">
      <formula1>0</formula1>
      <formula2>2</formula2>
    </dataValidation>
    <dataValidation allowBlank="1" showInputMessage="1" showErrorMessage="1" prompt="Stundenzahl angeben bei eigener LPers;_x000a_wenn von anderer S(tamms)chule, dann genügt &quot;ja&quot; oder &quot;X&quot;" sqref="M65521:M65586 IP65521:IP65586 SL65521:SL65586 ACH65521:ACH65586 AMD65521:AMD65586 AVZ65521:AVZ65586 BFV65521:BFV65586 BPR65521:BPR65586 BZN65521:BZN65586 CJJ65521:CJJ65586 CTF65521:CTF65586 DDB65521:DDB65586 DMX65521:DMX65586 DWT65521:DWT65586 EGP65521:EGP65586 EQL65521:EQL65586 FAH65521:FAH65586 FKD65521:FKD65586 FTZ65521:FTZ65586 GDV65521:GDV65586 GNR65521:GNR65586 GXN65521:GXN65586 HHJ65521:HHJ65586 HRF65521:HRF65586 IBB65521:IBB65586 IKX65521:IKX65586 IUT65521:IUT65586 JEP65521:JEP65586 JOL65521:JOL65586 JYH65521:JYH65586 KID65521:KID65586 KRZ65521:KRZ65586 LBV65521:LBV65586 LLR65521:LLR65586 LVN65521:LVN65586 MFJ65521:MFJ65586 MPF65521:MPF65586 MZB65521:MZB65586 NIX65521:NIX65586 NST65521:NST65586 OCP65521:OCP65586 OML65521:OML65586 OWH65521:OWH65586 PGD65521:PGD65586 PPZ65521:PPZ65586 PZV65521:PZV65586 QJR65521:QJR65586 QTN65521:QTN65586 RDJ65521:RDJ65586 RNF65521:RNF65586 RXB65521:RXB65586 SGX65521:SGX65586 SQT65521:SQT65586 TAP65521:TAP65586 TKL65521:TKL65586 TUH65521:TUH65586 UED65521:UED65586 UNZ65521:UNZ65586 UXV65521:UXV65586 VHR65521:VHR65586 VRN65521:VRN65586 WBJ65521:WBJ65586 WLF65521:WLF65586 WVB65521:WVB65586 M131057:M131122 IP131057:IP131122 SL131057:SL131122 ACH131057:ACH131122 AMD131057:AMD131122 AVZ131057:AVZ131122 BFV131057:BFV131122 BPR131057:BPR131122 BZN131057:BZN131122 CJJ131057:CJJ131122 CTF131057:CTF131122 DDB131057:DDB131122 DMX131057:DMX131122 DWT131057:DWT131122 EGP131057:EGP131122 EQL131057:EQL131122 FAH131057:FAH131122 FKD131057:FKD131122 FTZ131057:FTZ131122 GDV131057:GDV131122 GNR131057:GNR131122 GXN131057:GXN131122 HHJ131057:HHJ131122 HRF131057:HRF131122 IBB131057:IBB131122 IKX131057:IKX131122 IUT131057:IUT131122 JEP131057:JEP131122 JOL131057:JOL131122 JYH131057:JYH131122 KID131057:KID131122 KRZ131057:KRZ131122 LBV131057:LBV131122 LLR131057:LLR131122 LVN131057:LVN131122 MFJ131057:MFJ131122 MPF131057:MPF131122 MZB131057:MZB131122 NIX131057:NIX131122 NST131057:NST131122 OCP131057:OCP131122 OML131057:OML131122 OWH131057:OWH131122 PGD131057:PGD131122 PPZ131057:PPZ131122 PZV131057:PZV131122 QJR131057:QJR131122 QTN131057:QTN131122 RDJ131057:RDJ131122 RNF131057:RNF131122 RXB131057:RXB131122 SGX131057:SGX131122 SQT131057:SQT131122 TAP131057:TAP131122 TKL131057:TKL131122 TUH131057:TUH131122 UED131057:UED131122 UNZ131057:UNZ131122 UXV131057:UXV131122 VHR131057:VHR131122 VRN131057:VRN131122 WBJ131057:WBJ131122 WLF131057:WLF131122 WVB131057:WVB131122 M196593:M196658 IP196593:IP196658 SL196593:SL196658 ACH196593:ACH196658 AMD196593:AMD196658 AVZ196593:AVZ196658 BFV196593:BFV196658 BPR196593:BPR196658 BZN196593:BZN196658 CJJ196593:CJJ196658 CTF196593:CTF196658 DDB196593:DDB196658 DMX196593:DMX196658 DWT196593:DWT196658 EGP196593:EGP196658 EQL196593:EQL196658 FAH196593:FAH196658 FKD196593:FKD196658 FTZ196593:FTZ196658 GDV196593:GDV196658 GNR196593:GNR196658 GXN196593:GXN196658 HHJ196593:HHJ196658 HRF196593:HRF196658 IBB196593:IBB196658 IKX196593:IKX196658 IUT196593:IUT196658 JEP196593:JEP196658 JOL196593:JOL196658 JYH196593:JYH196658 KID196593:KID196658 KRZ196593:KRZ196658 LBV196593:LBV196658 LLR196593:LLR196658 LVN196593:LVN196658 MFJ196593:MFJ196658 MPF196593:MPF196658 MZB196593:MZB196658 NIX196593:NIX196658 NST196593:NST196658 OCP196593:OCP196658 OML196593:OML196658 OWH196593:OWH196658 PGD196593:PGD196658 PPZ196593:PPZ196658 PZV196593:PZV196658 QJR196593:QJR196658 QTN196593:QTN196658 RDJ196593:RDJ196658 RNF196593:RNF196658 RXB196593:RXB196658 SGX196593:SGX196658 SQT196593:SQT196658 TAP196593:TAP196658 TKL196593:TKL196658 TUH196593:TUH196658 UED196593:UED196658 UNZ196593:UNZ196658 UXV196593:UXV196658 VHR196593:VHR196658 VRN196593:VRN196658 WBJ196593:WBJ196658 WLF196593:WLF196658 WVB196593:WVB196658 M262129:M262194 IP262129:IP262194 SL262129:SL262194 ACH262129:ACH262194 AMD262129:AMD262194 AVZ262129:AVZ262194 BFV262129:BFV262194 BPR262129:BPR262194 BZN262129:BZN262194 CJJ262129:CJJ262194 CTF262129:CTF262194 DDB262129:DDB262194 DMX262129:DMX262194 DWT262129:DWT262194 EGP262129:EGP262194 EQL262129:EQL262194 FAH262129:FAH262194 FKD262129:FKD262194 FTZ262129:FTZ262194 GDV262129:GDV262194 GNR262129:GNR262194 GXN262129:GXN262194 HHJ262129:HHJ262194 HRF262129:HRF262194 IBB262129:IBB262194 IKX262129:IKX262194 IUT262129:IUT262194 JEP262129:JEP262194 JOL262129:JOL262194 JYH262129:JYH262194 KID262129:KID262194 KRZ262129:KRZ262194 LBV262129:LBV262194 LLR262129:LLR262194 LVN262129:LVN262194 MFJ262129:MFJ262194 MPF262129:MPF262194 MZB262129:MZB262194 NIX262129:NIX262194 NST262129:NST262194 OCP262129:OCP262194 OML262129:OML262194 OWH262129:OWH262194 PGD262129:PGD262194 PPZ262129:PPZ262194 PZV262129:PZV262194 QJR262129:QJR262194 QTN262129:QTN262194 RDJ262129:RDJ262194 RNF262129:RNF262194 RXB262129:RXB262194 SGX262129:SGX262194 SQT262129:SQT262194 TAP262129:TAP262194 TKL262129:TKL262194 TUH262129:TUH262194 UED262129:UED262194 UNZ262129:UNZ262194 UXV262129:UXV262194 VHR262129:VHR262194 VRN262129:VRN262194 WBJ262129:WBJ262194 WLF262129:WLF262194 WVB262129:WVB262194 M327665:M327730 IP327665:IP327730 SL327665:SL327730 ACH327665:ACH327730 AMD327665:AMD327730 AVZ327665:AVZ327730 BFV327665:BFV327730 BPR327665:BPR327730 BZN327665:BZN327730 CJJ327665:CJJ327730 CTF327665:CTF327730 DDB327665:DDB327730 DMX327665:DMX327730 DWT327665:DWT327730 EGP327665:EGP327730 EQL327665:EQL327730 FAH327665:FAH327730 FKD327665:FKD327730 FTZ327665:FTZ327730 GDV327665:GDV327730 GNR327665:GNR327730 GXN327665:GXN327730 HHJ327665:HHJ327730 HRF327665:HRF327730 IBB327665:IBB327730 IKX327665:IKX327730 IUT327665:IUT327730 JEP327665:JEP327730 JOL327665:JOL327730 JYH327665:JYH327730 KID327665:KID327730 KRZ327665:KRZ327730 LBV327665:LBV327730 LLR327665:LLR327730 LVN327665:LVN327730 MFJ327665:MFJ327730 MPF327665:MPF327730 MZB327665:MZB327730 NIX327665:NIX327730 NST327665:NST327730 OCP327665:OCP327730 OML327665:OML327730 OWH327665:OWH327730 PGD327665:PGD327730 PPZ327665:PPZ327730 PZV327665:PZV327730 QJR327665:QJR327730 QTN327665:QTN327730 RDJ327665:RDJ327730 RNF327665:RNF327730 RXB327665:RXB327730 SGX327665:SGX327730 SQT327665:SQT327730 TAP327665:TAP327730 TKL327665:TKL327730 TUH327665:TUH327730 UED327665:UED327730 UNZ327665:UNZ327730 UXV327665:UXV327730 VHR327665:VHR327730 VRN327665:VRN327730 WBJ327665:WBJ327730 WLF327665:WLF327730 WVB327665:WVB327730 M393201:M393266 IP393201:IP393266 SL393201:SL393266 ACH393201:ACH393266 AMD393201:AMD393266 AVZ393201:AVZ393266 BFV393201:BFV393266 BPR393201:BPR393266 BZN393201:BZN393266 CJJ393201:CJJ393266 CTF393201:CTF393266 DDB393201:DDB393266 DMX393201:DMX393266 DWT393201:DWT393266 EGP393201:EGP393266 EQL393201:EQL393266 FAH393201:FAH393266 FKD393201:FKD393266 FTZ393201:FTZ393266 GDV393201:GDV393266 GNR393201:GNR393266 GXN393201:GXN393266 HHJ393201:HHJ393266 HRF393201:HRF393266 IBB393201:IBB393266 IKX393201:IKX393266 IUT393201:IUT393266 JEP393201:JEP393266 JOL393201:JOL393266 JYH393201:JYH393266 KID393201:KID393266 KRZ393201:KRZ393266 LBV393201:LBV393266 LLR393201:LLR393266 LVN393201:LVN393266 MFJ393201:MFJ393266 MPF393201:MPF393266 MZB393201:MZB393266 NIX393201:NIX393266 NST393201:NST393266 OCP393201:OCP393266 OML393201:OML393266 OWH393201:OWH393266 PGD393201:PGD393266 PPZ393201:PPZ393266 PZV393201:PZV393266 QJR393201:QJR393266 QTN393201:QTN393266 RDJ393201:RDJ393266 RNF393201:RNF393266 RXB393201:RXB393266 SGX393201:SGX393266 SQT393201:SQT393266 TAP393201:TAP393266 TKL393201:TKL393266 TUH393201:TUH393266 UED393201:UED393266 UNZ393201:UNZ393266 UXV393201:UXV393266 VHR393201:VHR393266 VRN393201:VRN393266 WBJ393201:WBJ393266 WLF393201:WLF393266 WVB393201:WVB393266 M458737:M458802 IP458737:IP458802 SL458737:SL458802 ACH458737:ACH458802 AMD458737:AMD458802 AVZ458737:AVZ458802 BFV458737:BFV458802 BPR458737:BPR458802 BZN458737:BZN458802 CJJ458737:CJJ458802 CTF458737:CTF458802 DDB458737:DDB458802 DMX458737:DMX458802 DWT458737:DWT458802 EGP458737:EGP458802 EQL458737:EQL458802 FAH458737:FAH458802 FKD458737:FKD458802 FTZ458737:FTZ458802 GDV458737:GDV458802 GNR458737:GNR458802 GXN458737:GXN458802 HHJ458737:HHJ458802 HRF458737:HRF458802 IBB458737:IBB458802 IKX458737:IKX458802 IUT458737:IUT458802 JEP458737:JEP458802 JOL458737:JOL458802 JYH458737:JYH458802 KID458737:KID458802 KRZ458737:KRZ458802 LBV458737:LBV458802 LLR458737:LLR458802 LVN458737:LVN458802 MFJ458737:MFJ458802 MPF458737:MPF458802 MZB458737:MZB458802 NIX458737:NIX458802 NST458737:NST458802 OCP458737:OCP458802 OML458737:OML458802 OWH458737:OWH458802 PGD458737:PGD458802 PPZ458737:PPZ458802 PZV458737:PZV458802 QJR458737:QJR458802 QTN458737:QTN458802 RDJ458737:RDJ458802 RNF458737:RNF458802 RXB458737:RXB458802 SGX458737:SGX458802 SQT458737:SQT458802 TAP458737:TAP458802 TKL458737:TKL458802 TUH458737:TUH458802 UED458737:UED458802 UNZ458737:UNZ458802 UXV458737:UXV458802 VHR458737:VHR458802 VRN458737:VRN458802 WBJ458737:WBJ458802 WLF458737:WLF458802 WVB458737:WVB458802 M524273:M524338 IP524273:IP524338 SL524273:SL524338 ACH524273:ACH524338 AMD524273:AMD524338 AVZ524273:AVZ524338 BFV524273:BFV524338 BPR524273:BPR524338 BZN524273:BZN524338 CJJ524273:CJJ524338 CTF524273:CTF524338 DDB524273:DDB524338 DMX524273:DMX524338 DWT524273:DWT524338 EGP524273:EGP524338 EQL524273:EQL524338 FAH524273:FAH524338 FKD524273:FKD524338 FTZ524273:FTZ524338 GDV524273:GDV524338 GNR524273:GNR524338 GXN524273:GXN524338 HHJ524273:HHJ524338 HRF524273:HRF524338 IBB524273:IBB524338 IKX524273:IKX524338 IUT524273:IUT524338 JEP524273:JEP524338 JOL524273:JOL524338 JYH524273:JYH524338 KID524273:KID524338 KRZ524273:KRZ524338 LBV524273:LBV524338 LLR524273:LLR524338 LVN524273:LVN524338 MFJ524273:MFJ524338 MPF524273:MPF524338 MZB524273:MZB524338 NIX524273:NIX524338 NST524273:NST524338 OCP524273:OCP524338 OML524273:OML524338 OWH524273:OWH524338 PGD524273:PGD524338 PPZ524273:PPZ524338 PZV524273:PZV524338 QJR524273:QJR524338 QTN524273:QTN524338 RDJ524273:RDJ524338 RNF524273:RNF524338 RXB524273:RXB524338 SGX524273:SGX524338 SQT524273:SQT524338 TAP524273:TAP524338 TKL524273:TKL524338 TUH524273:TUH524338 UED524273:UED524338 UNZ524273:UNZ524338 UXV524273:UXV524338 VHR524273:VHR524338 VRN524273:VRN524338 WBJ524273:WBJ524338 WLF524273:WLF524338 WVB524273:WVB524338 M589809:M589874 IP589809:IP589874 SL589809:SL589874 ACH589809:ACH589874 AMD589809:AMD589874 AVZ589809:AVZ589874 BFV589809:BFV589874 BPR589809:BPR589874 BZN589809:BZN589874 CJJ589809:CJJ589874 CTF589809:CTF589874 DDB589809:DDB589874 DMX589809:DMX589874 DWT589809:DWT589874 EGP589809:EGP589874 EQL589809:EQL589874 FAH589809:FAH589874 FKD589809:FKD589874 FTZ589809:FTZ589874 GDV589809:GDV589874 GNR589809:GNR589874 GXN589809:GXN589874 HHJ589809:HHJ589874 HRF589809:HRF589874 IBB589809:IBB589874 IKX589809:IKX589874 IUT589809:IUT589874 JEP589809:JEP589874 JOL589809:JOL589874 JYH589809:JYH589874 KID589809:KID589874 KRZ589809:KRZ589874 LBV589809:LBV589874 LLR589809:LLR589874 LVN589809:LVN589874 MFJ589809:MFJ589874 MPF589809:MPF589874 MZB589809:MZB589874 NIX589809:NIX589874 NST589809:NST589874 OCP589809:OCP589874 OML589809:OML589874 OWH589809:OWH589874 PGD589809:PGD589874 PPZ589809:PPZ589874 PZV589809:PZV589874 QJR589809:QJR589874 QTN589809:QTN589874 RDJ589809:RDJ589874 RNF589809:RNF589874 RXB589809:RXB589874 SGX589809:SGX589874 SQT589809:SQT589874 TAP589809:TAP589874 TKL589809:TKL589874 TUH589809:TUH589874 UED589809:UED589874 UNZ589809:UNZ589874 UXV589809:UXV589874 VHR589809:VHR589874 VRN589809:VRN589874 WBJ589809:WBJ589874 WLF589809:WLF589874 WVB589809:WVB589874 M655345:M655410 IP655345:IP655410 SL655345:SL655410 ACH655345:ACH655410 AMD655345:AMD655410 AVZ655345:AVZ655410 BFV655345:BFV655410 BPR655345:BPR655410 BZN655345:BZN655410 CJJ655345:CJJ655410 CTF655345:CTF655410 DDB655345:DDB655410 DMX655345:DMX655410 DWT655345:DWT655410 EGP655345:EGP655410 EQL655345:EQL655410 FAH655345:FAH655410 FKD655345:FKD655410 FTZ655345:FTZ655410 GDV655345:GDV655410 GNR655345:GNR655410 GXN655345:GXN655410 HHJ655345:HHJ655410 HRF655345:HRF655410 IBB655345:IBB655410 IKX655345:IKX655410 IUT655345:IUT655410 JEP655345:JEP655410 JOL655345:JOL655410 JYH655345:JYH655410 KID655345:KID655410 KRZ655345:KRZ655410 LBV655345:LBV655410 LLR655345:LLR655410 LVN655345:LVN655410 MFJ655345:MFJ655410 MPF655345:MPF655410 MZB655345:MZB655410 NIX655345:NIX655410 NST655345:NST655410 OCP655345:OCP655410 OML655345:OML655410 OWH655345:OWH655410 PGD655345:PGD655410 PPZ655345:PPZ655410 PZV655345:PZV655410 QJR655345:QJR655410 QTN655345:QTN655410 RDJ655345:RDJ655410 RNF655345:RNF655410 RXB655345:RXB655410 SGX655345:SGX655410 SQT655345:SQT655410 TAP655345:TAP655410 TKL655345:TKL655410 TUH655345:TUH655410 UED655345:UED655410 UNZ655345:UNZ655410 UXV655345:UXV655410 VHR655345:VHR655410 VRN655345:VRN655410 WBJ655345:WBJ655410 WLF655345:WLF655410 WVB655345:WVB655410 M720881:M720946 IP720881:IP720946 SL720881:SL720946 ACH720881:ACH720946 AMD720881:AMD720946 AVZ720881:AVZ720946 BFV720881:BFV720946 BPR720881:BPR720946 BZN720881:BZN720946 CJJ720881:CJJ720946 CTF720881:CTF720946 DDB720881:DDB720946 DMX720881:DMX720946 DWT720881:DWT720946 EGP720881:EGP720946 EQL720881:EQL720946 FAH720881:FAH720946 FKD720881:FKD720946 FTZ720881:FTZ720946 GDV720881:GDV720946 GNR720881:GNR720946 GXN720881:GXN720946 HHJ720881:HHJ720946 HRF720881:HRF720946 IBB720881:IBB720946 IKX720881:IKX720946 IUT720881:IUT720946 JEP720881:JEP720946 JOL720881:JOL720946 JYH720881:JYH720946 KID720881:KID720946 KRZ720881:KRZ720946 LBV720881:LBV720946 LLR720881:LLR720946 LVN720881:LVN720946 MFJ720881:MFJ720946 MPF720881:MPF720946 MZB720881:MZB720946 NIX720881:NIX720946 NST720881:NST720946 OCP720881:OCP720946 OML720881:OML720946 OWH720881:OWH720946 PGD720881:PGD720946 PPZ720881:PPZ720946 PZV720881:PZV720946 QJR720881:QJR720946 QTN720881:QTN720946 RDJ720881:RDJ720946 RNF720881:RNF720946 RXB720881:RXB720946 SGX720881:SGX720946 SQT720881:SQT720946 TAP720881:TAP720946 TKL720881:TKL720946 TUH720881:TUH720946 UED720881:UED720946 UNZ720881:UNZ720946 UXV720881:UXV720946 VHR720881:VHR720946 VRN720881:VRN720946 WBJ720881:WBJ720946 WLF720881:WLF720946 WVB720881:WVB720946 M786417:M786482 IP786417:IP786482 SL786417:SL786482 ACH786417:ACH786482 AMD786417:AMD786482 AVZ786417:AVZ786482 BFV786417:BFV786482 BPR786417:BPR786482 BZN786417:BZN786482 CJJ786417:CJJ786482 CTF786417:CTF786482 DDB786417:DDB786482 DMX786417:DMX786482 DWT786417:DWT786482 EGP786417:EGP786482 EQL786417:EQL786482 FAH786417:FAH786482 FKD786417:FKD786482 FTZ786417:FTZ786482 GDV786417:GDV786482 GNR786417:GNR786482 GXN786417:GXN786482 HHJ786417:HHJ786482 HRF786417:HRF786482 IBB786417:IBB786482 IKX786417:IKX786482 IUT786417:IUT786482 JEP786417:JEP786482 JOL786417:JOL786482 JYH786417:JYH786482 KID786417:KID786482 KRZ786417:KRZ786482 LBV786417:LBV786482 LLR786417:LLR786482 LVN786417:LVN786482 MFJ786417:MFJ786482 MPF786417:MPF786482 MZB786417:MZB786482 NIX786417:NIX786482 NST786417:NST786482 OCP786417:OCP786482 OML786417:OML786482 OWH786417:OWH786482 PGD786417:PGD786482 PPZ786417:PPZ786482 PZV786417:PZV786482 QJR786417:QJR786482 QTN786417:QTN786482 RDJ786417:RDJ786482 RNF786417:RNF786482 RXB786417:RXB786482 SGX786417:SGX786482 SQT786417:SQT786482 TAP786417:TAP786482 TKL786417:TKL786482 TUH786417:TUH786482 UED786417:UED786482 UNZ786417:UNZ786482 UXV786417:UXV786482 VHR786417:VHR786482 VRN786417:VRN786482 WBJ786417:WBJ786482 WLF786417:WLF786482 WVB786417:WVB786482 M851953:M852018 IP851953:IP852018 SL851953:SL852018 ACH851953:ACH852018 AMD851953:AMD852018 AVZ851953:AVZ852018 BFV851953:BFV852018 BPR851953:BPR852018 BZN851953:BZN852018 CJJ851953:CJJ852018 CTF851953:CTF852018 DDB851953:DDB852018 DMX851953:DMX852018 DWT851953:DWT852018 EGP851953:EGP852018 EQL851953:EQL852018 FAH851953:FAH852018 FKD851953:FKD852018 FTZ851953:FTZ852018 GDV851953:GDV852018 GNR851953:GNR852018 GXN851953:GXN852018 HHJ851953:HHJ852018 HRF851953:HRF852018 IBB851953:IBB852018 IKX851953:IKX852018 IUT851953:IUT852018 JEP851953:JEP852018 JOL851953:JOL852018 JYH851953:JYH852018 KID851953:KID852018 KRZ851953:KRZ852018 LBV851953:LBV852018 LLR851953:LLR852018 LVN851953:LVN852018 MFJ851953:MFJ852018 MPF851953:MPF852018 MZB851953:MZB852018 NIX851953:NIX852018 NST851953:NST852018 OCP851953:OCP852018 OML851953:OML852018 OWH851953:OWH852018 PGD851953:PGD852018 PPZ851953:PPZ852018 PZV851953:PZV852018 QJR851953:QJR852018 QTN851953:QTN852018 RDJ851953:RDJ852018 RNF851953:RNF852018 RXB851953:RXB852018 SGX851953:SGX852018 SQT851953:SQT852018 TAP851953:TAP852018 TKL851953:TKL852018 TUH851953:TUH852018 UED851953:UED852018 UNZ851953:UNZ852018 UXV851953:UXV852018 VHR851953:VHR852018 VRN851953:VRN852018 WBJ851953:WBJ852018 WLF851953:WLF852018 WVB851953:WVB852018 M917489:M917554 IP917489:IP917554 SL917489:SL917554 ACH917489:ACH917554 AMD917489:AMD917554 AVZ917489:AVZ917554 BFV917489:BFV917554 BPR917489:BPR917554 BZN917489:BZN917554 CJJ917489:CJJ917554 CTF917489:CTF917554 DDB917489:DDB917554 DMX917489:DMX917554 DWT917489:DWT917554 EGP917489:EGP917554 EQL917489:EQL917554 FAH917489:FAH917554 FKD917489:FKD917554 FTZ917489:FTZ917554 GDV917489:GDV917554 GNR917489:GNR917554 GXN917489:GXN917554 HHJ917489:HHJ917554 HRF917489:HRF917554 IBB917489:IBB917554 IKX917489:IKX917554 IUT917489:IUT917554 JEP917489:JEP917554 JOL917489:JOL917554 JYH917489:JYH917554 KID917489:KID917554 KRZ917489:KRZ917554 LBV917489:LBV917554 LLR917489:LLR917554 LVN917489:LVN917554 MFJ917489:MFJ917554 MPF917489:MPF917554 MZB917489:MZB917554 NIX917489:NIX917554 NST917489:NST917554 OCP917489:OCP917554 OML917489:OML917554 OWH917489:OWH917554 PGD917489:PGD917554 PPZ917489:PPZ917554 PZV917489:PZV917554 QJR917489:QJR917554 QTN917489:QTN917554 RDJ917489:RDJ917554 RNF917489:RNF917554 RXB917489:RXB917554 SGX917489:SGX917554 SQT917489:SQT917554 TAP917489:TAP917554 TKL917489:TKL917554 TUH917489:TUH917554 UED917489:UED917554 UNZ917489:UNZ917554 UXV917489:UXV917554 VHR917489:VHR917554 VRN917489:VRN917554 WBJ917489:WBJ917554 WLF917489:WLF917554 WVB917489:WVB917554 M983025:M983090 IP983025:IP983090 SL983025:SL983090 ACH983025:ACH983090 AMD983025:AMD983090 AVZ983025:AVZ983090 BFV983025:BFV983090 BPR983025:BPR983090 BZN983025:BZN983090 CJJ983025:CJJ983090 CTF983025:CTF983090 DDB983025:DDB983090 DMX983025:DMX983090 DWT983025:DWT983090 EGP983025:EGP983090 EQL983025:EQL983090 FAH983025:FAH983090 FKD983025:FKD983090 FTZ983025:FTZ983090 GDV983025:GDV983090 GNR983025:GNR983090 GXN983025:GXN983090 HHJ983025:HHJ983090 HRF983025:HRF983090 IBB983025:IBB983090 IKX983025:IKX983090 IUT983025:IUT983090 JEP983025:JEP983090 JOL983025:JOL983090 JYH983025:JYH983090 KID983025:KID983090 KRZ983025:KRZ983090 LBV983025:LBV983090 LLR983025:LLR983090 LVN983025:LVN983090 MFJ983025:MFJ983090 MPF983025:MPF983090 MZB983025:MZB983090 NIX983025:NIX983090 NST983025:NST983090 OCP983025:OCP983090 OML983025:OML983090 OWH983025:OWH983090 PGD983025:PGD983090 PPZ983025:PPZ983090 PZV983025:PZV983090 QJR983025:QJR983090 QTN983025:QTN983090 RDJ983025:RDJ983090 RNF983025:RNF983090 RXB983025:RXB983090 SGX983025:SGX983090 SQT983025:SQT983090 TAP983025:TAP983090 TKL983025:TKL983090 TUH983025:TUH983090 UED983025:UED983090 UNZ983025:UNZ983090 UXV983025:UXV983090 VHR983025:VHR983090 VRN983025:VRN983090 WBJ983025:WBJ983090 WLF983025:WLF983090 WVB983025:WVB983090 M8:M81 IP8:IP81 SL8:SL81 ACH8:ACH81 AMD8:AMD81 AVZ8:AVZ81 BFV8:BFV81 BPR8:BPR81 BZN8:BZN81 CJJ8:CJJ81 CTF8:CTF81 DDB8:DDB81 DMX8:DMX81 DWT8:DWT81 EGP8:EGP81 EQL8:EQL81 FAH8:FAH81 FKD8:FKD81 FTZ8:FTZ81 GDV8:GDV81 GNR8:GNR81 GXN8:GXN81 HHJ8:HHJ81 HRF8:HRF81 IBB8:IBB81 IKX8:IKX81 IUT8:IUT81 JEP8:JEP81 JOL8:JOL81 JYH8:JYH81 KID8:KID81 KRZ8:KRZ81 LBV8:LBV81 LLR8:LLR81 LVN8:LVN81 MFJ8:MFJ81 MPF8:MPF81 MZB8:MZB81 NIX8:NIX81 NST8:NST81 OCP8:OCP81 OML8:OML81 OWH8:OWH81 PGD8:PGD81 PPZ8:PPZ81 PZV8:PZV81 QJR8:QJR81 QTN8:QTN81 RDJ8:RDJ81 RNF8:RNF81 RXB8:RXB81 SGX8:SGX81 SQT8:SQT81 TAP8:TAP81 TKL8:TKL81 TUH8:TUH81 UED8:UED81 UNZ8:UNZ81 UXV8:UXV81 VHR8:VHR81 VRN8:VRN81 WBJ8:WBJ81 WLF8:WLF81 WVB8:WVB81"/>
    <dataValidation type="decimal" allowBlank="1" showInputMessage="1" showErrorMessage="1" error="bitte eine gültige Zahl eingeben !!" sqref="D65522:D65585 IF65522:IF65585 SB65522:SB65585 ABX65522:ABX65585 ALT65522:ALT65585 AVP65522:AVP65585 BFL65522:BFL65585 BPH65522:BPH65585 BZD65522:BZD65585 CIZ65522:CIZ65585 CSV65522:CSV65585 DCR65522:DCR65585 DMN65522:DMN65585 DWJ65522:DWJ65585 EGF65522:EGF65585 EQB65522:EQB65585 EZX65522:EZX65585 FJT65522:FJT65585 FTP65522:FTP65585 GDL65522:GDL65585 GNH65522:GNH65585 GXD65522:GXD65585 HGZ65522:HGZ65585 HQV65522:HQV65585 IAR65522:IAR65585 IKN65522:IKN65585 IUJ65522:IUJ65585 JEF65522:JEF65585 JOB65522:JOB65585 JXX65522:JXX65585 KHT65522:KHT65585 KRP65522:KRP65585 LBL65522:LBL65585 LLH65522:LLH65585 LVD65522:LVD65585 MEZ65522:MEZ65585 MOV65522:MOV65585 MYR65522:MYR65585 NIN65522:NIN65585 NSJ65522:NSJ65585 OCF65522:OCF65585 OMB65522:OMB65585 OVX65522:OVX65585 PFT65522:PFT65585 PPP65522:PPP65585 PZL65522:PZL65585 QJH65522:QJH65585 QTD65522:QTD65585 RCZ65522:RCZ65585 RMV65522:RMV65585 RWR65522:RWR65585 SGN65522:SGN65585 SQJ65522:SQJ65585 TAF65522:TAF65585 TKB65522:TKB65585 TTX65522:TTX65585 UDT65522:UDT65585 UNP65522:UNP65585 UXL65522:UXL65585 VHH65522:VHH65585 VRD65522:VRD65585 WAZ65522:WAZ65585 WKV65522:WKV65585 WUR65522:WUR65585 D131058:D131121 IF131058:IF131121 SB131058:SB131121 ABX131058:ABX131121 ALT131058:ALT131121 AVP131058:AVP131121 BFL131058:BFL131121 BPH131058:BPH131121 BZD131058:BZD131121 CIZ131058:CIZ131121 CSV131058:CSV131121 DCR131058:DCR131121 DMN131058:DMN131121 DWJ131058:DWJ131121 EGF131058:EGF131121 EQB131058:EQB131121 EZX131058:EZX131121 FJT131058:FJT131121 FTP131058:FTP131121 GDL131058:GDL131121 GNH131058:GNH131121 GXD131058:GXD131121 HGZ131058:HGZ131121 HQV131058:HQV131121 IAR131058:IAR131121 IKN131058:IKN131121 IUJ131058:IUJ131121 JEF131058:JEF131121 JOB131058:JOB131121 JXX131058:JXX131121 KHT131058:KHT131121 KRP131058:KRP131121 LBL131058:LBL131121 LLH131058:LLH131121 LVD131058:LVD131121 MEZ131058:MEZ131121 MOV131058:MOV131121 MYR131058:MYR131121 NIN131058:NIN131121 NSJ131058:NSJ131121 OCF131058:OCF131121 OMB131058:OMB131121 OVX131058:OVX131121 PFT131058:PFT131121 PPP131058:PPP131121 PZL131058:PZL131121 QJH131058:QJH131121 QTD131058:QTD131121 RCZ131058:RCZ131121 RMV131058:RMV131121 RWR131058:RWR131121 SGN131058:SGN131121 SQJ131058:SQJ131121 TAF131058:TAF131121 TKB131058:TKB131121 TTX131058:TTX131121 UDT131058:UDT131121 UNP131058:UNP131121 UXL131058:UXL131121 VHH131058:VHH131121 VRD131058:VRD131121 WAZ131058:WAZ131121 WKV131058:WKV131121 WUR131058:WUR131121 D196594:D196657 IF196594:IF196657 SB196594:SB196657 ABX196594:ABX196657 ALT196594:ALT196657 AVP196594:AVP196657 BFL196594:BFL196657 BPH196594:BPH196657 BZD196594:BZD196657 CIZ196594:CIZ196657 CSV196594:CSV196657 DCR196594:DCR196657 DMN196594:DMN196657 DWJ196594:DWJ196657 EGF196594:EGF196657 EQB196594:EQB196657 EZX196594:EZX196657 FJT196594:FJT196657 FTP196594:FTP196657 GDL196594:GDL196657 GNH196594:GNH196657 GXD196594:GXD196657 HGZ196594:HGZ196657 HQV196594:HQV196657 IAR196594:IAR196657 IKN196594:IKN196657 IUJ196594:IUJ196657 JEF196594:JEF196657 JOB196594:JOB196657 JXX196594:JXX196657 KHT196594:KHT196657 KRP196594:KRP196657 LBL196594:LBL196657 LLH196594:LLH196657 LVD196594:LVD196657 MEZ196594:MEZ196657 MOV196594:MOV196657 MYR196594:MYR196657 NIN196594:NIN196657 NSJ196594:NSJ196657 OCF196594:OCF196657 OMB196594:OMB196657 OVX196594:OVX196657 PFT196594:PFT196657 PPP196594:PPP196657 PZL196594:PZL196657 QJH196594:QJH196657 QTD196594:QTD196657 RCZ196594:RCZ196657 RMV196594:RMV196657 RWR196594:RWR196657 SGN196594:SGN196657 SQJ196594:SQJ196657 TAF196594:TAF196657 TKB196594:TKB196657 TTX196594:TTX196657 UDT196594:UDT196657 UNP196594:UNP196657 UXL196594:UXL196657 VHH196594:VHH196657 VRD196594:VRD196657 WAZ196594:WAZ196657 WKV196594:WKV196657 WUR196594:WUR196657 D262130:D262193 IF262130:IF262193 SB262130:SB262193 ABX262130:ABX262193 ALT262130:ALT262193 AVP262130:AVP262193 BFL262130:BFL262193 BPH262130:BPH262193 BZD262130:BZD262193 CIZ262130:CIZ262193 CSV262130:CSV262193 DCR262130:DCR262193 DMN262130:DMN262193 DWJ262130:DWJ262193 EGF262130:EGF262193 EQB262130:EQB262193 EZX262130:EZX262193 FJT262130:FJT262193 FTP262130:FTP262193 GDL262130:GDL262193 GNH262130:GNH262193 GXD262130:GXD262193 HGZ262130:HGZ262193 HQV262130:HQV262193 IAR262130:IAR262193 IKN262130:IKN262193 IUJ262130:IUJ262193 JEF262130:JEF262193 JOB262130:JOB262193 JXX262130:JXX262193 KHT262130:KHT262193 KRP262130:KRP262193 LBL262130:LBL262193 LLH262130:LLH262193 LVD262130:LVD262193 MEZ262130:MEZ262193 MOV262130:MOV262193 MYR262130:MYR262193 NIN262130:NIN262193 NSJ262130:NSJ262193 OCF262130:OCF262193 OMB262130:OMB262193 OVX262130:OVX262193 PFT262130:PFT262193 PPP262130:PPP262193 PZL262130:PZL262193 QJH262130:QJH262193 QTD262130:QTD262193 RCZ262130:RCZ262193 RMV262130:RMV262193 RWR262130:RWR262193 SGN262130:SGN262193 SQJ262130:SQJ262193 TAF262130:TAF262193 TKB262130:TKB262193 TTX262130:TTX262193 UDT262130:UDT262193 UNP262130:UNP262193 UXL262130:UXL262193 VHH262130:VHH262193 VRD262130:VRD262193 WAZ262130:WAZ262193 WKV262130:WKV262193 WUR262130:WUR262193 D327666:D327729 IF327666:IF327729 SB327666:SB327729 ABX327666:ABX327729 ALT327666:ALT327729 AVP327666:AVP327729 BFL327666:BFL327729 BPH327666:BPH327729 BZD327666:BZD327729 CIZ327666:CIZ327729 CSV327666:CSV327729 DCR327666:DCR327729 DMN327666:DMN327729 DWJ327666:DWJ327729 EGF327666:EGF327729 EQB327666:EQB327729 EZX327666:EZX327729 FJT327666:FJT327729 FTP327666:FTP327729 GDL327666:GDL327729 GNH327666:GNH327729 GXD327666:GXD327729 HGZ327666:HGZ327729 HQV327666:HQV327729 IAR327666:IAR327729 IKN327666:IKN327729 IUJ327666:IUJ327729 JEF327666:JEF327729 JOB327666:JOB327729 JXX327666:JXX327729 KHT327666:KHT327729 KRP327666:KRP327729 LBL327666:LBL327729 LLH327666:LLH327729 LVD327666:LVD327729 MEZ327666:MEZ327729 MOV327666:MOV327729 MYR327666:MYR327729 NIN327666:NIN327729 NSJ327666:NSJ327729 OCF327666:OCF327729 OMB327666:OMB327729 OVX327666:OVX327729 PFT327666:PFT327729 PPP327666:PPP327729 PZL327666:PZL327729 QJH327666:QJH327729 QTD327666:QTD327729 RCZ327666:RCZ327729 RMV327666:RMV327729 RWR327666:RWR327729 SGN327666:SGN327729 SQJ327666:SQJ327729 TAF327666:TAF327729 TKB327666:TKB327729 TTX327666:TTX327729 UDT327666:UDT327729 UNP327666:UNP327729 UXL327666:UXL327729 VHH327666:VHH327729 VRD327666:VRD327729 WAZ327666:WAZ327729 WKV327666:WKV327729 WUR327666:WUR327729 D393202:D393265 IF393202:IF393265 SB393202:SB393265 ABX393202:ABX393265 ALT393202:ALT393265 AVP393202:AVP393265 BFL393202:BFL393265 BPH393202:BPH393265 BZD393202:BZD393265 CIZ393202:CIZ393265 CSV393202:CSV393265 DCR393202:DCR393265 DMN393202:DMN393265 DWJ393202:DWJ393265 EGF393202:EGF393265 EQB393202:EQB393265 EZX393202:EZX393265 FJT393202:FJT393265 FTP393202:FTP393265 GDL393202:GDL393265 GNH393202:GNH393265 GXD393202:GXD393265 HGZ393202:HGZ393265 HQV393202:HQV393265 IAR393202:IAR393265 IKN393202:IKN393265 IUJ393202:IUJ393265 JEF393202:JEF393265 JOB393202:JOB393265 JXX393202:JXX393265 KHT393202:KHT393265 KRP393202:KRP393265 LBL393202:LBL393265 LLH393202:LLH393265 LVD393202:LVD393265 MEZ393202:MEZ393265 MOV393202:MOV393265 MYR393202:MYR393265 NIN393202:NIN393265 NSJ393202:NSJ393265 OCF393202:OCF393265 OMB393202:OMB393265 OVX393202:OVX393265 PFT393202:PFT393265 PPP393202:PPP393265 PZL393202:PZL393265 QJH393202:QJH393265 QTD393202:QTD393265 RCZ393202:RCZ393265 RMV393202:RMV393265 RWR393202:RWR393265 SGN393202:SGN393265 SQJ393202:SQJ393265 TAF393202:TAF393265 TKB393202:TKB393265 TTX393202:TTX393265 UDT393202:UDT393265 UNP393202:UNP393265 UXL393202:UXL393265 VHH393202:VHH393265 VRD393202:VRD393265 WAZ393202:WAZ393265 WKV393202:WKV393265 WUR393202:WUR393265 D458738:D458801 IF458738:IF458801 SB458738:SB458801 ABX458738:ABX458801 ALT458738:ALT458801 AVP458738:AVP458801 BFL458738:BFL458801 BPH458738:BPH458801 BZD458738:BZD458801 CIZ458738:CIZ458801 CSV458738:CSV458801 DCR458738:DCR458801 DMN458738:DMN458801 DWJ458738:DWJ458801 EGF458738:EGF458801 EQB458738:EQB458801 EZX458738:EZX458801 FJT458738:FJT458801 FTP458738:FTP458801 GDL458738:GDL458801 GNH458738:GNH458801 GXD458738:GXD458801 HGZ458738:HGZ458801 HQV458738:HQV458801 IAR458738:IAR458801 IKN458738:IKN458801 IUJ458738:IUJ458801 JEF458738:JEF458801 JOB458738:JOB458801 JXX458738:JXX458801 KHT458738:KHT458801 KRP458738:KRP458801 LBL458738:LBL458801 LLH458738:LLH458801 LVD458738:LVD458801 MEZ458738:MEZ458801 MOV458738:MOV458801 MYR458738:MYR458801 NIN458738:NIN458801 NSJ458738:NSJ458801 OCF458738:OCF458801 OMB458738:OMB458801 OVX458738:OVX458801 PFT458738:PFT458801 PPP458738:PPP458801 PZL458738:PZL458801 QJH458738:QJH458801 QTD458738:QTD458801 RCZ458738:RCZ458801 RMV458738:RMV458801 RWR458738:RWR458801 SGN458738:SGN458801 SQJ458738:SQJ458801 TAF458738:TAF458801 TKB458738:TKB458801 TTX458738:TTX458801 UDT458738:UDT458801 UNP458738:UNP458801 UXL458738:UXL458801 VHH458738:VHH458801 VRD458738:VRD458801 WAZ458738:WAZ458801 WKV458738:WKV458801 WUR458738:WUR458801 D524274:D524337 IF524274:IF524337 SB524274:SB524337 ABX524274:ABX524337 ALT524274:ALT524337 AVP524274:AVP524337 BFL524274:BFL524337 BPH524274:BPH524337 BZD524274:BZD524337 CIZ524274:CIZ524337 CSV524274:CSV524337 DCR524274:DCR524337 DMN524274:DMN524337 DWJ524274:DWJ524337 EGF524274:EGF524337 EQB524274:EQB524337 EZX524274:EZX524337 FJT524274:FJT524337 FTP524274:FTP524337 GDL524274:GDL524337 GNH524274:GNH524337 GXD524274:GXD524337 HGZ524274:HGZ524337 HQV524274:HQV524337 IAR524274:IAR524337 IKN524274:IKN524337 IUJ524274:IUJ524337 JEF524274:JEF524337 JOB524274:JOB524337 JXX524274:JXX524337 KHT524274:KHT524337 KRP524274:KRP524337 LBL524274:LBL524337 LLH524274:LLH524337 LVD524274:LVD524337 MEZ524274:MEZ524337 MOV524274:MOV524337 MYR524274:MYR524337 NIN524274:NIN524337 NSJ524274:NSJ524337 OCF524274:OCF524337 OMB524274:OMB524337 OVX524274:OVX524337 PFT524274:PFT524337 PPP524274:PPP524337 PZL524274:PZL524337 QJH524274:QJH524337 QTD524274:QTD524337 RCZ524274:RCZ524337 RMV524274:RMV524337 RWR524274:RWR524337 SGN524274:SGN524337 SQJ524274:SQJ524337 TAF524274:TAF524337 TKB524274:TKB524337 TTX524274:TTX524337 UDT524274:UDT524337 UNP524274:UNP524337 UXL524274:UXL524337 VHH524274:VHH524337 VRD524274:VRD524337 WAZ524274:WAZ524337 WKV524274:WKV524337 WUR524274:WUR524337 D589810:D589873 IF589810:IF589873 SB589810:SB589873 ABX589810:ABX589873 ALT589810:ALT589873 AVP589810:AVP589873 BFL589810:BFL589873 BPH589810:BPH589873 BZD589810:BZD589873 CIZ589810:CIZ589873 CSV589810:CSV589873 DCR589810:DCR589873 DMN589810:DMN589873 DWJ589810:DWJ589873 EGF589810:EGF589873 EQB589810:EQB589873 EZX589810:EZX589873 FJT589810:FJT589873 FTP589810:FTP589873 GDL589810:GDL589873 GNH589810:GNH589873 GXD589810:GXD589873 HGZ589810:HGZ589873 HQV589810:HQV589873 IAR589810:IAR589873 IKN589810:IKN589873 IUJ589810:IUJ589873 JEF589810:JEF589873 JOB589810:JOB589873 JXX589810:JXX589873 KHT589810:KHT589873 KRP589810:KRP589873 LBL589810:LBL589873 LLH589810:LLH589873 LVD589810:LVD589873 MEZ589810:MEZ589873 MOV589810:MOV589873 MYR589810:MYR589873 NIN589810:NIN589873 NSJ589810:NSJ589873 OCF589810:OCF589873 OMB589810:OMB589873 OVX589810:OVX589873 PFT589810:PFT589873 PPP589810:PPP589873 PZL589810:PZL589873 QJH589810:QJH589873 QTD589810:QTD589873 RCZ589810:RCZ589873 RMV589810:RMV589873 RWR589810:RWR589873 SGN589810:SGN589873 SQJ589810:SQJ589873 TAF589810:TAF589873 TKB589810:TKB589873 TTX589810:TTX589873 UDT589810:UDT589873 UNP589810:UNP589873 UXL589810:UXL589873 VHH589810:VHH589873 VRD589810:VRD589873 WAZ589810:WAZ589873 WKV589810:WKV589873 WUR589810:WUR589873 D655346:D655409 IF655346:IF655409 SB655346:SB655409 ABX655346:ABX655409 ALT655346:ALT655409 AVP655346:AVP655409 BFL655346:BFL655409 BPH655346:BPH655409 BZD655346:BZD655409 CIZ655346:CIZ655409 CSV655346:CSV655409 DCR655346:DCR655409 DMN655346:DMN655409 DWJ655346:DWJ655409 EGF655346:EGF655409 EQB655346:EQB655409 EZX655346:EZX655409 FJT655346:FJT655409 FTP655346:FTP655409 GDL655346:GDL655409 GNH655346:GNH655409 GXD655346:GXD655409 HGZ655346:HGZ655409 HQV655346:HQV655409 IAR655346:IAR655409 IKN655346:IKN655409 IUJ655346:IUJ655409 JEF655346:JEF655409 JOB655346:JOB655409 JXX655346:JXX655409 KHT655346:KHT655409 KRP655346:KRP655409 LBL655346:LBL655409 LLH655346:LLH655409 LVD655346:LVD655409 MEZ655346:MEZ655409 MOV655346:MOV655409 MYR655346:MYR655409 NIN655346:NIN655409 NSJ655346:NSJ655409 OCF655346:OCF655409 OMB655346:OMB655409 OVX655346:OVX655409 PFT655346:PFT655409 PPP655346:PPP655409 PZL655346:PZL655409 QJH655346:QJH655409 QTD655346:QTD655409 RCZ655346:RCZ655409 RMV655346:RMV655409 RWR655346:RWR655409 SGN655346:SGN655409 SQJ655346:SQJ655409 TAF655346:TAF655409 TKB655346:TKB655409 TTX655346:TTX655409 UDT655346:UDT655409 UNP655346:UNP655409 UXL655346:UXL655409 VHH655346:VHH655409 VRD655346:VRD655409 WAZ655346:WAZ655409 WKV655346:WKV655409 WUR655346:WUR655409 D720882:D720945 IF720882:IF720945 SB720882:SB720945 ABX720882:ABX720945 ALT720882:ALT720945 AVP720882:AVP720945 BFL720882:BFL720945 BPH720882:BPH720945 BZD720882:BZD720945 CIZ720882:CIZ720945 CSV720882:CSV720945 DCR720882:DCR720945 DMN720882:DMN720945 DWJ720882:DWJ720945 EGF720882:EGF720945 EQB720882:EQB720945 EZX720882:EZX720945 FJT720882:FJT720945 FTP720882:FTP720945 GDL720882:GDL720945 GNH720882:GNH720945 GXD720882:GXD720945 HGZ720882:HGZ720945 HQV720882:HQV720945 IAR720882:IAR720945 IKN720882:IKN720945 IUJ720882:IUJ720945 JEF720882:JEF720945 JOB720882:JOB720945 JXX720882:JXX720945 KHT720882:KHT720945 KRP720882:KRP720945 LBL720882:LBL720945 LLH720882:LLH720945 LVD720882:LVD720945 MEZ720882:MEZ720945 MOV720882:MOV720945 MYR720882:MYR720945 NIN720882:NIN720945 NSJ720882:NSJ720945 OCF720882:OCF720945 OMB720882:OMB720945 OVX720882:OVX720945 PFT720882:PFT720945 PPP720882:PPP720945 PZL720882:PZL720945 QJH720882:QJH720945 QTD720882:QTD720945 RCZ720882:RCZ720945 RMV720882:RMV720945 RWR720882:RWR720945 SGN720882:SGN720945 SQJ720882:SQJ720945 TAF720882:TAF720945 TKB720882:TKB720945 TTX720882:TTX720945 UDT720882:UDT720945 UNP720882:UNP720945 UXL720882:UXL720945 VHH720882:VHH720945 VRD720882:VRD720945 WAZ720882:WAZ720945 WKV720882:WKV720945 WUR720882:WUR720945 D786418:D786481 IF786418:IF786481 SB786418:SB786481 ABX786418:ABX786481 ALT786418:ALT786481 AVP786418:AVP786481 BFL786418:BFL786481 BPH786418:BPH786481 BZD786418:BZD786481 CIZ786418:CIZ786481 CSV786418:CSV786481 DCR786418:DCR786481 DMN786418:DMN786481 DWJ786418:DWJ786481 EGF786418:EGF786481 EQB786418:EQB786481 EZX786418:EZX786481 FJT786418:FJT786481 FTP786418:FTP786481 GDL786418:GDL786481 GNH786418:GNH786481 GXD786418:GXD786481 HGZ786418:HGZ786481 HQV786418:HQV786481 IAR786418:IAR786481 IKN786418:IKN786481 IUJ786418:IUJ786481 JEF786418:JEF786481 JOB786418:JOB786481 JXX786418:JXX786481 KHT786418:KHT786481 KRP786418:KRP786481 LBL786418:LBL786481 LLH786418:LLH786481 LVD786418:LVD786481 MEZ786418:MEZ786481 MOV786418:MOV786481 MYR786418:MYR786481 NIN786418:NIN786481 NSJ786418:NSJ786481 OCF786418:OCF786481 OMB786418:OMB786481 OVX786418:OVX786481 PFT786418:PFT786481 PPP786418:PPP786481 PZL786418:PZL786481 QJH786418:QJH786481 QTD786418:QTD786481 RCZ786418:RCZ786481 RMV786418:RMV786481 RWR786418:RWR786481 SGN786418:SGN786481 SQJ786418:SQJ786481 TAF786418:TAF786481 TKB786418:TKB786481 TTX786418:TTX786481 UDT786418:UDT786481 UNP786418:UNP786481 UXL786418:UXL786481 VHH786418:VHH786481 VRD786418:VRD786481 WAZ786418:WAZ786481 WKV786418:WKV786481 WUR786418:WUR786481 D851954:D852017 IF851954:IF852017 SB851954:SB852017 ABX851954:ABX852017 ALT851954:ALT852017 AVP851954:AVP852017 BFL851954:BFL852017 BPH851954:BPH852017 BZD851954:BZD852017 CIZ851954:CIZ852017 CSV851954:CSV852017 DCR851954:DCR852017 DMN851954:DMN852017 DWJ851954:DWJ852017 EGF851954:EGF852017 EQB851954:EQB852017 EZX851954:EZX852017 FJT851954:FJT852017 FTP851954:FTP852017 GDL851954:GDL852017 GNH851954:GNH852017 GXD851954:GXD852017 HGZ851954:HGZ852017 HQV851954:HQV852017 IAR851954:IAR852017 IKN851954:IKN852017 IUJ851954:IUJ852017 JEF851954:JEF852017 JOB851954:JOB852017 JXX851954:JXX852017 KHT851954:KHT852017 KRP851954:KRP852017 LBL851954:LBL852017 LLH851954:LLH852017 LVD851954:LVD852017 MEZ851954:MEZ852017 MOV851954:MOV852017 MYR851954:MYR852017 NIN851954:NIN852017 NSJ851954:NSJ852017 OCF851954:OCF852017 OMB851954:OMB852017 OVX851954:OVX852017 PFT851954:PFT852017 PPP851954:PPP852017 PZL851954:PZL852017 QJH851954:QJH852017 QTD851954:QTD852017 RCZ851954:RCZ852017 RMV851954:RMV852017 RWR851954:RWR852017 SGN851954:SGN852017 SQJ851954:SQJ852017 TAF851954:TAF852017 TKB851954:TKB852017 TTX851954:TTX852017 UDT851954:UDT852017 UNP851954:UNP852017 UXL851954:UXL852017 VHH851954:VHH852017 VRD851954:VRD852017 WAZ851954:WAZ852017 WKV851954:WKV852017 WUR851954:WUR852017 D917490:D917553 IF917490:IF917553 SB917490:SB917553 ABX917490:ABX917553 ALT917490:ALT917553 AVP917490:AVP917553 BFL917490:BFL917553 BPH917490:BPH917553 BZD917490:BZD917553 CIZ917490:CIZ917553 CSV917490:CSV917553 DCR917490:DCR917553 DMN917490:DMN917553 DWJ917490:DWJ917553 EGF917490:EGF917553 EQB917490:EQB917553 EZX917490:EZX917553 FJT917490:FJT917553 FTP917490:FTP917553 GDL917490:GDL917553 GNH917490:GNH917553 GXD917490:GXD917553 HGZ917490:HGZ917553 HQV917490:HQV917553 IAR917490:IAR917553 IKN917490:IKN917553 IUJ917490:IUJ917553 JEF917490:JEF917553 JOB917490:JOB917553 JXX917490:JXX917553 KHT917490:KHT917553 KRP917490:KRP917553 LBL917490:LBL917553 LLH917490:LLH917553 LVD917490:LVD917553 MEZ917490:MEZ917553 MOV917490:MOV917553 MYR917490:MYR917553 NIN917490:NIN917553 NSJ917490:NSJ917553 OCF917490:OCF917553 OMB917490:OMB917553 OVX917490:OVX917553 PFT917490:PFT917553 PPP917490:PPP917553 PZL917490:PZL917553 QJH917490:QJH917553 QTD917490:QTD917553 RCZ917490:RCZ917553 RMV917490:RMV917553 RWR917490:RWR917553 SGN917490:SGN917553 SQJ917490:SQJ917553 TAF917490:TAF917553 TKB917490:TKB917553 TTX917490:TTX917553 UDT917490:UDT917553 UNP917490:UNP917553 UXL917490:UXL917553 VHH917490:VHH917553 VRD917490:VRD917553 WAZ917490:WAZ917553 WKV917490:WKV917553 WUR917490:WUR917553 D983026:D983089 IF983026:IF983089 SB983026:SB983089 ABX983026:ABX983089 ALT983026:ALT983089 AVP983026:AVP983089 BFL983026:BFL983089 BPH983026:BPH983089 BZD983026:BZD983089 CIZ983026:CIZ983089 CSV983026:CSV983089 DCR983026:DCR983089 DMN983026:DMN983089 DWJ983026:DWJ983089 EGF983026:EGF983089 EQB983026:EQB983089 EZX983026:EZX983089 FJT983026:FJT983089 FTP983026:FTP983089 GDL983026:GDL983089 GNH983026:GNH983089 GXD983026:GXD983089 HGZ983026:HGZ983089 HQV983026:HQV983089 IAR983026:IAR983089 IKN983026:IKN983089 IUJ983026:IUJ983089 JEF983026:JEF983089 JOB983026:JOB983089 JXX983026:JXX983089 KHT983026:KHT983089 KRP983026:KRP983089 LBL983026:LBL983089 LLH983026:LLH983089 LVD983026:LVD983089 MEZ983026:MEZ983089 MOV983026:MOV983089 MYR983026:MYR983089 NIN983026:NIN983089 NSJ983026:NSJ983089 OCF983026:OCF983089 OMB983026:OMB983089 OVX983026:OVX983089 PFT983026:PFT983089 PPP983026:PPP983089 PZL983026:PZL983089 QJH983026:QJH983089 QTD983026:QTD983089 RCZ983026:RCZ983089 RMV983026:RMV983089 RWR983026:RWR983089 SGN983026:SGN983089 SQJ983026:SQJ983089 TAF983026:TAF983089 TKB983026:TKB983089 TTX983026:TTX983089 UDT983026:UDT983089 UNP983026:UNP983089 UXL983026:UXL983089 VHH983026:VHH983089 VRD983026:VRD983089 WAZ983026:WAZ983089 WKV983026:WKV983089 WUR983026:WUR983089 D9:D81 IF9:IF81 SB9:SB81 ABX9:ABX81 ALT9:ALT81 AVP9:AVP81 BFL9:BFL81 BPH9:BPH81 BZD9:BZD81 CIZ9:CIZ81 CSV9:CSV81 DCR9:DCR81 DMN9:DMN81 DWJ9:DWJ81 EGF9:EGF81 EQB9:EQB81 EZX9:EZX81 FJT9:FJT81 FTP9:FTP81 GDL9:GDL81 GNH9:GNH81 GXD9:GXD81 HGZ9:HGZ81 HQV9:HQV81 IAR9:IAR81 IKN9:IKN81 IUJ9:IUJ81 JEF9:JEF81 JOB9:JOB81 JXX9:JXX81 KHT9:KHT81 KRP9:KRP81 LBL9:LBL81 LLH9:LLH81 LVD9:LVD81 MEZ9:MEZ81 MOV9:MOV81 MYR9:MYR81 NIN9:NIN81 NSJ9:NSJ81 OCF9:OCF81 OMB9:OMB81 OVX9:OVX81 PFT9:PFT81 PPP9:PPP81 PZL9:PZL81 QJH9:QJH81 QTD9:QTD81 RCZ9:RCZ81 RMV9:RMV81 RWR9:RWR81 SGN9:SGN81 SQJ9:SQJ81 TAF9:TAF81 TKB9:TKB81 TTX9:TTX81 UDT9:UDT81 UNP9:UNP81 UXL9:UXL81 VHH9:VHH81 VRD9:VRD81 WAZ9:WAZ81 WKV9:WKV81 WUR9:WUR81">
      <formula1>-7</formula1>
      <formula2>27</formula2>
    </dataValidation>
    <dataValidation type="whole" allowBlank="1" showDropDown="1" showInputMessage="1" showErrorMessage="1" errorTitle="Ausmaß stimmt nicht" error="Es darf nur 1 eingetragen werden." sqref="A8:A81">
      <formula1>1</formula1>
      <formula2>1</formula2>
    </dataValidation>
    <dataValidation allowBlank="1" showInputMessage="1" showErrorMessage="1" promptTitle="Summe Klassenvorstandschaften" prompt="_x000a_Diese Summe muss mit der Anzahl der eingerichteten Klassen im Tabellenblatt &lt;Konti_MS&gt; in der Zelle D27 übereinstimmen!_x000a__x000a_Es darf keine geteilte Klassenvorstandschaften mehr geben!" sqref="A82"/>
    <dataValidation type="list" allowBlank="1" showInputMessage="1" showErrorMessage="1" errorTitle="Folgende Eingaben sind zulässig:" error="D, E, M, SB, ME, BSP" promptTitle="Zulässige Einträge" prompt="D = Deutsch_x000a_E = Englisch_x000a_M = Mathe_x000a_SB = Schülerberater" sqref="B8:C81">
      <formula1>$P$1:$P$4</formula1>
    </dataValidation>
  </dataValidations>
  <pageMargins left="0.7" right="0.7" top="0.78740157499999996" bottom="0.78740157499999996" header="0.3" footer="0.3"/>
  <pageSetup paperSize="9" scale="8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99"/>
  </sheetPr>
  <dimension ref="B1:W29"/>
  <sheetViews>
    <sheetView showGridLines="0" zoomScaleNormal="100" workbookViewId="0">
      <selection activeCell="X1" sqref="X1"/>
    </sheetView>
  </sheetViews>
  <sheetFormatPr baseColWidth="10" defaultColWidth="0" defaultRowHeight="0" customHeight="1" zeroHeight="1" x14ac:dyDescent="0.25"/>
  <cols>
    <col min="1" max="1" width="6.85546875" style="466" customWidth="1"/>
    <col min="2" max="2" width="16.28515625" style="466" customWidth="1"/>
    <col min="3" max="3" width="17.7109375" style="466" bestFit="1" customWidth="1"/>
    <col min="4" max="4" width="1.85546875" style="466" customWidth="1"/>
    <col min="5" max="5" width="17.42578125" style="466" customWidth="1"/>
    <col min="6" max="6" width="62.7109375" style="466" customWidth="1"/>
    <col min="7" max="7" width="11.42578125" style="466" bestFit="1" customWidth="1"/>
    <col min="8" max="8" width="7.5703125" style="466" customWidth="1"/>
    <col min="9" max="12" width="6.28515625" style="467" hidden="1" customWidth="1"/>
    <col min="13" max="13" width="11.42578125" style="466" hidden="1" customWidth="1"/>
    <col min="14" max="14" width="15.5703125" style="466" hidden="1" customWidth="1"/>
    <col min="15" max="17" width="11.28515625" style="466" hidden="1" customWidth="1"/>
    <col min="18" max="20" width="10.140625" style="466" hidden="1" customWidth="1"/>
    <col min="21" max="23" width="11.42578125" style="466" hidden="1" customWidth="1"/>
    <col min="24" max="16384" width="0" style="466" hidden="1"/>
  </cols>
  <sheetData>
    <row r="1" spans="2:23" ht="54.75" x14ac:dyDescent="0.25">
      <c r="J1" s="468" t="s">
        <v>287</v>
      </c>
      <c r="K1" s="469" t="s">
        <v>288</v>
      </c>
      <c r="L1" s="470" t="s">
        <v>289</v>
      </c>
      <c r="M1" s="466">
        <f>Konti_PTS!B7</f>
        <v>0</v>
      </c>
    </row>
    <row r="2" spans="2:23" ht="57.75" customHeight="1" x14ac:dyDescent="0.25">
      <c r="B2" s="778" t="str">
        <f>IF(N2=9,"Viel Glück!",IF($L$2=0,IF(M1=802012,N24,"Sehr Gut! Gratulation,
die Arbeit ist hervorragend gelungen!"),"Leider "&amp;IF($L$2=1,"ist","sind")&amp;" noch "&amp;$L$2&amp;" Fehler vorhanden!
Derzeit ist es noch ein "&amp;LOOKUP($L$2,M26:N29,N26:N29)))</f>
        <v>Viel Glück!</v>
      </c>
      <c r="C2" s="779"/>
      <c r="D2" s="779"/>
      <c r="E2" s="779"/>
      <c r="F2" s="779"/>
      <c r="G2" s="471" t="str">
        <f>IF(SUM(L5:L21)&lt;&gt;0,"😢","😊")</f>
        <v>😊</v>
      </c>
      <c r="H2" s="472"/>
      <c r="I2" s="780" t="s">
        <v>290</v>
      </c>
      <c r="J2" s="780" t="s">
        <v>291</v>
      </c>
      <c r="K2" s="473"/>
      <c r="L2" s="782">
        <f>SUM(L4:L21)</f>
        <v>0</v>
      </c>
      <c r="N2" s="474">
        <f>COUNTIF(N4:N20,K1)</f>
        <v>9</v>
      </c>
    </row>
    <row r="3" spans="2:23" ht="15.75" thickBot="1" x14ac:dyDescent="0.3">
      <c r="B3" s="497"/>
      <c r="H3" s="472"/>
      <c r="I3" s="781"/>
      <c r="J3" s="781"/>
      <c r="K3" s="476"/>
      <c r="L3" s="783"/>
      <c r="M3" s="472" t="str">
        <f>Konti_PTS!C7</f>
        <v>PTS  . . .</v>
      </c>
      <c r="N3" s="477" t="s">
        <v>288</v>
      </c>
      <c r="O3" s="477" t="s">
        <v>292</v>
      </c>
      <c r="P3" s="477" t="s">
        <v>293</v>
      </c>
      <c r="Q3" s="477" t="s">
        <v>294</v>
      </c>
      <c r="R3" s="477" t="s">
        <v>295</v>
      </c>
      <c r="S3" s="478" t="s">
        <v>296</v>
      </c>
      <c r="T3" s="478"/>
      <c r="U3" s="477" t="s">
        <v>411</v>
      </c>
      <c r="V3" s="684" t="s">
        <v>410</v>
      </c>
      <c r="W3" s="684" t="s">
        <v>412</v>
      </c>
    </row>
    <row r="4" spans="2:23" ht="17.25" customHeight="1" x14ac:dyDescent="0.25">
      <c r="B4" s="479" t="s">
        <v>258</v>
      </c>
      <c r="C4" s="480" t="str">
        <f>IF(AND(L4=0,N4=$K$1),$K$1,IF(L4=0,$J$1,$L$1))</f>
        <v>Keine Eingabe</v>
      </c>
      <c r="D4" s="481"/>
      <c r="E4" s="776" t="str">
        <f>O4&amp;P4&amp;Q4&amp;R4&amp;S4&amp;T4&amp;U4&amp;V4&amp;W4</f>
        <v/>
      </c>
      <c r="F4" s="777"/>
      <c r="G4" s="777"/>
      <c r="H4" s="683"/>
      <c r="I4" s="482">
        <f>Konti_PTS!C18</f>
        <v>0</v>
      </c>
      <c r="J4" s="483">
        <f>Lehrpersonen!A82</f>
        <v>0</v>
      </c>
      <c r="K4" s="483"/>
      <c r="L4" s="484">
        <f t="shared" ref="L4" si="0">COUNTIF(O4:S4,"&lt;&gt;0")-COUNTIF(O4:S4,"")</f>
        <v>0</v>
      </c>
      <c r="M4" s="485"/>
      <c r="N4" s="486" t="str">
        <f>IF(SUM(I5,J4)=0,Kontrolle!$K$1,"")</f>
        <v>Keine Eingabe</v>
      </c>
      <c r="O4" s="486" t="str">
        <f>IF(J5&gt;0,J5&amp;" Klassenvorstandschaft"&amp;IF(J5&gt;1,"en",)&amp;" zu wenig im Blatt &lt;Lehrpersonen&gt; vergeben! ","")</f>
        <v/>
      </c>
      <c r="P4" s="486" t="str">
        <f>IF(J5&lt;0,J5*-1&amp;" Klassenvorstandschaft"&amp;IF(J5&lt;-1,"en",)&amp;" zu viel im Blatt &lt;Lehrpersonen&gt; vergeben! ","")</f>
        <v/>
      </c>
      <c r="Q4" s="486"/>
      <c r="R4" s="486"/>
      <c r="S4" s="486"/>
      <c r="T4" s="486"/>
      <c r="U4" s="679" t="str">
        <f>IF(C4=$J$1,IF(K5&gt;0,"Es wurde"&amp;IF(K5&gt;1,"n","")&amp;" schulautonom "&amp;K5&amp;" Klasse"&amp;IF(K5&gt;1,"n","")&amp;" mehr eingerichtet. ",IF(K5&lt;0,"Es wurde"&amp;IF(K5&lt;-1,"n","")&amp;" schulautonom "&amp;K5*-1&amp;" Klasse"&amp;IF(K5&lt;-1,"n","")&amp;" weniger eingerichtet. ","")),"")</f>
        <v/>
      </c>
      <c r="V4" s="486" t="str">
        <f>IF(C4=$J$1,"Es wurde"&amp;IF(I5&gt;1,"n",)&amp;" "&amp;I5&amp;" Klassenvorstandschaft"&amp;IF(I5&gt;1,"en",)&amp;" vergeben.","")</f>
        <v/>
      </c>
      <c r="W4" s="681"/>
    </row>
    <row r="5" spans="2:23" ht="15.75" thickBot="1" x14ac:dyDescent="0.3">
      <c r="B5" s="475"/>
      <c r="C5" s="487"/>
      <c r="D5" s="481"/>
      <c r="E5" s="777"/>
      <c r="F5" s="777"/>
      <c r="G5" s="777"/>
      <c r="H5" s="472"/>
      <c r="I5" s="488">
        <f>Konti_PTS!D19</f>
        <v>0</v>
      </c>
      <c r="J5" s="489">
        <f>Lehrpersonen!A84</f>
        <v>0</v>
      </c>
      <c r="K5" s="490">
        <f>I5-I4</f>
        <v>0</v>
      </c>
      <c r="L5" s="491"/>
      <c r="M5" s="492"/>
      <c r="N5" s="493"/>
      <c r="O5" s="493"/>
      <c r="P5" s="493"/>
      <c r="Q5" s="493"/>
      <c r="R5" s="493"/>
      <c r="S5" s="494"/>
      <c r="T5" s="494"/>
      <c r="U5" s="680"/>
      <c r="V5" s="685"/>
      <c r="W5" s="682"/>
    </row>
    <row r="6" spans="2:23" ht="15" customHeight="1" x14ac:dyDescent="0.25">
      <c r="B6" s="479" t="s">
        <v>297</v>
      </c>
      <c r="C6" s="480" t="str">
        <f>IF(AND(L6=0,N6=$K$1),$K$1,IF(L6=0,$J$1,$L$1))</f>
        <v>Keine Eingabe</v>
      </c>
      <c r="D6" s="481"/>
      <c r="E6" s="776" t="str">
        <f>O6&amp;P6&amp;Q6&amp;R6&amp;S6&amp;T6&amp;U6&amp;V6&amp;W6</f>
        <v>Für die FachkoordinatorInnen gebührt jedoch keine Zulagen, da hierfür das Mindestausmaß 4 Klassen beträgt.</v>
      </c>
      <c r="F6" s="777"/>
      <c r="G6" s="777"/>
      <c r="H6" s="472"/>
      <c r="I6" s="482">
        <f>IF(Konti_PTS!D19=0,0,4)</f>
        <v>0</v>
      </c>
      <c r="J6" s="483">
        <f>Lehrpersonen!B82</f>
        <v>0</v>
      </c>
      <c r="K6" s="483">
        <f>Lehrpersonen!B82</f>
        <v>0</v>
      </c>
      <c r="L6" s="484">
        <f t="shared" ref="L6:L18" si="1">COUNTIF(O6:S6,"&lt;&gt;0")-COUNTIF(O6:S6,"")</f>
        <v>0</v>
      </c>
      <c r="N6" s="486" t="str">
        <f>IF(SUM(I6,J6)=0,Kontrolle!$K$1,"")</f>
        <v>Keine Eingabe</v>
      </c>
      <c r="O6" s="486" t="str">
        <f>IF(J6&lt;I6,J7&amp;" FachkoordinatorIn"&amp;IF(J7&gt;1,"nen","")&amp;" bzw. SchüerberaterIn zu wenig vergeben. ","")</f>
        <v/>
      </c>
      <c r="P6" s="486" t="str">
        <f>IF(J6&gt;I6,J7*-1&amp;" FachkoordinatorIn"&amp;IF(J7&lt;-1,"nen","")&amp;" bzw. SchüerberaterIn"&amp;IF(J7&lt;-1,"nen","")&amp;" zu viel vergeben. ","")</f>
        <v/>
      </c>
      <c r="Q6" s="486"/>
      <c r="R6" s="486"/>
      <c r="S6" s="486"/>
      <c r="T6" s="486"/>
      <c r="U6" s="679" t="str">
        <f>IF(C6=$J$1,"Es wurde"&amp;IF(I6&gt;1,"n",)&amp;" "&amp;I6&amp;" FachkoordinatorInnen bzw. SchülerberaterInnen vergeben. ","")&amp;IF(I5&lt;4,"Für die FachkoordinatorInnen gebührt jedoch keine Zulagen, da hierfür das Mindestausmaß 4 Klassen beträgt.","")</f>
        <v>Für die FachkoordinatorInnen gebührt jedoch keine Zulagen, da hierfür das Mindestausmaß 4 Klassen beträgt.</v>
      </c>
      <c r="V6" s="486"/>
      <c r="W6" s="681"/>
    </row>
    <row r="7" spans="2:23" ht="15.75" thickBot="1" x14ac:dyDescent="0.3">
      <c r="B7" s="475"/>
      <c r="C7" s="487"/>
      <c r="D7" s="481"/>
      <c r="E7" s="777"/>
      <c r="F7" s="777"/>
      <c r="G7" s="777"/>
      <c r="H7" s="472"/>
      <c r="I7" s="488"/>
      <c r="J7" s="489">
        <f>Lehrpersonen!B84</f>
        <v>0</v>
      </c>
      <c r="K7" s="490"/>
      <c r="L7" s="491"/>
      <c r="M7" s="492"/>
      <c r="N7" s="493"/>
      <c r="O7" s="493"/>
      <c r="P7" s="493"/>
      <c r="Q7" s="493"/>
      <c r="R7" s="494"/>
      <c r="S7" s="494"/>
      <c r="T7" s="494"/>
      <c r="U7" s="680"/>
      <c r="V7" s="685"/>
      <c r="W7" s="682"/>
    </row>
    <row r="8" spans="2:23" ht="15" customHeight="1" x14ac:dyDescent="0.25">
      <c r="B8" s="479" t="s">
        <v>94</v>
      </c>
      <c r="C8" s="480" t="str">
        <f>IF(AND(L8=0,N8=$K$1),$K$1,IF(L8=0,$J$1,$L$1))</f>
        <v>Keine Eingabe</v>
      </c>
      <c r="D8" s="481"/>
      <c r="E8" s="776" t="str">
        <f>O8&amp;P8&amp;Q8&amp;R8&amp;S8&amp;T8&amp;U8&amp;V8&amp;W8</f>
        <v/>
      </c>
      <c r="F8" s="777"/>
      <c r="G8" s="777"/>
      <c r="H8" s="472"/>
      <c r="I8" s="482">
        <f>Konti_PTS!L53</f>
        <v>0</v>
      </c>
      <c r="J8" s="483">
        <f>Lehrpersonen!D82</f>
        <v>0</v>
      </c>
      <c r="K8" s="483">
        <f>COUNT(Lehrpersonen!D8:D81)</f>
        <v>0</v>
      </c>
      <c r="L8" s="484">
        <f t="shared" si="1"/>
        <v>0</v>
      </c>
      <c r="N8" s="486" t="str">
        <f>IF(SUM(I8,J8)=0,Kontrolle!$K$1,"")</f>
        <v>Keine Eingabe</v>
      </c>
      <c r="O8" s="486" t="str">
        <f>IF(J8&lt;I8,J9&amp;" "&amp;IF(J9=1,"Stunde","Stunden")&amp;" zu wenig im Blatt &lt;Lehrpersonen&gt; vergeben! ","")</f>
        <v/>
      </c>
      <c r="P8" s="486" t="str">
        <f>IF(J8&gt;I8,J9*-1&amp;" "&amp;IF(J9=-1,"Stunde","Stunden")&amp;" zu viel im Blatt &lt;Lehrpersonen&gt; vergeben! ","")</f>
        <v/>
      </c>
      <c r="Q8" s="486"/>
      <c r="R8" s="486"/>
      <c r="S8" s="486"/>
      <c r="T8" s="486"/>
      <c r="U8" s="679" t="str">
        <f>IF(Konti_PTS!H52&gt;0,Konti_PTS!H52&amp;" Stunden an zusätzlicher Einrechnung für "&amp;Konti_PTS!D52&amp;" wurden angegeben. ","")</f>
        <v/>
      </c>
      <c r="V8" s="486"/>
      <c r="W8" s="681"/>
    </row>
    <row r="9" spans="2:23" ht="15.75" thickBot="1" x14ac:dyDescent="0.3">
      <c r="B9" s="475"/>
      <c r="C9" s="487"/>
      <c r="D9" s="481"/>
      <c r="E9" s="777"/>
      <c r="F9" s="777"/>
      <c r="G9" s="777"/>
      <c r="H9" s="472"/>
      <c r="I9" s="488"/>
      <c r="J9" s="489">
        <f>Lehrpersonen!D84</f>
        <v>0</v>
      </c>
      <c r="K9" s="490"/>
      <c r="L9" s="491"/>
      <c r="M9" s="492"/>
      <c r="N9" s="493"/>
      <c r="O9" s="493"/>
      <c r="P9" s="493"/>
      <c r="Q9" s="493"/>
      <c r="R9" s="494"/>
      <c r="S9" s="494"/>
      <c r="T9" s="494"/>
      <c r="U9" s="680"/>
      <c r="V9" s="685"/>
      <c r="W9" s="682"/>
    </row>
    <row r="10" spans="2:23" ht="15" customHeight="1" x14ac:dyDescent="0.25">
      <c r="B10" s="479" t="s">
        <v>298</v>
      </c>
      <c r="C10" s="480" t="str">
        <f>IF(AND(L10=0,N10=$K$1),$K$1,IF(L10=0,$J$1,$L$1))</f>
        <v>Keine Eingabe</v>
      </c>
      <c r="D10" s="481"/>
      <c r="E10" s="776" t="str">
        <f>O10&amp;P10&amp;Q10&amp;R10&amp;S10&amp;T10&amp;U10&amp;V10&amp;W10</f>
        <v/>
      </c>
      <c r="F10" s="777"/>
      <c r="G10" s="777"/>
      <c r="H10" s="472"/>
      <c r="I10" s="482">
        <f>IF(Konti_PTS!F37&gt;0,Konti_PTS!F37,Konti_PTS!E33)</f>
        <v>0</v>
      </c>
      <c r="J10" s="483">
        <f>SUM(Lehrpersonen!F82:G82)</f>
        <v>0</v>
      </c>
      <c r="K10" s="483"/>
      <c r="L10" s="484">
        <f>COUNTIF(O10:S10,"&lt;&gt;0")-COUNTIF(O10:S10,"")</f>
        <v>0</v>
      </c>
      <c r="N10" s="486" t="str">
        <f>IF(SUM(I10,J10)=0,Kontrolle!$K$1,"")</f>
        <v>Keine Eingabe</v>
      </c>
      <c r="O10" s="486"/>
      <c r="P10" s="486" t="str">
        <f>IF(J10&gt;I10,J11*-1&amp;" "&amp;IF(J11=-1,"Stunde","Stunden")&amp;" zu viel im Blatt &lt;Lehrpersonen&gt; vergeben! ","")</f>
        <v/>
      </c>
      <c r="R10" s="486"/>
      <c r="S10" s="486"/>
      <c r="T10" s="486"/>
      <c r="U10" s="679" t="str">
        <f>IF(N10=K1,"",IF(L10=0,IF(J11=0,"Alle Stunden wurden verteilt.",J11&amp;" Wochenstunden sind noch verfügbar und gehen in das Restkontingent. "),""))</f>
        <v/>
      </c>
      <c r="V10" s="486" t="str">
        <f>IF(N10=K1,"",IF(L10=0,IF(I11&gt;0,"Es wurden "&amp;I11&amp;" Extra-Stunden laut SQM genehmigt. ",""),""))</f>
        <v/>
      </c>
      <c r="W10" s="681"/>
    </row>
    <row r="11" spans="2:23" ht="15.75" thickBot="1" x14ac:dyDescent="0.3">
      <c r="B11" s="475"/>
      <c r="C11" s="487"/>
      <c r="D11" s="481"/>
      <c r="E11" s="777"/>
      <c r="F11" s="777"/>
      <c r="G11" s="777"/>
      <c r="H11" s="472"/>
      <c r="I11" s="488">
        <f>Konti_PTS!E31</f>
        <v>0</v>
      </c>
      <c r="J11" s="489">
        <f>Lehrpersonen!F84</f>
        <v>0</v>
      </c>
      <c r="K11" s="489"/>
      <c r="L11" s="491"/>
      <c r="M11" s="492"/>
      <c r="N11" s="493"/>
      <c r="O11" s="493"/>
      <c r="P11" s="493"/>
      <c r="Q11" s="493"/>
      <c r="R11" s="494"/>
      <c r="S11" s="494"/>
      <c r="T11" s="494"/>
      <c r="U11" s="680"/>
      <c r="V11" s="685"/>
      <c r="W11" s="682"/>
    </row>
    <row r="12" spans="2:23" ht="15" customHeight="1" x14ac:dyDescent="0.25">
      <c r="B12" s="479" t="s">
        <v>284</v>
      </c>
      <c r="C12" s="480" t="str">
        <f>IF(AND(L12=0,N12=$K$1),$K$1,IF(L12=0,$J$1,$L$1))</f>
        <v>Keine Eingabe</v>
      </c>
      <c r="D12" s="481"/>
      <c r="E12" s="776" t="str">
        <f>O12&amp;P12&amp;Q12&amp;R12&amp;S12&amp;T12&amp;U12&amp;V12&amp;W12</f>
        <v/>
      </c>
      <c r="F12" s="777"/>
      <c r="G12" s="777"/>
      <c r="H12" s="472"/>
      <c r="I12" s="482">
        <f>SUM(Konti_PTS!D23:E23)</f>
        <v>0</v>
      </c>
      <c r="J12" s="483">
        <f>Lehrpersonen!H82</f>
        <v>0</v>
      </c>
      <c r="K12" s="483"/>
      <c r="L12" s="484">
        <f t="shared" si="1"/>
        <v>0</v>
      </c>
      <c r="M12" s="466" t="str">
        <f>Konti_PTS!D24</f>
        <v xml:space="preserve"> </v>
      </c>
      <c r="N12" s="486" t="str">
        <f>IF(SUM(I12,J12)=0,Kontrolle!$K$1,"")</f>
        <v>Keine Eingabe</v>
      </c>
      <c r="O12" s="486" t="str">
        <f>IF(J12&lt;I12,J13&amp;" "&amp;IF(J13=1,"Stunde","Stunden")&amp;" zu wenig im Blatt &lt;Lehrpersonen&gt; vergeben! ","")</f>
        <v/>
      </c>
      <c r="P12" s="486" t="str">
        <f>IF(J12&gt;I12,J13*-1&amp;" "&amp;IF(J13=-1,"Stunde","Stunden")&amp;" zu viel im Blatt &lt;Lehrpersonen&gt; vergeben! ","")</f>
        <v/>
      </c>
      <c r="Q12" s="486"/>
      <c r="R12" s="486"/>
      <c r="S12" s="486"/>
      <c r="T12" s="486"/>
      <c r="U12" s="679" t="str">
        <f>IF(AND(L12=0,I12&gt;0),IF(M12="DFöKL !","Es ist mindestens eine Deutschförderklasse einzurichten!","Es ist ein Deutschförderkurs einzurichten!"),"")</f>
        <v/>
      </c>
      <c r="V12" s="486"/>
      <c r="W12" s="681"/>
    </row>
    <row r="13" spans="2:23" ht="15" customHeight="1" thickBot="1" x14ac:dyDescent="0.3">
      <c r="B13" s="475"/>
      <c r="C13" s="487"/>
      <c r="D13" s="481"/>
      <c r="E13" s="777"/>
      <c r="F13" s="777"/>
      <c r="G13" s="777"/>
      <c r="H13" s="472"/>
      <c r="I13" s="488"/>
      <c r="J13" s="489">
        <f>Lehrpersonen!H84</f>
        <v>0</v>
      </c>
      <c r="K13" s="489"/>
      <c r="L13" s="491"/>
      <c r="M13" s="492"/>
      <c r="N13" s="493"/>
      <c r="O13" s="493"/>
      <c r="P13" s="493"/>
      <c r="Q13" s="493"/>
      <c r="R13" s="494"/>
      <c r="S13" s="494"/>
      <c r="T13" s="494"/>
      <c r="U13" s="680"/>
      <c r="V13" s="685"/>
      <c r="W13" s="682"/>
    </row>
    <row r="14" spans="2:23" ht="15" customHeight="1" x14ac:dyDescent="0.25">
      <c r="B14" s="479" t="s">
        <v>111</v>
      </c>
      <c r="C14" s="480" t="str">
        <f>IF(AND(L14=0,N14=$K$1),$K$1,IF(L14=0,$J$1,$L$1))</f>
        <v>Keine Eingabe</v>
      </c>
      <c r="D14" s="481"/>
      <c r="E14" s="776" t="str">
        <f>O14&amp;P14&amp;Q14&amp;R14&amp;S14&amp;T14&amp;U14&amp;V14&amp;W14</f>
        <v/>
      </c>
      <c r="F14" s="777"/>
      <c r="G14" s="777"/>
      <c r="H14" s="472"/>
      <c r="I14" s="495">
        <f>GTS!D41</f>
        <v>0</v>
      </c>
      <c r="J14" s="483">
        <f>Lehrpersonen!I82</f>
        <v>0</v>
      </c>
      <c r="K14" s="483"/>
      <c r="L14" s="484">
        <f t="shared" si="1"/>
        <v>0</v>
      </c>
      <c r="M14" s="466">
        <f>GTS!J5+GTS!M5</f>
        <v>0</v>
      </c>
      <c r="N14" s="486" t="str">
        <f>IF(SUM(I14,J14)=0,Kontrolle!$K$1,"")</f>
        <v>Keine Eingabe</v>
      </c>
      <c r="O14" s="486" t="str">
        <f>IF(J14&lt;I14,J15&amp;" "&amp;IF(J15=1,"Stunde","Stunden")&amp;" zu wenig im Blatt &lt;Lehrpersonen&gt; vergeben! ","")</f>
        <v/>
      </c>
      <c r="P14" s="486" t="str">
        <f>IF(J14&gt;I14,J15*-1&amp;" "&amp;IF(J15=-1,"Stunde","Stunden")&amp;" zu viel im Blatt &lt;Lehrpersonen&gt; vergeben! ","")</f>
        <v/>
      </c>
      <c r="Q14" s="486" t="str">
        <f>IF(AND(GTS!X29&gt;0,GTS!Y29=0),"Das Befragungs- und Entscheidungsdatum fehlt im Tabellenblatt &lt;GTS&gt;. ","")</f>
        <v/>
      </c>
      <c r="R14" s="486" t="str">
        <f>IF(AND(M14&gt;0,M15&gt;M14),"im Blatt &lt;GTS&gt; wurde eine Gruppe mit "&amp;M15&amp;" SuS eingerichtet, jedoch nehmen laut Zelle J5 "&amp;IF(GTS!M5&gt;0,"und
M5 "&amp;GTS!M5&amp;" SuS von anderen Schulen ","")&amp;"insgesamt nur "&amp;M14&amp;" SuS an der der getrennten GTS teil.","")</f>
        <v/>
      </c>
      <c r="S14" s="486" t="str">
        <f>IF(AND(SUM(GTS!E25:AG25)&gt;0,GTS!J5&lt;1),"Es sind keine Schüler im Blatt &lt;GTS&gt; in der Zelle J15 eingetragen. ","")</f>
        <v/>
      </c>
      <c r="T14" s="486"/>
      <c r="U14" s="679" t="str">
        <f>IF(GTS!BN25&gt;0,GTS!BN25&amp;" Einheit"&amp;IF(GTS!BN25=1,"","en")&amp;" "&amp;IF(GTS!BN25=1,"dauert","dauern")&amp;" unter "&amp;GTS!BN12&amp;" Minuten! Rücksprache mit Präs/3 halten. ","")</f>
        <v/>
      </c>
      <c r="V14" s="486"/>
      <c r="W14" s="681"/>
    </row>
    <row r="15" spans="2:23" ht="15" customHeight="1" thickBot="1" x14ac:dyDescent="0.3">
      <c r="B15" s="475"/>
      <c r="C15" s="487"/>
      <c r="D15" s="481"/>
      <c r="E15" s="777"/>
      <c r="F15" s="777"/>
      <c r="G15" s="777"/>
      <c r="H15" s="472"/>
      <c r="I15" s="488">
        <f>MAX(GTS!E14:F23,GTS!K14:L23,GTS!Q14:R23,GTS!W14:X23,GTS!AC14:AD23)</f>
        <v>0</v>
      </c>
      <c r="J15" s="489">
        <f>Lehrpersonen!I84</f>
        <v>0</v>
      </c>
      <c r="K15" s="489"/>
      <c r="L15" s="491"/>
      <c r="M15" s="492">
        <f>MAX(GTS!E14:F23,GTS!K14:L23,GTS!Q14:R23,GTS!W14:X23,GTS!AC14:AD23)</f>
        <v>0</v>
      </c>
      <c r="N15" s="493"/>
      <c r="O15" s="493"/>
      <c r="P15" s="493"/>
      <c r="Q15" s="493"/>
      <c r="R15" s="494"/>
      <c r="S15" s="494"/>
      <c r="T15" s="494"/>
      <c r="U15" s="680"/>
      <c r="V15" s="685"/>
      <c r="W15" s="682"/>
    </row>
    <row r="16" spans="2:23" ht="15" customHeight="1" x14ac:dyDescent="0.25">
      <c r="B16" s="479" t="s">
        <v>120</v>
      </c>
      <c r="C16" s="480" t="str">
        <f>IF(AND(L16=0,N16=$K$1,N17=0),$K$1,IF(L16=0,$J$1,$L$1))</f>
        <v>Keine Eingabe</v>
      </c>
      <c r="D16" s="481"/>
      <c r="E16" s="776" t="str">
        <f>O16&amp;P16&amp;Q16&amp;R16&amp;S16&amp;T16&amp;U16&amp;V16&amp;W16</f>
        <v/>
      </c>
      <c r="F16" s="777"/>
      <c r="G16" s="777"/>
      <c r="H16" s="472"/>
      <c r="I16" s="482">
        <f>Assistenz!L63</f>
        <v>0</v>
      </c>
      <c r="J16" s="483">
        <f>Lehrpersonen!J82</f>
        <v>0</v>
      </c>
      <c r="K16" s="483"/>
      <c r="L16" s="484">
        <f>COUNTIF(O16:S16,"&lt;&gt;0")-COUNTIF(O16:S16,"")</f>
        <v>0</v>
      </c>
      <c r="N16" s="486" t="str">
        <f>IF(SUM(I16,J16)=0,Kontrolle!$K$1,"")</f>
        <v>Keine Eingabe</v>
      </c>
      <c r="O16" s="486" t="str">
        <f>IF(M17&lt;&gt;SUM(N17:O17),"Laut dem Blatt &lt;Assistenz&gt; wurden in Summe "&amp;M17&amp;IF(M17=1," Stunde"," Stunden")&amp;" genehmigt. Davon werden "&amp;N17&amp;" durch SAF-Personal und "&amp;O17&amp;" durch Lehrpersonal abgedeckt. Somit sind "&amp;M17-N17-O17&amp;" noch zuzuweisen.
","")</f>
        <v/>
      </c>
      <c r="P16" s="486" t="str">
        <f>IF(J16&lt;I16,J17&amp;" "&amp;IF(J17=1,"Stunde","Stunden")&amp;" zu wenig im Blatt &lt;Lehrpersonen&gt; vergeben! ","")</f>
        <v/>
      </c>
      <c r="Q16" s="486" t="str">
        <f>IF(J16&gt;I16,J17*-1&amp;" "&amp;IF(J17=-1,"Stunde","Stunden")&amp;" zu viel im Blatt &lt;Lehrpersonen&gt; vergeben! ","")</f>
        <v/>
      </c>
      <c r="R16" s="486"/>
      <c r="S16" s="486"/>
      <c r="T16" s="486"/>
      <c r="U16" s="679" t="str">
        <f>IF(AND(C16=J1,I16&gt;0),IF(I17=1,"Eine Lehrperson hält "&amp;J16&amp;" "&amp;IF(J16=1,"Assistenzstunde","Assistenzstunden")&amp;" im Unterricht. Dies darf sie nur, wenn der Dienstvertrag auf 'Stütz- und BegleitlehrerIn' lautet! ",I17&amp;" Lehrpersonen halten "&amp;J16&amp;" "&amp;IF(J16=1,"Assistenzstunde","Assistenzstunden")&amp;" im Unterricht. Dies dürfen sie nur, wenn die Dienstverträge auf 'Stütz- und BegleitlehrerIn' lauten! "),"")</f>
        <v/>
      </c>
      <c r="V16" s="486" t="str">
        <f>IF(AND(C16=J1,N17&gt;0),IF(N17&gt;0,"Es wurden "&amp;N17&amp;" Stunden für SAF-Personal genehmigt. ",""),"")</f>
        <v/>
      </c>
      <c r="W16" s="681"/>
    </row>
    <row r="17" spans="2:23" ht="15.75" thickBot="1" x14ac:dyDescent="0.3">
      <c r="B17" s="475"/>
      <c r="C17" s="487"/>
      <c r="D17" s="481"/>
      <c r="E17" s="777"/>
      <c r="F17" s="777"/>
      <c r="G17" s="777"/>
      <c r="H17" s="472"/>
      <c r="I17" s="488">
        <f>COUNT(Lehrpersonen!J8:J81)</f>
        <v>0</v>
      </c>
      <c r="J17" s="489">
        <f>Lehrpersonen!J84</f>
        <v>0</v>
      </c>
      <c r="K17" s="489"/>
      <c r="L17" s="491"/>
      <c r="M17" s="492">
        <f>Assistenz!L61</f>
        <v>0</v>
      </c>
      <c r="N17" s="492">
        <f>Assistenz!L62</f>
        <v>0</v>
      </c>
      <c r="O17" s="492">
        <f>Assistenz!L63</f>
        <v>0</v>
      </c>
      <c r="P17" s="493"/>
      <c r="Q17" s="493"/>
      <c r="R17" s="494"/>
      <c r="S17" s="494"/>
      <c r="T17" s="494"/>
      <c r="U17" s="680"/>
      <c r="V17" s="685"/>
      <c r="W17" s="682"/>
    </row>
    <row r="18" spans="2:23" ht="15" customHeight="1" x14ac:dyDescent="0.25">
      <c r="B18" s="479" t="s">
        <v>264</v>
      </c>
      <c r="C18" s="480" t="str">
        <f>IF(AND(L18=0,N18=$K$1),$K$1,IF(L18=0,$J$1,$L$1))</f>
        <v>Keine Eingabe</v>
      </c>
      <c r="D18" s="481"/>
      <c r="E18" s="776" t="str">
        <f>O18&amp;P18&amp;Q18&amp;R18&amp;S18&amp;T18&amp;U18&amp;V18&amp;W18</f>
        <v/>
      </c>
      <c r="F18" s="777"/>
      <c r="G18" s="777"/>
      <c r="H18" s="472"/>
      <c r="I18" s="496">
        <f>Konti_PTS!D72</f>
        <v>0</v>
      </c>
      <c r="J18" s="483">
        <f>Lehrpersonen!K82</f>
        <v>0</v>
      </c>
      <c r="K18" s="483"/>
      <c r="L18" s="484">
        <f t="shared" si="1"/>
        <v>0</v>
      </c>
      <c r="N18" s="486" t="str">
        <f>IF(SUM(I18,J18)=0,Kontrolle!$K$1,"")</f>
        <v>Keine Eingabe</v>
      </c>
      <c r="O18" s="486" t="str">
        <f>IF(J18&lt;I18,J19&amp;" "&amp;IF(J19=1,"Stunde","Stunden")&amp;" zu wenig im Blatt &lt;Lehrpersonen&gt; vergeben! ","")</f>
        <v/>
      </c>
      <c r="P18" s="486" t="str">
        <f>IF(J18&gt;I18,J19*-1&amp;" "&amp;IF(J19=-1,"Stunde","Stunden")&amp;" zu viel im Blatt &lt;Lehrpersonen&gt; vergeben! ","")</f>
        <v/>
      </c>
      <c r="Q18" s="486"/>
      <c r="R18" s="486"/>
      <c r="S18" s="486"/>
      <c r="T18" s="486"/>
      <c r="U18" s="679"/>
      <c r="V18" s="486"/>
      <c r="W18" s="681"/>
    </row>
    <row r="19" spans="2:23" ht="15.75" thickBot="1" x14ac:dyDescent="0.3">
      <c r="B19" s="497"/>
      <c r="C19" s="481"/>
      <c r="D19" s="481"/>
      <c r="E19" s="777"/>
      <c r="F19" s="777"/>
      <c r="G19" s="777"/>
      <c r="H19" s="472"/>
      <c r="I19" s="488"/>
      <c r="J19" s="489">
        <f>Lehrpersonen!K84</f>
        <v>0</v>
      </c>
      <c r="K19" s="489"/>
      <c r="L19" s="491"/>
      <c r="M19" s="492"/>
      <c r="N19" s="493"/>
      <c r="O19" s="493"/>
      <c r="P19" s="493"/>
      <c r="Q19" s="493"/>
      <c r="R19" s="494"/>
      <c r="S19" s="494"/>
      <c r="T19" s="494"/>
      <c r="U19" s="680"/>
      <c r="V19" s="685"/>
      <c r="W19" s="682"/>
    </row>
    <row r="20" spans="2:23" ht="15" customHeight="1" x14ac:dyDescent="0.25">
      <c r="B20" s="479" t="s">
        <v>299</v>
      </c>
      <c r="C20" s="480" t="str">
        <f>IF(AND(L20=0,N20=$K$1),$K$1,IF(L20=0,$J$1,$L$1))</f>
        <v>Keine Eingabe</v>
      </c>
      <c r="D20" s="481"/>
      <c r="E20" s="776" t="str">
        <f>O20&amp;P20&amp;Q20&amp;R20&amp;S20&amp;T20&amp;U20&amp;V20&amp;W20</f>
        <v/>
      </c>
      <c r="F20" s="777"/>
      <c r="G20" s="777"/>
      <c r="H20" s="472"/>
      <c r="I20" s="482"/>
      <c r="J20" s="483"/>
      <c r="K20" s="483"/>
      <c r="L20" s="498">
        <f>COUNTIF(O20:S20,"&lt;&gt;0")-COUNTIF(O20:S20,"")</f>
        <v>0</v>
      </c>
      <c r="M20" s="466" t="s">
        <v>276</v>
      </c>
      <c r="N20" s="486" t="str">
        <f>IF(AND(Lehrpersonen!K1=M20,Lehrpersonen!F4=M20),Kontrolle!K1,"")</f>
        <v>Keine Eingabe</v>
      </c>
      <c r="O20" s="486" t="str">
        <f>IF(AND(N2=9,N20=K1),"",IF(AND(Lehrpersonen!K1&lt;&gt;Kontrolle!M20,Lehrpersonen!F4&lt;&gt;Kontrolle!M20),"","Im Blatt &lt;Lehrpersonen&gt; fehlt "&amp;IF(Lehrpersonen!K1=Kontrolle!M20,"die Schulleitung","")&amp;IF(AND(Lehrpersonen!K1=M20,Lehrpersonen!F4=M20)," und ","")&amp;IF(Lehrpersonen!F4=Kontrolle!M20,"die Stellvertretung","")&amp;". "))</f>
        <v/>
      </c>
      <c r="P20" s="486" t="str">
        <f>IF(AND(Konti_PTS!B7="",N2&lt;9),"SKZ fehlt im Blatt &lt;Konti&gt;","")</f>
        <v/>
      </c>
      <c r="Q20" s="486"/>
      <c r="R20" s="486"/>
      <c r="S20" s="486"/>
      <c r="T20" s="486"/>
      <c r="U20" s="679" t="str">
        <f>IF(L20=0,IF(Konti_PTS!E31&gt;0,"Es wurden "&amp;Konti_PTS!E31&amp;" Extra Stunden genehmigt! Prüfung erfolgt durch Präs/3.",""),"")</f>
        <v/>
      </c>
      <c r="V20" s="486"/>
      <c r="W20" s="681"/>
    </row>
    <row r="21" spans="2:23" ht="15.75" thickBot="1" x14ac:dyDescent="0.3">
      <c r="E21" s="777"/>
      <c r="F21" s="777"/>
      <c r="G21" s="777"/>
      <c r="H21" s="472"/>
      <c r="I21" s="488"/>
      <c r="J21" s="490"/>
      <c r="K21" s="490"/>
      <c r="L21" s="491"/>
      <c r="M21" s="492"/>
      <c r="N21" s="493"/>
      <c r="O21" s="493"/>
      <c r="P21" s="493"/>
      <c r="Q21" s="493"/>
      <c r="R21" s="494"/>
      <c r="S21" s="494"/>
      <c r="T21" s="494"/>
      <c r="U21" s="680"/>
      <c r="V21" s="685"/>
      <c r="W21" s="682"/>
    </row>
    <row r="22" spans="2:23" ht="57.75" customHeight="1" x14ac:dyDescent="0.25">
      <c r="B22" s="784" t="str">
        <f>IF(AND(N2&lt;9,L2=0),"Einen guten Start in das neue Schuljahr
wünscht dir "&amp;IFERROR(VLOOKUP(VLOOKUP(M1,CI!$C$4:$O$232,13,FALSE),CI!T:U,2,FALSE),"die Präs/3")&amp;"!","")</f>
        <v/>
      </c>
      <c r="C22" s="784"/>
      <c r="D22" s="784"/>
      <c r="E22" s="784"/>
      <c r="F22" s="784"/>
      <c r="G22" s="501" t="str">
        <f>IF(B22="","","😊")</f>
        <v/>
      </c>
      <c r="H22" s="472"/>
      <c r="L22" s="499"/>
      <c r="M22" s="472"/>
      <c r="O22" s="500"/>
    </row>
    <row r="23" spans="2:23" ht="15" x14ac:dyDescent="0.25">
      <c r="L23" s="499"/>
      <c r="M23" s="472"/>
    </row>
    <row r="24" spans="2:23" ht="15" hidden="1" x14ac:dyDescent="0.25">
      <c r="N24" s="466" t="s">
        <v>300</v>
      </c>
    </row>
    <row r="25" spans="2:23" ht="15" hidden="1" x14ac:dyDescent="0.25">
      <c r="M25" s="466">
        <v>0</v>
      </c>
      <c r="N25" s="466" t="s">
        <v>301</v>
      </c>
    </row>
    <row r="26" spans="2:23" ht="15" hidden="1" x14ac:dyDescent="0.25">
      <c r="M26" s="466">
        <v>1</v>
      </c>
      <c r="N26" s="472" t="s">
        <v>302</v>
      </c>
    </row>
    <row r="27" spans="2:23" ht="15" hidden="1" x14ac:dyDescent="0.25">
      <c r="M27" s="466">
        <v>2</v>
      </c>
      <c r="N27" s="466" t="s">
        <v>303</v>
      </c>
    </row>
    <row r="28" spans="2:23" ht="15" hidden="1" x14ac:dyDescent="0.25">
      <c r="M28" s="466">
        <v>3</v>
      </c>
      <c r="N28" s="472" t="s">
        <v>304</v>
      </c>
    </row>
    <row r="29" spans="2:23" ht="15" hidden="1" x14ac:dyDescent="0.25">
      <c r="M29" s="466">
        <v>4</v>
      </c>
      <c r="N29" s="472" t="s">
        <v>305</v>
      </c>
    </row>
  </sheetData>
  <sheetProtection algorithmName="SHA-512" hashValue="bEO5D1bxN1ZsqTOdc2yHcs66lm7PUTC87YX8NAcvlZ6BIwi2I4YtawZcuxbNyNWiElkEScZdvX2nXFZ35MXBEQ==" saltValue="qwR2n4AJMYbFXjNcseUdCw==" spinCount="100000" sheet="1" formatRows="0"/>
  <mergeCells count="14">
    <mergeCell ref="E20:G21"/>
    <mergeCell ref="B22:F22"/>
    <mergeCell ref="E8:G9"/>
    <mergeCell ref="E10:G11"/>
    <mergeCell ref="E12:G13"/>
    <mergeCell ref="E14:G15"/>
    <mergeCell ref="E16:G17"/>
    <mergeCell ref="E18:G19"/>
    <mergeCell ref="E6:G7"/>
    <mergeCell ref="B2:F2"/>
    <mergeCell ref="I2:I3"/>
    <mergeCell ref="J2:J3"/>
    <mergeCell ref="L2:L3"/>
    <mergeCell ref="E4:G5"/>
  </mergeCells>
  <conditionalFormatting sqref="U3:V3 X3:Z20">
    <cfRule type="expression" dxfId="74" priority="72">
      <formula>ISTEXT(U3)</formula>
    </cfRule>
  </conditionalFormatting>
  <conditionalFormatting sqref="N3:T3 J4:J5">
    <cfRule type="expression" dxfId="73" priority="71">
      <formula>ISTEXT(J3)</formula>
    </cfRule>
  </conditionalFormatting>
  <conditionalFormatting sqref="J7">
    <cfRule type="expression" dxfId="72" priority="70">
      <formula>ISTEXT(J7)</formula>
    </cfRule>
  </conditionalFormatting>
  <conditionalFormatting sqref="I8:J16 I18:J21 J17">
    <cfRule type="expression" dxfId="71" priority="66">
      <formula>ISTEXT(I8)</formula>
    </cfRule>
  </conditionalFormatting>
  <conditionalFormatting sqref="I17">
    <cfRule type="expression" dxfId="70" priority="62">
      <formula>ISTEXT(I17)</formula>
    </cfRule>
  </conditionalFormatting>
  <conditionalFormatting sqref="C4:C15 C17:C20">
    <cfRule type="cellIs" dxfId="69" priority="77" operator="equal">
      <formula>$K$1</formula>
    </cfRule>
    <cfRule type="cellIs" dxfId="68" priority="78" operator="equal">
      <formula>$J$1</formula>
    </cfRule>
    <cfRule type="cellIs" dxfId="67" priority="79" operator="equal">
      <formula>$L$1</formula>
    </cfRule>
  </conditionalFormatting>
  <conditionalFormatting sqref="I7">
    <cfRule type="expression" dxfId="66" priority="51">
      <formula>ISTEXT(I7)</formula>
    </cfRule>
  </conditionalFormatting>
  <conditionalFormatting sqref="I6:J6">
    <cfRule type="expression" dxfId="65" priority="46">
      <formula>ISTEXT(I6)</formula>
    </cfRule>
  </conditionalFormatting>
  <conditionalFormatting sqref="G22">
    <cfRule type="expression" dxfId="64" priority="45">
      <formula>$B$22&lt;&gt;""</formula>
    </cfRule>
  </conditionalFormatting>
  <conditionalFormatting sqref="B22:F22">
    <cfRule type="cellIs" dxfId="63" priority="44" operator="notEqual">
      <formula>""</formula>
    </cfRule>
  </conditionalFormatting>
  <conditionalFormatting sqref="U4:U7">
    <cfRule type="expression" dxfId="62" priority="43">
      <formula>ISTEXT(U4)</formula>
    </cfRule>
  </conditionalFormatting>
  <conditionalFormatting sqref="N7:T7 Q6:T6">
    <cfRule type="expression" dxfId="61" priority="42">
      <formula>ISTEXT(N6)</formula>
    </cfRule>
  </conditionalFormatting>
  <conditionalFormatting sqref="N5:T5 N4:O4 Q4:T4">
    <cfRule type="expression" dxfId="60" priority="40">
      <formula>ISTEXT(N4)</formula>
    </cfRule>
  </conditionalFormatting>
  <conditionalFormatting sqref="U4:U5">
    <cfRule type="expression" dxfId="59" priority="41">
      <formula>ISTEXT(U4)</formula>
    </cfRule>
  </conditionalFormatting>
  <conditionalFormatting sqref="U8:U21">
    <cfRule type="expression" dxfId="58" priority="39">
      <formula>ISTEXT(U8)</formula>
    </cfRule>
  </conditionalFormatting>
  <conditionalFormatting sqref="R10:T10 N9:T9 N11:T11 O8:T8 N13:T13 O12:T12 N15:T15 O14:T14 N17:T17 O16:T16 N19:T21 O18:T18">
    <cfRule type="expression" dxfId="57" priority="38">
      <formula>ISTEXT(N8)</formula>
    </cfRule>
  </conditionalFormatting>
  <conditionalFormatting sqref="P10">
    <cfRule type="expression" dxfId="56" priority="36">
      <formula>ISTEXT(P10)</formula>
    </cfRule>
  </conditionalFormatting>
  <conditionalFormatting sqref="O10">
    <cfRule type="expression" dxfId="55" priority="37">
      <formula>ISTEXT(O10)</formula>
    </cfRule>
  </conditionalFormatting>
  <conditionalFormatting sqref="P4">
    <cfRule type="expression" dxfId="54" priority="35">
      <formula>ISTEXT(P4)</formula>
    </cfRule>
  </conditionalFormatting>
  <conditionalFormatting sqref="K6:K7">
    <cfRule type="expression" dxfId="53" priority="34">
      <formula>ISTEXT(K6)</formula>
    </cfRule>
  </conditionalFormatting>
  <conditionalFormatting sqref="K4:K5">
    <cfRule type="expression" dxfId="52" priority="33">
      <formula>ISTEXT(K4)</formula>
    </cfRule>
  </conditionalFormatting>
  <conditionalFormatting sqref="K8:K21">
    <cfRule type="expression" dxfId="51" priority="32">
      <formula>ISTEXT(K8)</formula>
    </cfRule>
  </conditionalFormatting>
  <conditionalFormatting sqref="N12">
    <cfRule type="expression" dxfId="50" priority="29">
      <formula>ISTEXT(N12)</formula>
    </cfRule>
  </conditionalFormatting>
  <conditionalFormatting sqref="N8">
    <cfRule type="expression" dxfId="49" priority="31">
      <formula>ISTEXT(N8)</formula>
    </cfRule>
  </conditionalFormatting>
  <conditionalFormatting sqref="N10">
    <cfRule type="expression" dxfId="48" priority="30">
      <formula>ISTEXT(N10)</formula>
    </cfRule>
  </conditionalFormatting>
  <conditionalFormatting sqref="N14">
    <cfRule type="expression" dxfId="47" priority="28">
      <formula>ISTEXT(N14)</formula>
    </cfRule>
  </conditionalFormatting>
  <conditionalFormatting sqref="N16">
    <cfRule type="expression" dxfId="46" priority="27">
      <formula>ISTEXT(N16)</formula>
    </cfRule>
  </conditionalFormatting>
  <conditionalFormatting sqref="N18">
    <cfRule type="expression" dxfId="45" priority="26">
      <formula>ISTEXT(N18)</formula>
    </cfRule>
  </conditionalFormatting>
  <conditionalFormatting sqref="N6">
    <cfRule type="expression" dxfId="44" priority="25">
      <formula>ISTEXT(N6)</formula>
    </cfRule>
  </conditionalFormatting>
  <conditionalFormatting sqref="O6">
    <cfRule type="expression" dxfId="43" priority="24">
      <formula>ISTEXT(O6)</formula>
    </cfRule>
  </conditionalFormatting>
  <conditionalFormatting sqref="P6">
    <cfRule type="expression" dxfId="42" priority="23">
      <formula>ISTEXT(P6)</formula>
    </cfRule>
  </conditionalFormatting>
  <conditionalFormatting sqref="U6">
    <cfRule type="expression" dxfId="41" priority="22">
      <formula>ISTEXT(U6)</formula>
    </cfRule>
  </conditionalFormatting>
  <conditionalFormatting sqref="V4:V7">
    <cfRule type="expression" dxfId="40" priority="21">
      <formula>ISTEXT(V4)</formula>
    </cfRule>
  </conditionalFormatting>
  <conditionalFormatting sqref="V4:V5">
    <cfRule type="expression" dxfId="39" priority="20">
      <formula>ISTEXT(V4)</formula>
    </cfRule>
  </conditionalFormatting>
  <conditionalFormatting sqref="V8:V9 V11:V21">
    <cfRule type="expression" dxfId="38" priority="19">
      <formula>ISTEXT(V8)</formula>
    </cfRule>
  </conditionalFormatting>
  <conditionalFormatting sqref="V6">
    <cfRule type="expression" dxfId="37" priority="18">
      <formula>ISTEXT(V6)</formula>
    </cfRule>
  </conditionalFormatting>
  <conditionalFormatting sqref="I5">
    <cfRule type="expression" dxfId="36" priority="17">
      <formula>ISTEXT(I5)</formula>
    </cfRule>
  </conditionalFormatting>
  <conditionalFormatting sqref="I4">
    <cfRule type="expression" dxfId="35" priority="16">
      <formula>ISTEXT(I4)</formula>
    </cfRule>
  </conditionalFormatting>
  <conditionalFormatting sqref="W3">
    <cfRule type="expression" dxfId="34" priority="15">
      <formula>ISTEXT(W3)</formula>
    </cfRule>
  </conditionalFormatting>
  <conditionalFormatting sqref="W4:W7">
    <cfRule type="expression" dxfId="33" priority="14">
      <formula>ISTEXT(W4)</formula>
    </cfRule>
  </conditionalFormatting>
  <conditionalFormatting sqref="W4:W5">
    <cfRule type="expression" dxfId="32" priority="13">
      <formula>ISTEXT(W4)</formula>
    </cfRule>
  </conditionalFormatting>
  <conditionalFormatting sqref="W8:W21">
    <cfRule type="expression" dxfId="31" priority="12">
      <formula>ISTEXT(W8)</formula>
    </cfRule>
  </conditionalFormatting>
  <conditionalFormatting sqref="W6">
    <cfRule type="expression" dxfId="30" priority="11">
      <formula>ISTEXT(W6)</formula>
    </cfRule>
  </conditionalFormatting>
  <conditionalFormatting sqref="V10">
    <cfRule type="expression" dxfId="29" priority="7">
      <formula>ISTEXT(V10)</formula>
    </cfRule>
  </conditionalFormatting>
  <conditionalFormatting sqref="C16">
    <cfRule type="cellIs" dxfId="28" priority="4" operator="equal">
      <formula>$K$1</formula>
    </cfRule>
    <cfRule type="cellIs" dxfId="27" priority="5" operator="equal">
      <formula>$J$1</formula>
    </cfRule>
    <cfRule type="cellIs" dxfId="26" priority="6" operator="equal">
      <formula>$L$1</formula>
    </cfRule>
  </conditionalFormatting>
  <conditionalFormatting sqref="B2">
    <cfRule type="expression" dxfId="25" priority="1">
      <formula>SUM($L$5:$L$21)&gt;0</formula>
    </cfRule>
    <cfRule type="expression" dxfId="24" priority="2">
      <formula>$N$2=8</formula>
    </cfRule>
    <cfRule type="expression" dxfId="23" priority="3">
      <formula>SUM($L$5:$L$21)=0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M118"/>
  <sheetViews>
    <sheetView showGridLines="0" zoomScale="130" zoomScaleNormal="130" workbookViewId="0">
      <pane ySplit="7" topLeftCell="A8" activePane="bottomLeft" state="frozen"/>
      <selection activeCell="I22" sqref="I22"/>
      <selection pane="bottomLeft" activeCell="E8" sqref="E8:F20"/>
    </sheetView>
  </sheetViews>
  <sheetFormatPr baseColWidth="10" defaultColWidth="12.85546875" defaultRowHeight="15" customHeight="1" zeroHeight="1" x14ac:dyDescent="0.25"/>
  <cols>
    <col min="1" max="1" width="5.5703125" style="378" customWidth="1"/>
    <col min="2" max="2" width="6.28515625" style="379" customWidth="1"/>
    <col min="3" max="3" width="9.7109375" style="378" customWidth="1"/>
    <col min="4" max="4" width="30.28515625" style="378" customWidth="1"/>
    <col min="5" max="5" width="5.7109375" style="378" bestFit="1" customWidth="1"/>
    <col min="6" max="6" width="5.7109375" style="378" customWidth="1"/>
    <col min="7" max="7" width="5.7109375" style="378" bestFit="1" customWidth="1"/>
    <col min="8" max="11" width="5.7109375" style="378" customWidth="1"/>
    <col min="12" max="12" width="7.28515625" style="378" customWidth="1"/>
    <col min="13" max="13" width="8" style="378" customWidth="1"/>
    <col min="14" max="235" width="12.85546875" style="378"/>
    <col min="236" max="236" width="7.5703125" style="378" customWidth="1"/>
    <col min="237" max="238" width="6.140625" style="378" customWidth="1"/>
    <col min="239" max="239" width="7.5703125" style="378" customWidth="1"/>
    <col min="240" max="240" width="30.28515625" style="378" customWidth="1"/>
    <col min="241" max="241" width="7.42578125" style="378" customWidth="1"/>
    <col min="242" max="242" width="4.7109375" style="378" customWidth="1"/>
    <col min="243" max="243" width="6.85546875" style="378" customWidth="1"/>
    <col min="244" max="244" width="7.42578125" style="378" customWidth="1"/>
    <col min="245" max="245" width="7.28515625" style="378" customWidth="1"/>
    <col min="246" max="246" width="0" style="378" hidden="1" customWidth="1"/>
    <col min="247" max="249" width="7.28515625" style="378" customWidth="1"/>
    <col min="250" max="250" width="8" style="378" customWidth="1"/>
    <col min="251" max="251" width="37.7109375" style="378" customWidth="1"/>
    <col min="252" max="252" width="3.5703125" style="378" customWidth="1"/>
    <col min="253" max="262" width="4.140625" style="378" customWidth="1"/>
    <col min="263" max="266" width="5.28515625" style="378" customWidth="1"/>
    <col min="267" max="491" width="12.85546875" style="378"/>
    <col min="492" max="492" width="7.5703125" style="378" customWidth="1"/>
    <col min="493" max="494" width="6.140625" style="378" customWidth="1"/>
    <col min="495" max="495" width="7.5703125" style="378" customWidth="1"/>
    <col min="496" max="496" width="30.28515625" style="378" customWidth="1"/>
    <col min="497" max="497" width="7.42578125" style="378" customWidth="1"/>
    <col min="498" max="498" width="4.7109375" style="378" customWidth="1"/>
    <col min="499" max="499" width="6.85546875" style="378" customWidth="1"/>
    <col min="500" max="500" width="7.42578125" style="378" customWidth="1"/>
    <col min="501" max="501" width="7.28515625" style="378" customWidth="1"/>
    <col min="502" max="502" width="0" style="378" hidden="1" customWidth="1"/>
    <col min="503" max="505" width="7.28515625" style="378" customWidth="1"/>
    <col min="506" max="506" width="8" style="378" customWidth="1"/>
    <col min="507" max="507" width="37.7109375" style="378" customWidth="1"/>
    <col min="508" max="508" width="3.5703125" style="378" customWidth="1"/>
    <col min="509" max="518" width="4.140625" style="378" customWidth="1"/>
    <col min="519" max="522" width="5.28515625" style="378" customWidth="1"/>
    <col min="523" max="747" width="12.85546875" style="378"/>
    <col min="748" max="748" width="7.5703125" style="378" customWidth="1"/>
    <col min="749" max="750" width="6.140625" style="378" customWidth="1"/>
    <col min="751" max="751" width="7.5703125" style="378" customWidth="1"/>
    <col min="752" max="752" width="30.28515625" style="378" customWidth="1"/>
    <col min="753" max="753" width="7.42578125" style="378" customWidth="1"/>
    <col min="754" max="754" width="4.7109375" style="378" customWidth="1"/>
    <col min="755" max="755" width="6.85546875" style="378" customWidth="1"/>
    <col min="756" max="756" width="7.42578125" style="378" customWidth="1"/>
    <col min="757" max="757" width="7.28515625" style="378" customWidth="1"/>
    <col min="758" max="758" width="0" style="378" hidden="1" customWidth="1"/>
    <col min="759" max="761" width="7.28515625" style="378" customWidth="1"/>
    <col min="762" max="762" width="8" style="378" customWidth="1"/>
    <col min="763" max="763" width="37.7109375" style="378" customWidth="1"/>
    <col min="764" max="764" width="3.5703125" style="378" customWidth="1"/>
    <col min="765" max="774" width="4.140625" style="378" customWidth="1"/>
    <col min="775" max="778" width="5.28515625" style="378" customWidth="1"/>
    <col min="779" max="1003" width="12.85546875" style="378"/>
    <col min="1004" max="1004" width="7.5703125" style="378" customWidth="1"/>
    <col min="1005" max="1006" width="6.140625" style="378" customWidth="1"/>
    <col min="1007" max="1007" width="7.5703125" style="378" customWidth="1"/>
    <col min="1008" max="1008" width="30.28515625" style="378" customWidth="1"/>
    <col min="1009" max="1009" width="7.42578125" style="378" customWidth="1"/>
    <col min="1010" max="1010" width="4.7109375" style="378" customWidth="1"/>
    <col min="1011" max="1011" width="6.85546875" style="378" customWidth="1"/>
    <col min="1012" max="1012" width="7.42578125" style="378" customWidth="1"/>
    <col min="1013" max="1013" width="7.28515625" style="378" customWidth="1"/>
    <col min="1014" max="1014" width="0" style="378" hidden="1" customWidth="1"/>
    <col min="1015" max="1017" width="7.28515625" style="378" customWidth="1"/>
    <col min="1018" max="1018" width="8" style="378" customWidth="1"/>
    <col min="1019" max="1019" width="37.7109375" style="378" customWidth="1"/>
    <col min="1020" max="1020" width="3.5703125" style="378" customWidth="1"/>
    <col min="1021" max="1030" width="4.140625" style="378" customWidth="1"/>
    <col min="1031" max="1034" width="5.28515625" style="378" customWidth="1"/>
    <col min="1035" max="1259" width="12.85546875" style="378"/>
    <col min="1260" max="1260" width="7.5703125" style="378" customWidth="1"/>
    <col min="1261" max="1262" width="6.140625" style="378" customWidth="1"/>
    <col min="1263" max="1263" width="7.5703125" style="378" customWidth="1"/>
    <col min="1264" max="1264" width="30.28515625" style="378" customWidth="1"/>
    <col min="1265" max="1265" width="7.42578125" style="378" customWidth="1"/>
    <col min="1266" max="1266" width="4.7109375" style="378" customWidth="1"/>
    <col min="1267" max="1267" width="6.85546875" style="378" customWidth="1"/>
    <col min="1268" max="1268" width="7.42578125" style="378" customWidth="1"/>
    <col min="1269" max="1269" width="7.28515625" style="378" customWidth="1"/>
    <col min="1270" max="1270" width="0" style="378" hidden="1" customWidth="1"/>
    <col min="1271" max="1273" width="7.28515625" style="378" customWidth="1"/>
    <col min="1274" max="1274" width="8" style="378" customWidth="1"/>
    <col min="1275" max="1275" width="37.7109375" style="378" customWidth="1"/>
    <col min="1276" max="1276" width="3.5703125" style="378" customWidth="1"/>
    <col min="1277" max="1286" width="4.140625" style="378" customWidth="1"/>
    <col min="1287" max="1290" width="5.28515625" style="378" customWidth="1"/>
    <col min="1291" max="1515" width="12.85546875" style="378"/>
    <col min="1516" max="1516" width="7.5703125" style="378" customWidth="1"/>
    <col min="1517" max="1518" width="6.140625" style="378" customWidth="1"/>
    <col min="1519" max="1519" width="7.5703125" style="378" customWidth="1"/>
    <col min="1520" max="1520" width="30.28515625" style="378" customWidth="1"/>
    <col min="1521" max="1521" width="7.42578125" style="378" customWidth="1"/>
    <col min="1522" max="1522" width="4.7109375" style="378" customWidth="1"/>
    <col min="1523" max="1523" width="6.85546875" style="378" customWidth="1"/>
    <col min="1524" max="1524" width="7.42578125" style="378" customWidth="1"/>
    <col min="1525" max="1525" width="7.28515625" style="378" customWidth="1"/>
    <col min="1526" max="1526" width="0" style="378" hidden="1" customWidth="1"/>
    <col min="1527" max="1529" width="7.28515625" style="378" customWidth="1"/>
    <col min="1530" max="1530" width="8" style="378" customWidth="1"/>
    <col min="1531" max="1531" width="37.7109375" style="378" customWidth="1"/>
    <col min="1532" max="1532" width="3.5703125" style="378" customWidth="1"/>
    <col min="1533" max="1542" width="4.140625" style="378" customWidth="1"/>
    <col min="1543" max="1546" width="5.28515625" style="378" customWidth="1"/>
    <col min="1547" max="1771" width="12.85546875" style="378"/>
    <col min="1772" max="1772" width="7.5703125" style="378" customWidth="1"/>
    <col min="1773" max="1774" width="6.140625" style="378" customWidth="1"/>
    <col min="1775" max="1775" width="7.5703125" style="378" customWidth="1"/>
    <col min="1776" max="1776" width="30.28515625" style="378" customWidth="1"/>
    <col min="1777" max="1777" width="7.42578125" style="378" customWidth="1"/>
    <col min="1778" max="1778" width="4.7109375" style="378" customWidth="1"/>
    <col min="1779" max="1779" width="6.85546875" style="378" customWidth="1"/>
    <col min="1780" max="1780" width="7.42578125" style="378" customWidth="1"/>
    <col min="1781" max="1781" width="7.28515625" style="378" customWidth="1"/>
    <col min="1782" max="1782" width="0" style="378" hidden="1" customWidth="1"/>
    <col min="1783" max="1785" width="7.28515625" style="378" customWidth="1"/>
    <col min="1786" max="1786" width="8" style="378" customWidth="1"/>
    <col min="1787" max="1787" width="37.7109375" style="378" customWidth="1"/>
    <col min="1788" max="1788" width="3.5703125" style="378" customWidth="1"/>
    <col min="1789" max="1798" width="4.140625" style="378" customWidth="1"/>
    <col min="1799" max="1802" width="5.28515625" style="378" customWidth="1"/>
    <col min="1803" max="2027" width="12.85546875" style="378"/>
    <col min="2028" max="2028" width="7.5703125" style="378" customWidth="1"/>
    <col min="2029" max="2030" width="6.140625" style="378" customWidth="1"/>
    <col min="2031" max="2031" width="7.5703125" style="378" customWidth="1"/>
    <col min="2032" max="2032" width="30.28515625" style="378" customWidth="1"/>
    <col min="2033" max="2033" width="7.42578125" style="378" customWidth="1"/>
    <col min="2034" max="2034" width="4.7109375" style="378" customWidth="1"/>
    <col min="2035" max="2035" width="6.85546875" style="378" customWidth="1"/>
    <col min="2036" max="2036" width="7.42578125" style="378" customWidth="1"/>
    <col min="2037" max="2037" width="7.28515625" style="378" customWidth="1"/>
    <col min="2038" max="2038" width="0" style="378" hidden="1" customWidth="1"/>
    <col min="2039" max="2041" width="7.28515625" style="378" customWidth="1"/>
    <col min="2042" max="2042" width="8" style="378" customWidth="1"/>
    <col min="2043" max="2043" width="37.7109375" style="378" customWidth="1"/>
    <col min="2044" max="2044" width="3.5703125" style="378" customWidth="1"/>
    <col min="2045" max="2054" width="4.140625" style="378" customWidth="1"/>
    <col min="2055" max="2058" width="5.28515625" style="378" customWidth="1"/>
    <col min="2059" max="2283" width="12.85546875" style="378"/>
    <col min="2284" max="2284" width="7.5703125" style="378" customWidth="1"/>
    <col min="2285" max="2286" width="6.140625" style="378" customWidth="1"/>
    <col min="2287" max="2287" width="7.5703125" style="378" customWidth="1"/>
    <col min="2288" max="2288" width="30.28515625" style="378" customWidth="1"/>
    <col min="2289" max="2289" width="7.42578125" style="378" customWidth="1"/>
    <col min="2290" max="2290" width="4.7109375" style="378" customWidth="1"/>
    <col min="2291" max="2291" width="6.85546875" style="378" customWidth="1"/>
    <col min="2292" max="2292" width="7.42578125" style="378" customWidth="1"/>
    <col min="2293" max="2293" width="7.28515625" style="378" customWidth="1"/>
    <col min="2294" max="2294" width="0" style="378" hidden="1" customWidth="1"/>
    <col min="2295" max="2297" width="7.28515625" style="378" customWidth="1"/>
    <col min="2298" max="2298" width="8" style="378" customWidth="1"/>
    <col min="2299" max="2299" width="37.7109375" style="378" customWidth="1"/>
    <col min="2300" max="2300" width="3.5703125" style="378" customWidth="1"/>
    <col min="2301" max="2310" width="4.140625" style="378" customWidth="1"/>
    <col min="2311" max="2314" width="5.28515625" style="378" customWidth="1"/>
    <col min="2315" max="2539" width="12.85546875" style="378"/>
    <col min="2540" max="2540" width="7.5703125" style="378" customWidth="1"/>
    <col min="2541" max="2542" width="6.140625" style="378" customWidth="1"/>
    <col min="2543" max="2543" width="7.5703125" style="378" customWidth="1"/>
    <col min="2544" max="2544" width="30.28515625" style="378" customWidth="1"/>
    <col min="2545" max="2545" width="7.42578125" style="378" customWidth="1"/>
    <col min="2546" max="2546" width="4.7109375" style="378" customWidth="1"/>
    <col min="2547" max="2547" width="6.85546875" style="378" customWidth="1"/>
    <col min="2548" max="2548" width="7.42578125" style="378" customWidth="1"/>
    <col min="2549" max="2549" width="7.28515625" style="378" customWidth="1"/>
    <col min="2550" max="2550" width="0" style="378" hidden="1" customWidth="1"/>
    <col min="2551" max="2553" width="7.28515625" style="378" customWidth="1"/>
    <col min="2554" max="2554" width="8" style="378" customWidth="1"/>
    <col min="2555" max="2555" width="37.7109375" style="378" customWidth="1"/>
    <col min="2556" max="2556" width="3.5703125" style="378" customWidth="1"/>
    <col min="2557" max="2566" width="4.140625" style="378" customWidth="1"/>
    <col min="2567" max="2570" width="5.28515625" style="378" customWidth="1"/>
    <col min="2571" max="2795" width="12.85546875" style="378"/>
    <col min="2796" max="2796" width="7.5703125" style="378" customWidth="1"/>
    <col min="2797" max="2798" width="6.140625" style="378" customWidth="1"/>
    <col min="2799" max="2799" width="7.5703125" style="378" customWidth="1"/>
    <col min="2800" max="2800" width="30.28515625" style="378" customWidth="1"/>
    <col min="2801" max="2801" width="7.42578125" style="378" customWidth="1"/>
    <col min="2802" max="2802" width="4.7109375" style="378" customWidth="1"/>
    <col min="2803" max="2803" width="6.85546875" style="378" customWidth="1"/>
    <col min="2804" max="2804" width="7.42578125" style="378" customWidth="1"/>
    <col min="2805" max="2805" width="7.28515625" style="378" customWidth="1"/>
    <col min="2806" max="2806" width="0" style="378" hidden="1" customWidth="1"/>
    <col min="2807" max="2809" width="7.28515625" style="378" customWidth="1"/>
    <col min="2810" max="2810" width="8" style="378" customWidth="1"/>
    <col min="2811" max="2811" width="37.7109375" style="378" customWidth="1"/>
    <col min="2812" max="2812" width="3.5703125" style="378" customWidth="1"/>
    <col min="2813" max="2822" width="4.140625" style="378" customWidth="1"/>
    <col min="2823" max="2826" width="5.28515625" style="378" customWidth="1"/>
    <col min="2827" max="3051" width="12.85546875" style="378"/>
    <col min="3052" max="3052" width="7.5703125" style="378" customWidth="1"/>
    <col min="3053" max="3054" width="6.140625" style="378" customWidth="1"/>
    <col min="3055" max="3055" width="7.5703125" style="378" customWidth="1"/>
    <col min="3056" max="3056" width="30.28515625" style="378" customWidth="1"/>
    <col min="3057" max="3057" width="7.42578125" style="378" customWidth="1"/>
    <col min="3058" max="3058" width="4.7109375" style="378" customWidth="1"/>
    <col min="3059" max="3059" width="6.85546875" style="378" customWidth="1"/>
    <col min="3060" max="3060" width="7.42578125" style="378" customWidth="1"/>
    <col min="3061" max="3061" width="7.28515625" style="378" customWidth="1"/>
    <col min="3062" max="3062" width="0" style="378" hidden="1" customWidth="1"/>
    <col min="3063" max="3065" width="7.28515625" style="378" customWidth="1"/>
    <col min="3066" max="3066" width="8" style="378" customWidth="1"/>
    <col min="3067" max="3067" width="37.7109375" style="378" customWidth="1"/>
    <col min="3068" max="3068" width="3.5703125" style="378" customWidth="1"/>
    <col min="3069" max="3078" width="4.140625" style="378" customWidth="1"/>
    <col min="3079" max="3082" width="5.28515625" style="378" customWidth="1"/>
    <col min="3083" max="3307" width="12.85546875" style="378"/>
    <col min="3308" max="3308" width="7.5703125" style="378" customWidth="1"/>
    <col min="3309" max="3310" width="6.140625" style="378" customWidth="1"/>
    <col min="3311" max="3311" width="7.5703125" style="378" customWidth="1"/>
    <col min="3312" max="3312" width="30.28515625" style="378" customWidth="1"/>
    <col min="3313" max="3313" width="7.42578125" style="378" customWidth="1"/>
    <col min="3314" max="3314" width="4.7109375" style="378" customWidth="1"/>
    <col min="3315" max="3315" width="6.85546875" style="378" customWidth="1"/>
    <col min="3316" max="3316" width="7.42578125" style="378" customWidth="1"/>
    <col min="3317" max="3317" width="7.28515625" style="378" customWidth="1"/>
    <col min="3318" max="3318" width="0" style="378" hidden="1" customWidth="1"/>
    <col min="3319" max="3321" width="7.28515625" style="378" customWidth="1"/>
    <col min="3322" max="3322" width="8" style="378" customWidth="1"/>
    <col min="3323" max="3323" width="37.7109375" style="378" customWidth="1"/>
    <col min="3324" max="3324" width="3.5703125" style="378" customWidth="1"/>
    <col min="3325" max="3334" width="4.140625" style="378" customWidth="1"/>
    <col min="3335" max="3338" width="5.28515625" style="378" customWidth="1"/>
    <col min="3339" max="3563" width="12.85546875" style="378"/>
    <col min="3564" max="3564" width="7.5703125" style="378" customWidth="1"/>
    <col min="3565" max="3566" width="6.140625" style="378" customWidth="1"/>
    <col min="3567" max="3567" width="7.5703125" style="378" customWidth="1"/>
    <col min="3568" max="3568" width="30.28515625" style="378" customWidth="1"/>
    <col min="3569" max="3569" width="7.42578125" style="378" customWidth="1"/>
    <col min="3570" max="3570" width="4.7109375" style="378" customWidth="1"/>
    <col min="3571" max="3571" width="6.85546875" style="378" customWidth="1"/>
    <col min="3572" max="3572" width="7.42578125" style="378" customWidth="1"/>
    <col min="3573" max="3573" width="7.28515625" style="378" customWidth="1"/>
    <col min="3574" max="3574" width="0" style="378" hidden="1" customWidth="1"/>
    <col min="3575" max="3577" width="7.28515625" style="378" customWidth="1"/>
    <col min="3578" max="3578" width="8" style="378" customWidth="1"/>
    <col min="3579" max="3579" width="37.7109375" style="378" customWidth="1"/>
    <col min="3580" max="3580" width="3.5703125" style="378" customWidth="1"/>
    <col min="3581" max="3590" width="4.140625" style="378" customWidth="1"/>
    <col min="3591" max="3594" width="5.28515625" style="378" customWidth="1"/>
    <col min="3595" max="3819" width="12.85546875" style="378"/>
    <col min="3820" max="3820" width="7.5703125" style="378" customWidth="1"/>
    <col min="3821" max="3822" width="6.140625" style="378" customWidth="1"/>
    <col min="3823" max="3823" width="7.5703125" style="378" customWidth="1"/>
    <col min="3824" max="3824" width="30.28515625" style="378" customWidth="1"/>
    <col min="3825" max="3825" width="7.42578125" style="378" customWidth="1"/>
    <col min="3826" max="3826" width="4.7109375" style="378" customWidth="1"/>
    <col min="3827" max="3827" width="6.85546875" style="378" customWidth="1"/>
    <col min="3828" max="3828" width="7.42578125" style="378" customWidth="1"/>
    <col min="3829" max="3829" width="7.28515625" style="378" customWidth="1"/>
    <col min="3830" max="3830" width="0" style="378" hidden="1" customWidth="1"/>
    <col min="3831" max="3833" width="7.28515625" style="378" customWidth="1"/>
    <col min="3834" max="3834" width="8" style="378" customWidth="1"/>
    <col min="3835" max="3835" width="37.7109375" style="378" customWidth="1"/>
    <col min="3836" max="3836" width="3.5703125" style="378" customWidth="1"/>
    <col min="3837" max="3846" width="4.140625" style="378" customWidth="1"/>
    <col min="3847" max="3850" width="5.28515625" style="378" customWidth="1"/>
    <col min="3851" max="4075" width="12.85546875" style="378"/>
    <col min="4076" max="4076" width="7.5703125" style="378" customWidth="1"/>
    <col min="4077" max="4078" width="6.140625" style="378" customWidth="1"/>
    <col min="4079" max="4079" width="7.5703125" style="378" customWidth="1"/>
    <col min="4080" max="4080" width="30.28515625" style="378" customWidth="1"/>
    <col min="4081" max="4081" width="7.42578125" style="378" customWidth="1"/>
    <col min="4082" max="4082" width="4.7109375" style="378" customWidth="1"/>
    <col min="4083" max="4083" width="6.85546875" style="378" customWidth="1"/>
    <col min="4084" max="4084" width="7.42578125" style="378" customWidth="1"/>
    <col min="4085" max="4085" width="7.28515625" style="378" customWidth="1"/>
    <col min="4086" max="4086" width="0" style="378" hidden="1" customWidth="1"/>
    <col min="4087" max="4089" width="7.28515625" style="378" customWidth="1"/>
    <col min="4090" max="4090" width="8" style="378" customWidth="1"/>
    <col min="4091" max="4091" width="37.7109375" style="378" customWidth="1"/>
    <col min="4092" max="4092" width="3.5703125" style="378" customWidth="1"/>
    <col min="4093" max="4102" width="4.140625" style="378" customWidth="1"/>
    <col min="4103" max="4106" width="5.28515625" style="378" customWidth="1"/>
    <col min="4107" max="4331" width="12.85546875" style="378"/>
    <col min="4332" max="4332" width="7.5703125" style="378" customWidth="1"/>
    <col min="4333" max="4334" width="6.140625" style="378" customWidth="1"/>
    <col min="4335" max="4335" width="7.5703125" style="378" customWidth="1"/>
    <col min="4336" max="4336" width="30.28515625" style="378" customWidth="1"/>
    <col min="4337" max="4337" width="7.42578125" style="378" customWidth="1"/>
    <col min="4338" max="4338" width="4.7109375" style="378" customWidth="1"/>
    <col min="4339" max="4339" width="6.85546875" style="378" customWidth="1"/>
    <col min="4340" max="4340" width="7.42578125" style="378" customWidth="1"/>
    <col min="4341" max="4341" width="7.28515625" style="378" customWidth="1"/>
    <col min="4342" max="4342" width="0" style="378" hidden="1" customWidth="1"/>
    <col min="4343" max="4345" width="7.28515625" style="378" customWidth="1"/>
    <col min="4346" max="4346" width="8" style="378" customWidth="1"/>
    <col min="4347" max="4347" width="37.7109375" style="378" customWidth="1"/>
    <col min="4348" max="4348" width="3.5703125" style="378" customWidth="1"/>
    <col min="4349" max="4358" width="4.140625" style="378" customWidth="1"/>
    <col min="4359" max="4362" width="5.28515625" style="378" customWidth="1"/>
    <col min="4363" max="4587" width="12.85546875" style="378"/>
    <col min="4588" max="4588" width="7.5703125" style="378" customWidth="1"/>
    <col min="4589" max="4590" width="6.140625" style="378" customWidth="1"/>
    <col min="4591" max="4591" width="7.5703125" style="378" customWidth="1"/>
    <col min="4592" max="4592" width="30.28515625" style="378" customWidth="1"/>
    <col min="4593" max="4593" width="7.42578125" style="378" customWidth="1"/>
    <col min="4594" max="4594" width="4.7109375" style="378" customWidth="1"/>
    <col min="4595" max="4595" width="6.85546875" style="378" customWidth="1"/>
    <col min="4596" max="4596" width="7.42578125" style="378" customWidth="1"/>
    <col min="4597" max="4597" width="7.28515625" style="378" customWidth="1"/>
    <col min="4598" max="4598" width="0" style="378" hidden="1" customWidth="1"/>
    <col min="4599" max="4601" width="7.28515625" style="378" customWidth="1"/>
    <col min="4602" max="4602" width="8" style="378" customWidth="1"/>
    <col min="4603" max="4603" width="37.7109375" style="378" customWidth="1"/>
    <col min="4604" max="4604" width="3.5703125" style="378" customWidth="1"/>
    <col min="4605" max="4614" width="4.140625" style="378" customWidth="1"/>
    <col min="4615" max="4618" width="5.28515625" style="378" customWidth="1"/>
    <col min="4619" max="4843" width="12.85546875" style="378"/>
    <col min="4844" max="4844" width="7.5703125" style="378" customWidth="1"/>
    <col min="4845" max="4846" width="6.140625" style="378" customWidth="1"/>
    <col min="4847" max="4847" width="7.5703125" style="378" customWidth="1"/>
    <col min="4848" max="4848" width="30.28515625" style="378" customWidth="1"/>
    <col min="4849" max="4849" width="7.42578125" style="378" customWidth="1"/>
    <col min="4850" max="4850" width="4.7109375" style="378" customWidth="1"/>
    <col min="4851" max="4851" width="6.85546875" style="378" customWidth="1"/>
    <col min="4852" max="4852" width="7.42578125" style="378" customWidth="1"/>
    <col min="4853" max="4853" width="7.28515625" style="378" customWidth="1"/>
    <col min="4854" max="4854" width="0" style="378" hidden="1" customWidth="1"/>
    <col min="4855" max="4857" width="7.28515625" style="378" customWidth="1"/>
    <col min="4858" max="4858" width="8" style="378" customWidth="1"/>
    <col min="4859" max="4859" width="37.7109375" style="378" customWidth="1"/>
    <col min="4860" max="4860" width="3.5703125" style="378" customWidth="1"/>
    <col min="4861" max="4870" width="4.140625" style="378" customWidth="1"/>
    <col min="4871" max="4874" width="5.28515625" style="378" customWidth="1"/>
    <col min="4875" max="5099" width="12.85546875" style="378"/>
    <col min="5100" max="5100" width="7.5703125" style="378" customWidth="1"/>
    <col min="5101" max="5102" width="6.140625" style="378" customWidth="1"/>
    <col min="5103" max="5103" width="7.5703125" style="378" customWidth="1"/>
    <col min="5104" max="5104" width="30.28515625" style="378" customWidth="1"/>
    <col min="5105" max="5105" width="7.42578125" style="378" customWidth="1"/>
    <col min="5106" max="5106" width="4.7109375" style="378" customWidth="1"/>
    <col min="5107" max="5107" width="6.85546875" style="378" customWidth="1"/>
    <col min="5108" max="5108" width="7.42578125" style="378" customWidth="1"/>
    <col min="5109" max="5109" width="7.28515625" style="378" customWidth="1"/>
    <col min="5110" max="5110" width="0" style="378" hidden="1" customWidth="1"/>
    <col min="5111" max="5113" width="7.28515625" style="378" customWidth="1"/>
    <col min="5114" max="5114" width="8" style="378" customWidth="1"/>
    <col min="5115" max="5115" width="37.7109375" style="378" customWidth="1"/>
    <col min="5116" max="5116" width="3.5703125" style="378" customWidth="1"/>
    <col min="5117" max="5126" width="4.140625" style="378" customWidth="1"/>
    <col min="5127" max="5130" width="5.28515625" style="378" customWidth="1"/>
    <col min="5131" max="5355" width="12.85546875" style="378"/>
    <col min="5356" max="5356" width="7.5703125" style="378" customWidth="1"/>
    <col min="5357" max="5358" width="6.140625" style="378" customWidth="1"/>
    <col min="5359" max="5359" width="7.5703125" style="378" customWidth="1"/>
    <col min="5360" max="5360" width="30.28515625" style="378" customWidth="1"/>
    <col min="5361" max="5361" width="7.42578125" style="378" customWidth="1"/>
    <col min="5362" max="5362" width="4.7109375" style="378" customWidth="1"/>
    <col min="5363" max="5363" width="6.85546875" style="378" customWidth="1"/>
    <col min="5364" max="5364" width="7.42578125" style="378" customWidth="1"/>
    <col min="5365" max="5365" width="7.28515625" style="378" customWidth="1"/>
    <col min="5366" max="5366" width="0" style="378" hidden="1" customWidth="1"/>
    <col min="5367" max="5369" width="7.28515625" style="378" customWidth="1"/>
    <col min="5370" max="5370" width="8" style="378" customWidth="1"/>
    <col min="5371" max="5371" width="37.7109375" style="378" customWidth="1"/>
    <col min="5372" max="5372" width="3.5703125" style="378" customWidth="1"/>
    <col min="5373" max="5382" width="4.140625" style="378" customWidth="1"/>
    <col min="5383" max="5386" width="5.28515625" style="378" customWidth="1"/>
    <col min="5387" max="5611" width="12.85546875" style="378"/>
    <col min="5612" max="5612" width="7.5703125" style="378" customWidth="1"/>
    <col min="5613" max="5614" width="6.140625" style="378" customWidth="1"/>
    <col min="5615" max="5615" width="7.5703125" style="378" customWidth="1"/>
    <col min="5616" max="5616" width="30.28515625" style="378" customWidth="1"/>
    <col min="5617" max="5617" width="7.42578125" style="378" customWidth="1"/>
    <col min="5618" max="5618" width="4.7109375" style="378" customWidth="1"/>
    <col min="5619" max="5619" width="6.85546875" style="378" customWidth="1"/>
    <col min="5620" max="5620" width="7.42578125" style="378" customWidth="1"/>
    <col min="5621" max="5621" width="7.28515625" style="378" customWidth="1"/>
    <col min="5622" max="5622" width="0" style="378" hidden="1" customWidth="1"/>
    <col min="5623" max="5625" width="7.28515625" style="378" customWidth="1"/>
    <col min="5626" max="5626" width="8" style="378" customWidth="1"/>
    <col min="5627" max="5627" width="37.7109375" style="378" customWidth="1"/>
    <col min="5628" max="5628" width="3.5703125" style="378" customWidth="1"/>
    <col min="5629" max="5638" width="4.140625" style="378" customWidth="1"/>
    <col min="5639" max="5642" width="5.28515625" style="378" customWidth="1"/>
    <col min="5643" max="5867" width="12.85546875" style="378"/>
    <col min="5868" max="5868" width="7.5703125" style="378" customWidth="1"/>
    <col min="5869" max="5870" width="6.140625" style="378" customWidth="1"/>
    <col min="5871" max="5871" width="7.5703125" style="378" customWidth="1"/>
    <col min="5872" max="5872" width="30.28515625" style="378" customWidth="1"/>
    <col min="5873" max="5873" width="7.42578125" style="378" customWidth="1"/>
    <col min="5874" max="5874" width="4.7109375" style="378" customWidth="1"/>
    <col min="5875" max="5875" width="6.85546875" style="378" customWidth="1"/>
    <col min="5876" max="5876" width="7.42578125" style="378" customWidth="1"/>
    <col min="5877" max="5877" width="7.28515625" style="378" customWidth="1"/>
    <col min="5878" max="5878" width="0" style="378" hidden="1" customWidth="1"/>
    <col min="5879" max="5881" width="7.28515625" style="378" customWidth="1"/>
    <col min="5882" max="5882" width="8" style="378" customWidth="1"/>
    <col min="5883" max="5883" width="37.7109375" style="378" customWidth="1"/>
    <col min="5884" max="5884" width="3.5703125" style="378" customWidth="1"/>
    <col min="5885" max="5894" width="4.140625" style="378" customWidth="1"/>
    <col min="5895" max="5898" width="5.28515625" style="378" customWidth="1"/>
    <col min="5899" max="6123" width="12.85546875" style="378"/>
    <col min="6124" max="6124" width="7.5703125" style="378" customWidth="1"/>
    <col min="6125" max="6126" width="6.140625" style="378" customWidth="1"/>
    <col min="6127" max="6127" width="7.5703125" style="378" customWidth="1"/>
    <col min="6128" max="6128" width="30.28515625" style="378" customWidth="1"/>
    <col min="6129" max="6129" width="7.42578125" style="378" customWidth="1"/>
    <col min="6130" max="6130" width="4.7109375" style="378" customWidth="1"/>
    <col min="6131" max="6131" width="6.85546875" style="378" customWidth="1"/>
    <col min="6132" max="6132" width="7.42578125" style="378" customWidth="1"/>
    <col min="6133" max="6133" width="7.28515625" style="378" customWidth="1"/>
    <col min="6134" max="6134" width="0" style="378" hidden="1" customWidth="1"/>
    <col min="6135" max="6137" width="7.28515625" style="378" customWidth="1"/>
    <col min="6138" max="6138" width="8" style="378" customWidth="1"/>
    <col min="6139" max="6139" width="37.7109375" style="378" customWidth="1"/>
    <col min="6140" max="6140" width="3.5703125" style="378" customWidth="1"/>
    <col min="6141" max="6150" width="4.140625" style="378" customWidth="1"/>
    <col min="6151" max="6154" width="5.28515625" style="378" customWidth="1"/>
    <col min="6155" max="6379" width="12.85546875" style="378"/>
    <col min="6380" max="6380" width="7.5703125" style="378" customWidth="1"/>
    <col min="6381" max="6382" width="6.140625" style="378" customWidth="1"/>
    <col min="6383" max="6383" width="7.5703125" style="378" customWidth="1"/>
    <col min="6384" max="6384" width="30.28515625" style="378" customWidth="1"/>
    <col min="6385" max="6385" width="7.42578125" style="378" customWidth="1"/>
    <col min="6386" max="6386" width="4.7109375" style="378" customWidth="1"/>
    <col min="6387" max="6387" width="6.85546875" style="378" customWidth="1"/>
    <col min="6388" max="6388" width="7.42578125" style="378" customWidth="1"/>
    <col min="6389" max="6389" width="7.28515625" style="378" customWidth="1"/>
    <col min="6390" max="6390" width="0" style="378" hidden="1" customWidth="1"/>
    <col min="6391" max="6393" width="7.28515625" style="378" customWidth="1"/>
    <col min="6394" max="6394" width="8" style="378" customWidth="1"/>
    <col min="6395" max="6395" width="37.7109375" style="378" customWidth="1"/>
    <col min="6396" max="6396" width="3.5703125" style="378" customWidth="1"/>
    <col min="6397" max="6406" width="4.140625" style="378" customWidth="1"/>
    <col min="6407" max="6410" width="5.28515625" style="378" customWidth="1"/>
    <col min="6411" max="6635" width="12.85546875" style="378"/>
    <col min="6636" max="6636" width="7.5703125" style="378" customWidth="1"/>
    <col min="6637" max="6638" width="6.140625" style="378" customWidth="1"/>
    <col min="6639" max="6639" width="7.5703125" style="378" customWidth="1"/>
    <col min="6640" max="6640" width="30.28515625" style="378" customWidth="1"/>
    <col min="6641" max="6641" width="7.42578125" style="378" customWidth="1"/>
    <col min="6642" max="6642" width="4.7109375" style="378" customWidth="1"/>
    <col min="6643" max="6643" width="6.85546875" style="378" customWidth="1"/>
    <col min="6644" max="6644" width="7.42578125" style="378" customWidth="1"/>
    <col min="6645" max="6645" width="7.28515625" style="378" customWidth="1"/>
    <col min="6646" max="6646" width="0" style="378" hidden="1" customWidth="1"/>
    <col min="6647" max="6649" width="7.28515625" style="378" customWidth="1"/>
    <col min="6650" max="6650" width="8" style="378" customWidth="1"/>
    <col min="6651" max="6651" width="37.7109375" style="378" customWidth="1"/>
    <col min="6652" max="6652" width="3.5703125" style="378" customWidth="1"/>
    <col min="6653" max="6662" width="4.140625" style="378" customWidth="1"/>
    <col min="6663" max="6666" width="5.28515625" style="378" customWidth="1"/>
    <col min="6667" max="6891" width="12.85546875" style="378"/>
    <col min="6892" max="6892" width="7.5703125" style="378" customWidth="1"/>
    <col min="6893" max="6894" width="6.140625" style="378" customWidth="1"/>
    <col min="6895" max="6895" width="7.5703125" style="378" customWidth="1"/>
    <col min="6896" max="6896" width="30.28515625" style="378" customWidth="1"/>
    <col min="6897" max="6897" width="7.42578125" style="378" customWidth="1"/>
    <col min="6898" max="6898" width="4.7109375" style="378" customWidth="1"/>
    <col min="6899" max="6899" width="6.85546875" style="378" customWidth="1"/>
    <col min="6900" max="6900" width="7.42578125" style="378" customWidth="1"/>
    <col min="6901" max="6901" width="7.28515625" style="378" customWidth="1"/>
    <col min="6902" max="6902" width="0" style="378" hidden="1" customWidth="1"/>
    <col min="6903" max="6905" width="7.28515625" style="378" customWidth="1"/>
    <col min="6906" max="6906" width="8" style="378" customWidth="1"/>
    <col min="6907" max="6907" width="37.7109375" style="378" customWidth="1"/>
    <col min="6908" max="6908" width="3.5703125" style="378" customWidth="1"/>
    <col min="6909" max="6918" width="4.140625" style="378" customWidth="1"/>
    <col min="6919" max="6922" width="5.28515625" style="378" customWidth="1"/>
    <col min="6923" max="7147" width="12.85546875" style="378"/>
    <col min="7148" max="7148" width="7.5703125" style="378" customWidth="1"/>
    <col min="7149" max="7150" width="6.140625" style="378" customWidth="1"/>
    <col min="7151" max="7151" width="7.5703125" style="378" customWidth="1"/>
    <col min="7152" max="7152" width="30.28515625" style="378" customWidth="1"/>
    <col min="7153" max="7153" width="7.42578125" style="378" customWidth="1"/>
    <col min="7154" max="7154" width="4.7109375" style="378" customWidth="1"/>
    <col min="7155" max="7155" width="6.85546875" style="378" customWidth="1"/>
    <col min="7156" max="7156" width="7.42578125" style="378" customWidth="1"/>
    <col min="7157" max="7157" width="7.28515625" style="378" customWidth="1"/>
    <col min="7158" max="7158" width="0" style="378" hidden="1" customWidth="1"/>
    <col min="7159" max="7161" width="7.28515625" style="378" customWidth="1"/>
    <col min="7162" max="7162" width="8" style="378" customWidth="1"/>
    <col min="7163" max="7163" width="37.7109375" style="378" customWidth="1"/>
    <col min="7164" max="7164" width="3.5703125" style="378" customWidth="1"/>
    <col min="7165" max="7174" width="4.140625" style="378" customWidth="1"/>
    <col min="7175" max="7178" width="5.28515625" style="378" customWidth="1"/>
    <col min="7179" max="7403" width="12.85546875" style="378"/>
    <col min="7404" max="7404" width="7.5703125" style="378" customWidth="1"/>
    <col min="7405" max="7406" width="6.140625" style="378" customWidth="1"/>
    <col min="7407" max="7407" width="7.5703125" style="378" customWidth="1"/>
    <col min="7408" max="7408" width="30.28515625" style="378" customWidth="1"/>
    <col min="7409" max="7409" width="7.42578125" style="378" customWidth="1"/>
    <col min="7410" max="7410" width="4.7109375" style="378" customWidth="1"/>
    <col min="7411" max="7411" width="6.85546875" style="378" customWidth="1"/>
    <col min="7412" max="7412" width="7.42578125" style="378" customWidth="1"/>
    <col min="7413" max="7413" width="7.28515625" style="378" customWidth="1"/>
    <col min="7414" max="7414" width="0" style="378" hidden="1" customWidth="1"/>
    <col min="7415" max="7417" width="7.28515625" style="378" customWidth="1"/>
    <col min="7418" max="7418" width="8" style="378" customWidth="1"/>
    <col min="7419" max="7419" width="37.7109375" style="378" customWidth="1"/>
    <col min="7420" max="7420" width="3.5703125" style="378" customWidth="1"/>
    <col min="7421" max="7430" width="4.140625" style="378" customWidth="1"/>
    <col min="7431" max="7434" width="5.28515625" style="378" customWidth="1"/>
    <col min="7435" max="7659" width="12.85546875" style="378"/>
    <col min="7660" max="7660" width="7.5703125" style="378" customWidth="1"/>
    <col min="7661" max="7662" width="6.140625" style="378" customWidth="1"/>
    <col min="7663" max="7663" width="7.5703125" style="378" customWidth="1"/>
    <col min="7664" max="7664" width="30.28515625" style="378" customWidth="1"/>
    <col min="7665" max="7665" width="7.42578125" style="378" customWidth="1"/>
    <col min="7666" max="7666" width="4.7109375" style="378" customWidth="1"/>
    <col min="7667" max="7667" width="6.85546875" style="378" customWidth="1"/>
    <col min="7668" max="7668" width="7.42578125" style="378" customWidth="1"/>
    <col min="7669" max="7669" width="7.28515625" style="378" customWidth="1"/>
    <col min="7670" max="7670" width="0" style="378" hidden="1" customWidth="1"/>
    <col min="7671" max="7673" width="7.28515625" style="378" customWidth="1"/>
    <col min="7674" max="7674" width="8" style="378" customWidth="1"/>
    <col min="7675" max="7675" width="37.7109375" style="378" customWidth="1"/>
    <col min="7676" max="7676" width="3.5703125" style="378" customWidth="1"/>
    <col min="7677" max="7686" width="4.140625" style="378" customWidth="1"/>
    <col min="7687" max="7690" width="5.28515625" style="378" customWidth="1"/>
    <col min="7691" max="7915" width="12.85546875" style="378"/>
    <col min="7916" max="7916" width="7.5703125" style="378" customWidth="1"/>
    <col min="7917" max="7918" width="6.140625" style="378" customWidth="1"/>
    <col min="7919" max="7919" width="7.5703125" style="378" customWidth="1"/>
    <col min="7920" max="7920" width="30.28515625" style="378" customWidth="1"/>
    <col min="7921" max="7921" width="7.42578125" style="378" customWidth="1"/>
    <col min="7922" max="7922" width="4.7109375" style="378" customWidth="1"/>
    <col min="7923" max="7923" width="6.85546875" style="378" customWidth="1"/>
    <col min="7924" max="7924" width="7.42578125" style="378" customWidth="1"/>
    <col min="7925" max="7925" width="7.28515625" style="378" customWidth="1"/>
    <col min="7926" max="7926" width="0" style="378" hidden="1" customWidth="1"/>
    <col min="7927" max="7929" width="7.28515625" style="378" customWidth="1"/>
    <col min="7930" max="7930" width="8" style="378" customWidth="1"/>
    <col min="7931" max="7931" width="37.7109375" style="378" customWidth="1"/>
    <col min="7932" max="7932" width="3.5703125" style="378" customWidth="1"/>
    <col min="7933" max="7942" width="4.140625" style="378" customWidth="1"/>
    <col min="7943" max="7946" width="5.28515625" style="378" customWidth="1"/>
    <col min="7947" max="8171" width="12.85546875" style="378"/>
    <col min="8172" max="8172" width="7.5703125" style="378" customWidth="1"/>
    <col min="8173" max="8174" width="6.140625" style="378" customWidth="1"/>
    <col min="8175" max="8175" width="7.5703125" style="378" customWidth="1"/>
    <col min="8176" max="8176" width="30.28515625" style="378" customWidth="1"/>
    <col min="8177" max="8177" width="7.42578125" style="378" customWidth="1"/>
    <col min="8178" max="8178" width="4.7109375" style="378" customWidth="1"/>
    <col min="8179" max="8179" width="6.85546875" style="378" customWidth="1"/>
    <col min="8180" max="8180" width="7.42578125" style="378" customWidth="1"/>
    <col min="8181" max="8181" width="7.28515625" style="378" customWidth="1"/>
    <col min="8182" max="8182" width="0" style="378" hidden="1" customWidth="1"/>
    <col min="8183" max="8185" width="7.28515625" style="378" customWidth="1"/>
    <col min="8186" max="8186" width="8" style="378" customWidth="1"/>
    <col min="8187" max="8187" width="37.7109375" style="378" customWidth="1"/>
    <col min="8188" max="8188" width="3.5703125" style="378" customWidth="1"/>
    <col min="8189" max="8198" width="4.140625" style="378" customWidth="1"/>
    <col min="8199" max="8202" width="5.28515625" style="378" customWidth="1"/>
    <col min="8203" max="8427" width="12.85546875" style="378"/>
    <col min="8428" max="8428" width="7.5703125" style="378" customWidth="1"/>
    <col min="8429" max="8430" width="6.140625" style="378" customWidth="1"/>
    <col min="8431" max="8431" width="7.5703125" style="378" customWidth="1"/>
    <col min="8432" max="8432" width="30.28515625" style="378" customWidth="1"/>
    <col min="8433" max="8433" width="7.42578125" style="378" customWidth="1"/>
    <col min="8434" max="8434" width="4.7109375" style="378" customWidth="1"/>
    <col min="8435" max="8435" width="6.85546875" style="378" customWidth="1"/>
    <col min="8436" max="8436" width="7.42578125" style="378" customWidth="1"/>
    <col min="8437" max="8437" width="7.28515625" style="378" customWidth="1"/>
    <col min="8438" max="8438" width="0" style="378" hidden="1" customWidth="1"/>
    <col min="8439" max="8441" width="7.28515625" style="378" customWidth="1"/>
    <col min="8442" max="8442" width="8" style="378" customWidth="1"/>
    <col min="8443" max="8443" width="37.7109375" style="378" customWidth="1"/>
    <col min="8444" max="8444" width="3.5703125" style="378" customWidth="1"/>
    <col min="8445" max="8454" width="4.140625" style="378" customWidth="1"/>
    <col min="8455" max="8458" width="5.28515625" style="378" customWidth="1"/>
    <col min="8459" max="8683" width="12.85546875" style="378"/>
    <col min="8684" max="8684" width="7.5703125" style="378" customWidth="1"/>
    <col min="8685" max="8686" width="6.140625" style="378" customWidth="1"/>
    <col min="8687" max="8687" width="7.5703125" style="378" customWidth="1"/>
    <col min="8688" max="8688" width="30.28515625" style="378" customWidth="1"/>
    <col min="8689" max="8689" width="7.42578125" style="378" customWidth="1"/>
    <col min="8690" max="8690" width="4.7109375" style="378" customWidth="1"/>
    <col min="8691" max="8691" width="6.85546875" style="378" customWidth="1"/>
    <col min="8692" max="8692" width="7.42578125" style="378" customWidth="1"/>
    <col min="8693" max="8693" width="7.28515625" style="378" customWidth="1"/>
    <col min="8694" max="8694" width="0" style="378" hidden="1" customWidth="1"/>
    <col min="8695" max="8697" width="7.28515625" style="378" customWidth="1"/>
    <col min="8698" max="8698" width="8" style="378" customWidth="1"/>
    <col min="8699" max="8699" width="37.7109375" style="378" customWidth="1"/>
    <col min="8700" max="8700" width="3.5703125" style="378" customWidth="1"/>
    <col min="8701" max="8710" width="4.140625" style="378" customWidth="1"/>
    <col min="8711" max="8714" width="5.28515625" style="378" customWidth="1"/>
    <col min="8715" max="8939" width="12.85546875" style="378"/>
    <col min="8940" max="8940" width="7.5703125" style="378" customWidth="1"/>
    <col min="8941" max="8942" width="6.140625" style="378" customWidth="1"/>
    <col min="8943" max="8943" width="7.5703125" style="378" customWidth="1"/>
    <col min="8944" max="8944" width="30.28515625" style="378" customWidth="1"/>
    <col min="8945" max="8945" width="7.42578125" style="378" customWidth="1"/>
    <col min="8946" max="8946" width="4.7109375" style="378" customWidth="1"/>
    <col min="8947" max="8947" width="6.85546875" style="378" customWidth="1"/>
    <col min="8948" max="8948" width="7.42578125" style="378" customWidth="1"/>
    <col min="8949" max="8949" width="7.28515625" style="378" customWidth="1"/>
    <col min="8950" max="8950" width="0" style="378" hidden="1" customWidth="1"/>
    <col min="8951" max="8953" width="7.28515625" style="378" customWidth="1"/>
    <col min="8954" max="8954" width="8" style="378" customWidth="1"/>
    <col min="8955" max="8955" width="37.7109375" style="378" customWidth="1"/>
    <col min="8956" max="8956" width="3.5703125" style="378" customWidth="1"/>
    <col min="8957" max="8966" width="4.140625" style="378" customWidth="1"/>
    <col min="8967" max="8970" width="5.28515625" style="378" customWidth="1"/>
    <col min="8971" max="9195" width="12.85546875" style="378"/>
    <col min="9196" max="9196" width="7.5703125" style="378" customWidth="1"/>
    <col min="9197" max="9198" width="6.140625" style="378" customWidth="1"/>
    <col min="9199" max="9199" width="7.5703125" style="378" customWidth="1"/>
    <col min="9200" max="9200" width="30.28515625" style="378" customWidth="1"/>
    <col min="9201" max="9201" width="7.42578125" style="378" customWidth="1"/>
    <col min="9202" max="9202" width="4.7109375" style="378" customWidth="1"/>
    <col min="9203" max="9203" width="6.85546875" style="378" customWidth="1"/>
    <col min="9204" max="9204" width="7.42578125" style="378" customWidth="1"/>
    <col min="9205" max="9205" width="7.28515625" style="378" customWidth="1"/>
    <col min="9206" max="9206" width="0" style="378" hidden="1" customWidth="1"/>
    <col min="9207" max="9209" width="7.28515625" style="378" customWidth="1"/>
    <col min="9210" max="9210" width="8" style="378" customWidth="1"/>
    <col min="9211" max="9211" width="37.7109375" style="378" customWidth="1"/>
    <col min="9212" max="9212" width="3.5703125" style="378" customWidth="1"/>
    <col min="9213" max="9222" width="4.140625" style="378" customWidth="1"/>
    <col min="9223" max="9226" width="5.28515625" style="378" customWidth="1"/>
    <col min="9227" max="9451" width="12.85546875" style="378"/>
    <col min="9452" max="9452" width="7.5703125" style="378" customWidth="1"/>
    <col min="9453" max="9454" width="6.140625" style="378" customWidth="1"/>
    <col min="9455" max="9455" width="7.5703125" style="378" customWidth="1"/>
    <col min="9456" max="9456" width="30.28515625" style="378" customWidth="1"/>
    <col min="9457" max="9457" width="7.42578125" style="378" customWidth="1"/>
    <col min="9458" max="9458" width="4.7109375" style="378" customWidth="1"/>
    <col min="9459" max="9459" width="6.85546875" style="378" customWidth="1"/>
    <col min="9460" max="9460" width="7.42578125" style="378" customWidth="1"/>
    <col min="9461" max="9461" width="7.28515625" style="378" customWidth="1"/>
    <col min="9462" max="9462" width="0" style="378" hidden="1" customWidth="1"/>
    <col min="9463" max="9465" width="7.28515625" style="378" customWidth="1"/>
    <col min="9466" max="9466" width="8" style="378" customWidth="1"/>
    <col min="9467" max="9467" width="37.7109375" style="378" customWidth="1"/>
    <col min="9468" max="9468" width="3.5703125" style="378" customWidth="1"/>
    <col min="9469" max="9478" width="4.140625" style="378" customWidth="1"/>
    <col min="9479" max="9482" width="5.28515625" style="378" customWidth="1"/>
    <col min="9483" max="9707" width="12.85546875" style="378"/>
    <col min="9708" max="9708" width="7.5703125" style="378" customWidth="1"/>
    <col min="9709" max="9710" width="6.140625" style="378" customWidth="1"/>
    <col min="9711" max="9711" width="7.5703125" style="378" customWidth="1"/>
    <col min="9712" max="9712" width="30.28515625" style="378" customWidth="1"/>
    <col min="9713" max="9713" width="7.42578125" style="378" customWidth="1"/>
    <col min="9714" max="9714" width="4.7109375" style="378" customWidth="1"/>
    <col min="9715" max="9715" width="6.85546875" style="378" customWidth="1"/>
    <col min="9716" max="9716" width="7.42578125" style="378" customWidth="1"/>
    <col min="9717" max="9717" width="7.28515625" style="378" customWidth="1"/>
    <col min="9718" max="9718" width="0" style="378" hidden="1" customWidth="1"/>
    <col min="9719" max="9721" width="7.28515625" style="378" customWidth="1"/>
    <col min="9722" max="9722" width="8" style="378" customWidth="1"/>
    <col min="9723" max="9723" width="37.7109375" style="378" customWidth="1"/>
    <col min="9724" max="9724" width="3.5703125" style="378" customWidth="1"/>
    <col min="9725" max="9734" width="4.140625" style="378" customWidth="1"/>
    <col min="9735" max="9738" width="5.28515625" style="378" customWidth="1"/>
    <col min="9739" max="9963" width="12.85546875" style="378"/>
    <col min="9964" max="9964" width="7.5703125" style="378" customWidth="1"/>
    <col min="9965" max="9966" width="6.140625" style="378" customWidth="1"/>
    <col min="9967" max="9967" width="7.5703125" style="378" customWidth="1"/>
    <col min="9968" max="9968" width="30.28515625" style="378" customWidth="1"/>
    <col min="9969" max="9969" width="7.42578125" style="378" customWidth="1"/>
    <col min="9970" max="9970" width="4.7109375" style="378" customWidth="1"/>
    <col min="9971" max="9971" width="6.85546875" style="378" customWidth="1"/>
    <col min="9972" max="9972" width="7.42578125" style="378" customWidth="1"/>
    <col min="9973" max="9973" width="7.28515625" style="378" customWidth="1"/>
    <col min="9974" max="9974" width="0" style="378" hidden="1" customWidth="1"/>
    <col min="9975" max="9977" width="7.28515625" style="378" customWidth="1"/>
    <col min="9978" max="9978" width="8" style="378" customWidth="1"/>
    <col min="9979" max="9979" width="37.7109375" style="378" customWidth="1"/>
    <col min="9980" max="9980" width="3.5703125" style="378" customWidth="1"/>
    <col min="9981" max="9990" width="4.140625" style="378" customWidth="1"/>
    <col min="9991" max="9994" width="5.28515625" style="378" customWidth="1"/>
    <col min="9995" max="10219" width="12.85546875" style="378"/>
    <col min="10220" max="10220" width="7.5703125" style="378" customWidth="1"/>
    <col min="10221" max="10222" width="6.140625" style="378" customWidth="1"/>
    <col min="10223" max="10223" width="7.5703125" style="378" customWidth="1"/>
    <col min="10224" max="10224" width="30.28515625" style="378" customWidth="1"/>
    <col min="10225" max="10225" width="7.42578125" style="378" customWidth="1"/>
    <col min="10226" max="10226" width="4.7109375" style="378" customWidth="1"/>
    <col min="10227" max="10227" width="6.85546875" style="378" customWidth="1"/>
    <col min="10228" max="10228" width="7.42578125" style="378" customWidth="1"/>
    <col min="10229" max="10229" width="7.28515625" style="378" customWidth="1"/>
    <col min="10230" max="10230" width="0" style="378" hidden="1" customWidth="1"/>
    <col min="10231" max="10233" width="7.28515625" style="378" customWidth="1"/>
    <col min="10234" max="10234" width="8" style="378" customWidth="1"/>
    <col min="10235" max="10235" width="37.7109375" style="378" customWidth="1"/>
    <col min="10236" max="10236" width="3.5703125" style="378" customWidth="1"/>
    <col min="10237" max="10246" width="4.140625" style="378" customWidth="1"/>
    <col min="10247" max="10250" width="5.28515625" style="378" customWidth="1"/>
    <col min="10251" max="10475" width="12.85546875" style="378"/>
    <col min="10476" max="10476" width="7.5703125" style="378" customWidth="1"/>
    <col min="10477" max="10478" width="6.140625" style="378" customWidth="1"/>
    <col min="10479" max="10479" width="7.5703125" style="378" customWidth="1"/>
    <col min="10480" max="10480" width="30.28515625" style="378" customWidth="1"/>
    <col min="10481" max="10481" width="7.42578125" style="378" customWidth="1"/>
    <col min="10482" max="10482" width="4.7109375" style="378" customWidth="1"/>
    <col min="10483" max="10483" width="6.85546875" style="378" customWidth="1"/>
    <col min="10484" max="10484" width="7.42578125" style="378" customWidth="1"/>
    <col min="10485" max="10485" width="7.28515625" style="378" customWidth="1"/>
    <col min="10486" max="10486" width="0" style="378" hidden="1" customWidth="1"/>
    <col min="10487" max="10489" width="7.28515625" style="378" customWidth="1"/>
    <col min="10490" max="10490" width="8" style="378" customWidth="1"/>
    <col min="10491" max="10491" width="37.7109375" style="378" customWidth="1"/>
    <col min="10492" max="10492" width="3.5703125" style="378" customWidth="1"/>
    <col min="10493" max="10502" width="4.140625" style="378" customWidth="1"/>
    <col min="10503" max="10506" width="5.28515625" style="378" customWidth="1"/>
    <col min="10507" max="10731" width="12.85546875" style="378"/>
    <col min="10732" max="10732" width="7.5703125" style="378" customWidth="1"/>
    <col min="10733" max="10734" width="6.140625" style="378" customWidth="1"/>
    <col min="10735" max="10735" width="7.5703125" style="378" customWidth="1"/>
    <col min="10736" max="10736" width="30.28515625" style="378" customWidth="1"/>
    <col min="10737" max="10737" width="7.42578125" style="378" customWidth="1"/>
    <col min="10738" max="10738" width="4.7109375" style="378" customWidth="1"/>
    <col min="10739" max="10739" width="6.85546875" style="378" customWidth="1"/>
    <col min="10740" max="10740" width="7.42578125" style="378" customWidth="1"/>
    <col min="10741" max="10741" width="7.28515625" style="378" customWidth="1"/>
    <col min="10742" max="10742" width="0" style="378" hidden="1" customWidth="1"/>
    <col min="10743" max="10745" width="7.28515625" style="378" customWidth="1"/>
    <col min="10746" max="10746" width="8" style="378" customWidth="1"/>
    <col min="10747" max="10747" width="37.7109375" style="378" customWidth="1"/>
    <col min="10748" max="10748" width="3.5703125" style="378" customWidth="1"/>
    <col min="10749" max="10758" width="4.140625" style="378" customWidth="1"/>
    <col min="10759" max="10762" width="5.28515625" style="378" customWidth="1"/>
    <col min="10763" max="10987" width="12.85546875" style="378"/>
    <col min="10988" max="10988" width="7.5703125" style="378" customWidth="1"/>
    <col min="10989" max="10990" width="6.140625" style="378" customWidth="1"/>
    <col min="10991" max="10991" width="7.5703125" style="378" customWidth="1"/>
    <col min="10992" max="10992" width="30.28515625" style="378" customWidth="1"/>
    <col min="10993" max="10993" width="7.42578125" style="378" customWidth="1"/>
    <col min="10994" max="10994" width="4.7109375" style="378" customWidth="1"/>
    <col min="10995" max="10995" width="6.85546875" style="378" customWidth="1"/>
    <col min="10996" max="10996" width="7.42578125" style="378" customWidth="1"/>
    <col min="10997" max="10997" width="7.28515625" style="378" customWidth="1"/>
    <col min="10998" max="10998" width="0" style="378" hidden="1" customWidth="1"/>
    <col min="10999" max="11001" width="7.28515625" style="378" customWidth="1"/>
    <col min="11002" max="11002" width="8" style="378" customWidth="1"/>
    <col min="11003" max="11003" width="37.7109375" style="378" customWidth="1"/>
    <col min="11004" max="11004" width="3.5703125" style="378" customWidth="1"/>
    <col min="11005" max="11014" width="4.140625" style="378" customWidth="1"/>
    <col min="11015" max="11018" width="5.28515625" style="378" customWidth="1"/>
    <col min="11019" max="11243" width="12.85546875" style="378"/>
    <col min="11244" max="11244" width="7.5703125" style="378" customWidth="1"/>
    <col min="11245" max="11246" width="6.140625" style="378" customWidth="1"/>
    <col min="11247" max="11247" width="7.5703125" style="378" customWidth="1"/>
    <col min="11248" max="11248" width="30.28515625" style="378" customWidth="1"/>
    <col min="11249" max="11249" width="7.42578125" style="378" customWidth="1"/>
    <col min="11250" max="11250" width="4.7109375" style="378" customWidth="1"/>
    <col min="11251" max="11251" width="6.85546875" style="378" customWidth="1"/>
    <col min="11252" max="11252" width="7.42578125" style="378" customWidth="1"/>
    <col min="11253" max="11253" width="7.28515625" style="378" customWidth="1"/>
    <col min="11254" max="11254" width="0" style="378" hidden="1" customWidth="1"/>
    <col min="11255" max="11257" width="7.28515625" style="378" customWidth="1"/>
    <col min="11258" max="11258" width="8" style="378" customWidth="1"/>
    <col min="11259" max="11259" width="37.7109375" style="378" customWidth="1"/>
    <col min="11260" max="11260" width="3.5703125" style="378" customWidth="1"/>
    <col min="11261" max="11270" width="4.140625" style="378" customWidth="1"/>
    <col min="11271" max="11274" width="5.28515625" style="378" customWidth="1"/>
    <col min="11275" max="11499" width="12.85546875" style="378"/>
    <col min="11500" max="11500" width="7.5703125" style="378" customWidth="1"/>
    <col min="11501" max="11502" width="6.140625" style="378" customWidth="1"/>
    <col min="11503" max="11503" width="7.5703125" style="378" customWidth="1"/>
    <col min="11504" max="11504" width="30.28515625" style="378" customWidth="1"/>
    <col min="11505" max="11505" width="7.42578125" style="378" customWidth="1"/>
    <col min="11506" max="11506" width="4.7109375" style="378" customWidth="1"/>
    <col min="11507" max="11507" width="6.85546875" style="378" customWidth="1"/>
    <col min="11508" max="11508" width="7.42578125" style="378" customWidth="1"/>
    <col min="11509" max="11509" width="7.28515625" style="378" customWidth="1"/>
    <col min="11510" max="11510" width="0" style="378" hidden="1" customWidth="1"/>
    <col min="11511" max="11513" width="7.28515625" style="378" customWidth="1"/>
    <col min="11514" max="11514" width="8" style="378" customWidth="1"/>
    <col min="11515" max="11515" width="37.7109375" style="378" customWidth="1"/>
    <col min="11516" max="11516" width="3.5703125" style="378" customWidth="1"/>
    <col min="11517" max="11526" width="4.140625" style="378" customWidth="1"/>
    <col min="11527" max="11530" width="5.28515625" style="378" customWidth="1"/>
    <col min="11531" max="11755" width="12.85546875" style="378"/>
    <col min="11756" max="11756" width="7.5703125" style="378" customWidth="1"/>
    <col min="11757" max="11758" width="6.140625" style="378" customWidth="1"/>
    <col min="11759" max="11759" width="7.5703125" style="378" customWidth="1"/>
    <col min="11760" max="11760" width="30.28515625" style="378" customWidth="1"/>
    <col min="11761" max="11761" width="7.42578125" style="378" customWidth="1"/>
    <col min="11762" max="11762" width="4.7109375" style="378" customWidth="1"/>
    <col min="11763" max="11763" width="6.85546875" style="378" customWidth="1"/>
    <col min="11764" max="11764" width="7.42578125" style="378" customWidth="1"/>
    <col min="11765" max="11765" width="7.28515625" style="378" customWidth="1"/>
    <col min="11766" max="11766" width="0" style="378" hidden="1" customWidth="1"/>
    <col min="11767" max="11769" width="7.28515625" style="378" customWidth="1"/>
    <col min="11770" max="11770" width="8" style="378" customWidth="1"/>
    <col min="11771" max="11771" width="37.7109375" style="378" customWidth="1"/>
    <col min="11772" max="11772" width="3.5703125" style="378" customWidth="1"/>
    <col min="11773" max="11782" width="4.140625" style="378" customWidth="1"/>
    <col min="11783" max="11786" width="5.28515625" style="378" customWidth="1"/>
    <col min="11787" max="12011" width="12.85546875" style="378"/>
    <col min="12012" max="12012" width="7.5703125" style="378" customWidth="1"/>
    <col min="12013" max="12014" width="6.140625" style="378" customWidth="1"/>
    <col min="12015" max="12015" width="7.5703125" style="378" customWidth="1"/>
    <col min="12016" max="12016" width="30.28515625" style="378" customWidth="1"/>
    <col min="12017" max="12017" width="7.42578125" style="378" customWidth="1"/>
    <col min="12018" max="12018" width="4.7109375" style="378" customWidth="1"/>
    <col min="12019" max="12019" width="6.85546875" style="378" customWidth="1"/>
    <col min="12020" max="12020" width="7.42578125" style="378" customWidth="1"/>
    <col min="12021" max="12021" width="7.28515625" style="378" customWidth="1"/>
    <col min="12022" max="12022" width="0" style="378" hidden="1" customWidth="1"/>
    <col min="12023" max="12025" width="7.28515625" style="378" customWidth="1"/>
    <col min="12026" max="12026" width="8" style="378" customWidth="1"/>
    <col min="12027" max="12027" width="37.7109375" style="378" customWidth="1"/>
    <col min="12028" max="12028" width="3.5703125" style="378" customWidth="1"/>
    <col min="12029" max="12038" width="4.140625" style="378" customWidth="1"/>
    <col min="12039" max="12042" width="5.28515625" style="378" customWidth="1"/>
    <col min="12043" max="12267" width="12.85546875" style="378"/>
    <col min="12268" max="12268" width="7.5703125" style="378" customWidth="1"/>
    <col min="12269" max="12270" width="6.140625" style="378" customWidth="1"/>
    <col min="12271" max="12271" width="7.5703125" style="378" customWidth="1"/>
    <col min="12272" max="12272" width="30.28515625" style="378" customWidth="1"/>
    <col min="12273" max="12273" width="7.42578125" style="378" customWidth="1"/>
    <col min="12274" max="12274" width="4.7109375" style="378" customWidth="1"/>
    <col min="12275" max="12275" width="6.85546875" style="378" customWidth="1"/>
    <col min="12276" max="12276" width="7.42578125" style="378" customWidth="1"/>
    <col min="12277" max="12277" width="7.28515625" style="378" customWidth="1"/>
    <col min="12278" max="12278" width="0" style="378" hidden="1" customWidth="1"/>
    <col min="12279" max="12281" width="7.28515625" style="378" customWidth="1"/>
    <col min="12282" max="12282" width="8" style="378" customWidth="1"/>
    <col min="12283" max="12283" width="37.7109375" style="378" customWidth="1"/>
    <col min="12284" max="12284" width="3.5703125" style="378" customWidth="1"/>
    <col min="12285" max="12294" width="4.140625" style="378" customWidth="1"/>
    <col min="12295" max="12298" width="5.28515625" style="378" customWidth="1"/>
    <col min="12299" max="12523" width="12.85546875" style="378"/>
    <col min="12524" max="12524" width="7.5703125" style="378" customWidth="1"/>
    <col min="12525" max="12526" width="6.140625" style="378" customWidth="1"/>
    <col min="12527" max="12527" width="7.5703125" style="378" customWidth="1"/>
    <col min="12528" max="12528" width="30.28515625" style="378" customWidth="1"/>
    <col min="12529" max="12529" width="7.42578125" style="378" customWidth="1"/>
    <col min="12530" max="12530" width="4.7109375" style="378" customWidth="1"/>
    <col min="12531" max="12531" width="6.85546875" style="378" customWidth="1"/>
    <col min="12532" max="12532" width="7.42578125" style="378" customWidth="1"/>
    <col min="12533" max="12533" width="7.28515625" style="378" customWidth="1"/>
    <col min="12534" max="12534" width="0" style="378" hidden="1" customWidth="1"/>
    <col min="12535" max="12537" width="7.28515625" style="378" customWidth="1"/>
    <col min="12538" max="12538" width="8" style="378" customWidth="1"/>
    <col min="12539" max="12539" width="37.7109375" style="378" customWidth="1"/>
    <col min="12540" max="12540" width="3.5703125" style="378" customWidth="1"/>
    <col min="12541" max="12550" width="4.140625" style="378" customWidth="1"/>
    <col min="12551" max="12554" width="5.28515625" style="378" customWidth="1"/>
    <col min="12555" max="12779" width="12.85546875" style="378"/>
    <col min="12780" max="12780" width="7.5703125" style="378" customWidth="1"/>
    <col min="12781" max="12782" width="6.140625" style="378" customWidth="1"/>
    <col min="12783" max="12783" width="7.5703125" style="378" customWidth="1"/>
    <col min="12784" max="12784" width="30.28515625" style="378" customWidth="1"/>
    <col min="12785" max="12785" width="7.42578125" style="378" customWidth="1"/>
    <col min="12786" max="12786" width="4.7109375" style="378" customWidth="1"/>
    <col min="12787" max="12787" width="6.85546875" style="378" customWidth="1"/>
    <col min="12788" max="12788" width="7.42578125" style="378" customWidth="1"/>
    <col min="12789" max="12789" width="7.28515625" style="378" customWidth="1"/>
    <col min="12790" max="12790" width="0" style="378" hidden="1" customWidth="1"/>
    <col min="12791" max="12793" width="7.28515625" style="378" customWidth="1"/>
    <col min="12794" max="12794" width="8" style="378" customWidth="1"/>
    <col min="12795" max="12795" width="37.7109375" style="378" customWidth="1"/>
    <col min="12796" max="12796" width="3.5703125" style="378" customWidth="1"/>
    <col min="12797" max="12806" width="4.140625" style="378" customWidth="1"/>
    <col min="12807" max="12810" width="5.28515625" style="378" customWidth="1"/>
    <col min="12811" max="13035" width="12.85546875" style="378"/>
    <col min="13036" max="13036" width="7.5703125" style="378" customWidth="1"/>
    <col min="13037" max="13038" width="6.140625" style="378" customWidth="1"/>
    <col min="13039" max="13039" width="7.5703125" style="378" customWidth="1"/>
    <col min="13040" max="13040" width="30.28515625" style="378" customWidth="1"/>
    <col min="13041" max="13041" width="7.42578125" style="378" customWidth="1"/>
    <col min="13042" max="13042" width="4.7109375" style="378" customWidth="1"/>
    <col min="13043" max="13043" width="6.85546875" style="378" customWidth="1"/>
    <col min="13044" max="13044" width="7.42578125" style="378" customWidth="1"/>
    <col min="13045" max="13045" width="7.28515625" style="378" customWidth="1"/>
    <col min="13046" max="13046" width="0" style="378" hidden="1" customWidth="1"/>
    <col min="13047" max="13049" width="7.28515625" style="378" customWidth="1"/>
    <col min="13050" max="13050" width="8" style="378" customWidth="1"/>
    <col min="13051" max="13051" width="37.7109375" style="378" customWidth="1"/>
    <col min="13052" max="13052" width="3.5703125" style="378" customWidth="1"/>
    <col min="13053" max="13062" width="4.140625" style="378" customWidth="1"/>
    <col min="13063" max="13066" width="5.28515625" style="378" customWidth="1"/>
    <col min="13067" max="13291" width="12.85546875" style="378"/>
    <col min="13292" max="13292" width="7.5703125" style="378" customWidth="1"/>
    <col min="13293" max="13294" width="6.140625" style="378" customWidth="1"/>
    <col min="13295" max="13295" width="7.5703125" style="378" customWidth="1"/>
    <col min="13296" max="13296" width="30.28515625" style="378" customWidth="1"/>
    <col min="13297" max="13297" width="7.42578125" style="378" customWidth="1"/>
    <col min="13298" max="13298" width="4.7109375" style="378" customWidth="1"/>
    <col min="13299" max="13299" width="6.85546875" style="378" customWidth="1"/>
    <col min="13300" max="13300" width="7.42578125" style="378" customWidth="1"/>
    <col min="13301" max="13301" width="7.28515625" style="378" customWidth="1"/>
    <col min="13302" max="13302" width="0" style="378" hidden="1" customWidth="1"/>
    <col min="13303" max="13305" width="7.28515625" style="378" customWidth="1"/>
    <col min="13306" max="13306" width="8" style="378" customWidth="1"/>
    <col min="13307" max="13307" width="37.7109375" style="378" customWidth="1"/>
    <col min="13308" max="13308" width="3.5703125" style="378" customWidth="1"/>
    <col min="13309" max="13318" width="4.140625" style="378" customWidth="1"/>
    <col min="13319" max="13322" width="5.28515625" style="378" customWidth="1"/>
    <col min="13323" max="13547" width="12.85546875" style="378"/>
    <col min="13548" max="13548" width="7.5703125" style="378" customWidth="1"/>
    <col min="13549" max="13550" width="6.140625" style="378" customWidth="1"/>
    <col min="13551" max="13551" width="7.5703125" style="378" customWidth="1"/>
    <col min="13552" max="13552" width="30.28515625" style="378" customWidth="1"/>
    <col min="13553" max="13553" width="7.42578125" style="378" customWidth="1"/>
    <col min="13554" max="13554" width="4.7109375" style="378" customWidth="1"/>
    <col min="13555" max="13555" width="6.85546875" style="378" customWidth="1"/>
    <col min="13556" max="13556" width="7.42578125" style="378" customWidth="1"/>
    <col min="13557" max="13557" width="7.28515625" style="378" customWidth="1"/>
    <col min="13558" max="13558" width="0" style="378" hidden="1" customWidth="1"/>
    <col min="13559" max="13561" width="7.28515625" style="378" customWidth="1"/>
    <col min="13562" max="13562" width="8" style="378" customWidth="1"/>
    <col min="13563" max="13563" width="37.7109375" style="378" customWidth="1"/>
    <col min="13564" max="13564" width="3.5703125" style="378" customWidth="1"/>
    <col min="13565" max="13574" width="4.140625" style="378" customWidth="1"/>
    <col min="13575" max="13578" width="5.28515625" style="378" customWidth="1"/>
    <col min="13579" max="13803" width="12.85546875" style="378"/>
    <col min="13804" max="13804" width="7.5703125" style="378" customWidth="1"/>
    <col min="13805" max="13806" width="6.140625" style="378" customWidth="1"/>
    <col min="13807" max="13807" width="7.5703125" style="378" customWidth="1"/>
    <col min="13808" max="13808" width="30.28515625" style="378" customWidth="1"/>
    <col min="13809" max="13809" width="7.42578125" style="378" customWidth="1"/>
    <col min="13810" max="13810" width="4.7109375" style="378" customWidth="1"/>
    <col min="13811" max="13811" width="6.85546875" style="378" customWidth="1"/>
    <col min="13812" max="13812" width="7.42578125" style="378" customWidth="1"/>
    <col min="13813" max="13813" width="7.28515625" style="378" customWidth="1"/>
    <col min="13814" max="13814" width="0" style="378" hidden="1" customWidth="1"/>
    <col min="13815" max="13817" width="7.28515625" style="378" customWidth="1"/>
    <col min="13818" max="13818" width="8" style="378" customWidth="1"/>
    <col min="13819" max="13819" width="37.7109375" style="378" customWidth="1"/>
    <col min="13820" max="13820" width="3.5703125" style="378" customWidth="1"/>
    <col min="13821" max="13830" width="4.140625" style="378" customWidth="1"/>
    <col min="13831" max="13834" width="5.28515625" style="378" customWidth="1"/>
    <col min="13835" max="14059" width="12.85546875" style="378"/>
    <col min="14060" max="14060" width="7.5703125" style="378" customWidth="1"/>
    <col min="14061" max="14062" width="6.140625" style="378" customWidth="1"/>
    <col min="14063" max="14063" width="7.5703125" style="378" customWidth="1"/>
    <col min="14064" max="14064" width="30.28515625" style="378" customWidth="1"/>
    <col min="14065" max="14065" width="7.42578125" style="378" customWidth="1"/>
    <col min="14066" max="14066" width="4.7109375" style="378" customWidth="1"/>
    <col min="14067" max="14067" width="6.85546875" style="378" customWidth="1"/>
    <col min="14068" max="14068" width="7.42578125" style="378" customWidth="1"/>
    <col min="14069" max="14069" width="7.28515625" style="378" customWidth="1"/>
    <col min="14070" max="14070" width="0" style="378" hidden="1" customWidth="1"/>
    <col min="14071" max="14073" width="7.28515625" style="378" customWidth="1"/>
    <col min="14074" max="14074" width="8" style="378" customWidth="1"/>
    <col min="14075" max="14075" width="37.7109375" style="378" customWidth="1"/>
    <col min="14076" max="14076" width="3.5703125" style="378" customWidth="1"/>
    <col min="14077" max="14086" width="4.140625" style="378" customWidth="1"/>
    <col min="14087" max="14090" width="5.28515625" style="378" customWidth="1"/>
    <col min="14091" max="14315" width="12.85546875" style="378"/>
    <col min="14316" max="14316" width="7.5703125" style="378" customWidth="1"/>
    <col min="14317" max="14318" width="6.140625" style="378" customWidth="1"/>
    <col min="14319" max="14319" width="7.5703125" style="378" customWidth="1"/>
    <col min="14320" max="14320" width="30.28515625" style="378" customWidth="1"/>
    <col min="14321" max="14321" width="7.42578125" style="378" customWidth="1"/>
    <col min="14322" max="14322" width="4.7109375" style="378" customWidth="1"/>
    <col min="14323" max="14323" width="6.85546875" style="378" customWidth="1"/>
    <col min="14324" max="14324" width="7.42578125" style="378" customWidth="1"/>
    <col min="14325" max="14325" width="7.28515625" style="378" customWidth="1"/>
    <col min="14326" max="14326" width="0" style="378" hidden="1" customWidth="1"/>
    <col min="14327" max="14329" width="7.28515625" style="378" customWidth="1"/>
    <col min="14330" max="14330" width="8" style="378" customWidth="1"/>
    <col min="14331" max="14331" width="37.7109375" style="378" customWidth="1"/>
    <col min="14332" max="14332" width="3.5703125" style="378" customWidth="1"/>
    <col min="14333" max="14342" width="4.140625" style="378" customWidth="1"/>
    <col min="14343" max="14346" width="5.28515625" style="378" customWidth="1"/>
    <col min="14347" max="14571" width="12.85546875" style="378"/>
    <col min="14572" max="14572" width="7.5703125" style="378" customWidth="1"/>
    <col min="14573" max="14574" width="6.140625" style="378" customWidth="1"/>
    <col min="14575" max="14575" width="7.5703125" style="378" customWidth="1"/>
    <col min="14576" max="14576" width="30.28515625" style="378" customWidth="1"/>
    <col min="14577" max="14577" width="7.42578125" style="378" customWidth="1"/>
    <col min="14578" max="14578" width="4.7109375" style="378" customWidth="1"/>
    <col min="14579" max="14579" width="6.85546875" style="378" customWidth="1"/>
    <col min="14580" max="14580" width="7.42578125" style="378" customWidth="1"/>
    <col min="14581" max="14581" width="7.28515625" style="378" customWidth="1"/>
    <col min="14582" max="14582" width="0" style="378" hidden="1" customWidth="1"/>
    <col min="14583" max="14585" width="7.28515625" style="378" customWidth="1"/>
    <col min="14586" max="14586" width="8" style="378" customWidth="1"/>
    <col min="14587" max="14587" width="37.7109375" style="378" customWidth="1"/>
    <col min="14588" max="14588" width="3.5703125" style="378" customWidth="1"/>
    <col min="14589" max="14598" width="4.140625" style="378" customWidth="1"/>
    <col min="14599" max="14602" width="5.28515625" style="378" customWidth="1"/>
    <col min="14603" max="14827" width="12.85546875" style="378"/>
    <col min="14828" max="14828" width="7.5703125" style="378" customWidth="1"/>
    <col min="14829" max="14830" width="6.140625" style="378" customWidth="1"/>
    <col min="14831" max="14831" width="7.5703125" style="378" customWidth="1"/>
    <col min="14832" max="14832" width="30.28515625" style="378" customWidth="1"/>
    <col min="14833" max="14833" width="7.42578125" style="378" customWidth="1"/>
    <col min="14834" max="14834" width="4.7109375" style="378" customWidth="1"/>
    <col min="14835" max="14835" width="6.85546875" style="378" customWidth="1"/>
    <col min="14836" max="14836" width="7.42578125" style="378" customWidth="1"/>
    <col min="14837" max="14837" width="7.28515625" style="378" customWidth="1"/>
    <col min="14838" max="14838" width="0" style="378" hidden="1" customWidth="1"/>
    <col min="14839" max="14841" width="7.28515625" style="378" customWidth="1"/>
    <col min="14842" max="14842" width="8" style="378" customWidth="1"/>
    <col min="14843" max="14843" width="37.7109375" style="378" customWidth="1"/>
    <col min="14844" max="14844" width="3.5703125" style="378" customWidth="1"/>
    <col min="14845" max="14854" width="4.140625" style="378" customWidth="1"/>
    <col min="14855" max="14858" width="5.28515625" style="378" customWidth="1"/>
    <col min="14859" max="15083" width="12.85546875" style="378"/>
    <col min="15084" max="15084" width="7.5703125" style="378" customWidth="1"/>
    <col min="15085" max="15086" width="6.140625" style="378" customWidth="1"/>
    <col min="15087" max="15087" width="7.5703125" style="378" customWidth="1"/>
    <col min="15088" max="15088" width="30.28515625" style="378" customWidth="1"/>
    <col min="15089" max="15089" width="7.42578125" style="378" customWidth="1"/>
    <col min="15090" max="15090" width="4.7109375" style="378" customWidth="1"/>
    <col min="15091" max="15091" width="6.85546875" style="378" customWidth="1"/>
    <col min="15092" max="15092" width="7.42578125" style="378" customWidth="1"/>
    <col min="15093" max="15093" width="7.28515625" style="378" customWidth="1"/>
    <col min="15094" max="15094" width="0" style="378" hidden="1" customWidth="1"/>
    <col min="15095" max="15097" width="7.28515625" style="378" customWidth="1"/>
    <col min="15098" max="15098" width="8" style="378" customWidth="1"/>
    <col min="15099" max="15099" width="37.7109375" style="378" customWidth="1"/>
    <col min="15100" max="15100" width="3.5703125" style="378" customWidth="1"/>
    <col min="15101" max="15110" width="4.140625" style="378" customWidth="1"/>
    <col min="15111" max="15114" width="5.28515625" style="378" customWidth="1"/>
    <col min="15115" max="15339" width="12.85546875" style="378"/>
    <col min="15340" max="15340" width="7.5703125" style="378" customWidth="1"/>
    <col min="15341" max="15342" width="6.140625" style="378" customWidth="1"/>
    <col min="15343" max="15343" width="7.5703125" style="378" customWidth="1"/>
    <col min="15344" max="15344" width="30.28515625" style="378" customWidth="1"/>
    <col min="15345" max="15345" width="7.42578125" style="378" customWidth="1"/>
    <col min="15346" max="15346" width="4.7109375" style="378" customWidth="1"/>
    <col min="15347" max="15347" width="6.85546875" style="378" customWidth="1"/>
    <col min="15348" max="15348" width="7.42578125" style="378" customWidth="1"/>
    <col min="15349" max="15349" width="7.28515625" style="378" customWidth="1"/>
    <col min="15350" max="15350" width="0" style="378" hidden="1" customWidth="1"/>
    <col min="15351" max="15353" width="7.28515625" style="378" customWidth="1"/>
    <col min="15354" max="15354" width="8" style="378" customWidth="1"/>
    <col min="15355" max="15355" width="37.7109375" style="378" customWidth="1"/>
    <col min="15356" max="15356" width="3.5703125" style="378" customWidth="1"/>
    <col min="15357" max="15366" width="4.140625" style="378" customWidth="1"/>
    <col min="15367" max="15370" width="5.28515625" style="378" customWidth="1"/>
    <col min="15371" max="15595" width="12.85546875" style="378"/>
    <col min="15596" max="15596" width="7.5703125" style="378" customWidth="1"/>
    <col min="15597" max="15598" width="6.140625" style="378" customWidth="1"/>
    <col min="15599" max="15599" width="7.5703125" style="378" customWidth="1"/>
    <col min="15600" max="15600" width="30.28515625" style="378" customWidth="1"/>
    <col min="15601" max="15601" width="7.42578125" style="378" customWidth="1"/>
    <col min="15602" max="15602" width="4.7109375" style="378" customWidth="1"/>
    <col min="15603" max="15603" width="6.85546875" style="378" customWidth="1"/>
    <col min="15604" max="15604" width="7.42578125" style="378" customWidth="1"/>
    <col min="15605" max="15605" width="7.28515625" style="378" customWidth="1"/>
    <col min="15606" max="15606" width="0" style="378" hidden="1" customWidth="1"/>
    <col min="15607" max="15609" width="7.28515625" style="378" customWidth="1"/>
    <col min="15610" max="15610" width="8" style="378" customWidth="1"/>
    <col min="15611" max="15611" width="37.7109375" style="378" customWidth="1"/>
    <col min="15612" max="15612" width="3.5703125" style="378" customWidth="1"/>
    <col min="15613" max="15622" width="4.140625" style="378" customWidth="1"/>
    <col min="15623" max="15626" width="5.28515625" style="378" customWidth="1"/>
    <col min="15627" max="15851" width="12.85546875" style="378"/>
    <col min="15852" max="15852" width="7.5703125" style="378" customWidth="1"/>
    <col min="15853" max="15854" width="6.140625" style="378" customWidth="1"/>
    <col min="15855" max="15855" width="7.5703125" style="378" customWidth="1"/>
    <col min="15856" max="15856" width="30.28515625" style="378" customWidth="1"/>
    <col min="15857" max="15857" width="7.42578125" style="378" customWidth="1"/>
    <col min="15858" max="15858" width="4.7109375" style="378" customWidth="1"/>
    <col min="15859" max="15859" width="6.85546875" style="378" customWidth="1"/>
    <col min="15860" max="15860" width="7.42578125" style="378" customWidth="1"/>
    <col min="15861" max="15861" width="7.28515625" style="378" customWidth="1"/>
    <col min="15862" max="15862" width="0" style="378" hidden="1" customWidth="1"/>
    <col min="15863" max="15865" width="7.28515625" style="378" customWidth="1"/>
    <col min="15866" max="15866" width="8" style="378" customWidth="1"/>
    <col min="15867" max="15867" width="37.7109375" style="378" customWidth="1"/>
    <col min="15868" max="15868" width="3.5703125" style="378" customWidth="1"/>
    <col min="15869" max="15878" width="4.140625" style="378" customWidth="1"/>
    <col min="15879" max="15882" width="5.28515625" style="378" customWidth="1"/>
    <col min="15883" max="16107" width="12.85546875" style="378"/>
    <col min="16108" max="16108" width="7.5703125" style="378" customWidth="1"/>
    <col min="16109" max="16110" width="6.140625" style="378" customWidth="1"/>
    <col min="16111" max="16111" width="7.5703125" style="378" customWidth="1"/>
    <col min="16112" max="16112" width="30.28515625" style="378" customWidth="1"/>
    <col min="16113" max="16113" width="7.42578125" style="378" customWidth="1"/>
    <col min="16114" max="16114" width="4.7109375" style="378" customWidth="1"/>
    <col min="16115" max="16115" width="6.85546875" style="378" customWidth="1"/>
    <col min="16116" max="16116" width="7.42578125" style="378" customWidth="1"/>
    <col min="16117" max="16117" width="7.28515625" style="378" customWidth="1"/>
    <col min="16118" max="16118" width="0" style="378" hidden="1" customWidth="1"/>
    <col min="16119" max="16121" width="7.28515625" style="378" customWidth="1"/>
    <col min="16122" max="16122" width="8" style="378" customWidth="1"/>
    <col min="16123" max="16123" width="37.7109375" style="378" customWidth="1"/>
    <col min="16124" max="16124" width="3.5703125" style="378" customWidth="1"/>
    <col min="16125" max="16134" width="4.140625" style="378" customWidth="1"/>
    <col min="16135" max="16138" width="5.28515625" style="378" customWidth="1"/>
    <col min="16139" max="16384" width="12.85546875" style="378"/>
  </cols>
  <sheetData>
    <row r="1" spans="1:13" ht="21" x14ac:dyDescent="0.35">
      <c r="D1" s="380"/>
      <c r="E1" s="381"/>
      <c r="F1" s="381"/>
      <c r="G1" s="382"/>
      <c r="H1" s="382"/>
      <c r="I1" s="382"/>
      <c r="J1" s="812" t="s">
        <v>276</v>
      </c>
      <c r="K1" s="812"/>
      <c r="L1" s="812"/>
      <c r="M1" s="382"/>
    </row>
    <row r="2" spans="1:13" ht="21" customHeight="1" x14ac:dyDescent="0.25">
      <c r="D2" s="383"/>
      <c r="E2" s="384" t="s">
        <v>248</v>
      </c>
      <c r="G2" s="384"/>
      <c r="H2" s="384"/>
      <c r="I2" s="384"/>
      <c r="K2" s="761" t="s">
        <v>249</v>
      </c>
      <c r="L2" s="761"/>
    </row>
    <row r="3" spans="1:13" ht="23.25" x14ac:dyDescent="0.35">
      <c r="A3" s="762" t="s">
        <v>250</v>
      </c>
      <c r="B3" s="762"/>
      <c r="C3" s="762"/>
      <c r="D3" s="762"/>
      <c r="E3" s="762"/>
      <c r="F3" s="762"/>
      <c r="G3" s="762"/>
      <c r="H3" s="762"/>
      <c r="I3" s="762"/>
      <c r="J3" s="762"/>
      <c r="K3" s="762"/>
      <c r="L3" s="762"/>
      <c r="M3" s="762"/>
    </row>
    <row r="4" spans="1:13" ht="15.75" customHeight="1" x14ac:dyDescent="0.25">
      <c r="A4" s="763" t="s">
        <v>251</v>
      </c>
      <c r="B4" s="763"/>
      <c r="C4" s="763"/>
      <c r="D4" s="385" t="s">
        <v>252</v>
      </c>
      <c r="E4" s="813" t="s">
        <v>253</v>
      </c>
      <c r="F4" s="814"/>
      <c r="G4" s="814"/>
      <c r="H4" s="814"/>
      <c r="I4" s="814"/>
      <c r="J4" s="814"/>
      <c r="K4" s="815"/>
      <c r="L4" s="768" t="s">
        <v>254</v>
      </c>
      <c r="M4" s="386"/>
    </row>
    <row r="5" spans="1:13" ht="15.75" customHeight="1" x14ac:dyDescent="0.25">
      <c r="A5" s="764"/>
      <c r="B5" s="764"/>
      <c r="C5" s="764"/>
      <c r="D5" s="387" t="s">
        <v>255</v>
      </c>
      <c r="E5" s="388" t="s">
        <v>256</v>
      </c>
      <c r="F5" s="389"/>
      <c r="G5" s="390"/>
      <c r="H5" s="388"/>
      <c r="I5" s="389"/>
      <c r="J5" s="390"/>
      <c r="K5" s="391"/>
      <c r="L5" s="769"/>
    </row>
    <row r="6" spans="1:13" ht="82.5" customHeight="1" x14ac:dyDescent="0.25">
      <c r="A6" s="392" t="s">
        <v>258</v>
      </c>
      <c r="B6" s="392" t="s">
        <v>257</v>
      </c>
      <c r="C6" s="392" t="s">
        <v>259</v>
      </c>
      <c r="D6" s="393" t="s">
        <v>260</v>
      </c>
      <c r="E6" s="443" t="s">
        <v>261</v>
      </c>
      <c r="F6" s="443" t="s">
        <v>283</v>
      </c>
      <c r="G6" s="444" t="s">
        <v>284</v>
      </c>
      <c r="H6" s="445" t="s">
        <v>262</v>
      </c>
      <c r="I6" s="446" t="s">
        <v>263</v>
      </c>
      <c r="J6" s="447" t="s">
        <v>264</v>
      </c>
      <c r="K6" s="687" t="s">
        <v>413</v>
      </c>
      <c r="L6" s="770"/>
      <c r="M6" s="394" t="s">
        <v>265</v>
      </c>
    </row>
    <row r="7" spans="1:13" s="401" customFormat="1" ht="5.25" x14ac:dyDescent="0.25">
      <c r="A7" s="395"/>
      <c r="B7" s="395"/>
      <c r="C7" s="395"/>
      <c r="D7" s="397"/>
      <c r="E7" s="448"/>
      <c r="F7" s="449"/>
      <c r="G7" s="450"/>
      <c r="H7" s="451"/>
      <c r="I7" s="451"/>
      <c r="J7" s="451"/>
      <c r="K7" s="451"/>
      <c r="L7" s="399"/>
      <c r="M7" s="400"/>
    </row>
    <row r="8" spans="1:13" ht="15" customHeight="1" x14ac:dyDescent="0.25">
      <c r="A8" s="794" t="s">
        <v>266</v>
      </c>
      <c r="B8" s="794" t="s">
        <v>282</v>
      </c>
      <c r="C8" s="794" t="s">
        <v>267</v>
      </c>
      <c r="D8" s="797" t="s">
        <v>268</v>
      </c>
      <c r="E8" s="788" t="s">
        <v>269</v>
      </c>
      <c r="F8" s="788" t="s">
        <v>285</v>
      </c>
      <c r="G8" s="791" t="s">
        <v>286</v>
      </c>
      <c r="H8" s="800" t="s">
        <v>270</v>
      </c>
      <c r="I8" s="803" t="s">
        <v>271</v>
      </c>
      <c r="J8" s="806" t="s">
        <v>272</v>
      </c>
      <c r="K8" s="809" t="s">
        <v>414</v>
      </c>
      <c r="L8" s="785" t="s">
        <v>273</v>
      </c>
      <c r="M8" s="402">
        <f t="shared" ref="M8:M39" si="0">SUM(E8:L8)</f>
        <v>0</v>
      </c>
    </row>
    <row r="9" spans="1:13" x14ac:dyDescent="0.25">
      <c r="A9" s="795"/>
      <c r="B9" s="795"/>
      <c r="C9" s="795"/>
      <c r="D9" s="798"/>
      <c r="E9" s="789"/>
      <c r="F9" s="789"/>
      <c r="G9" s="792"/>
      <c r="H9" s="801"/>
      <c r="I9" s="804"/>
      <c r="J9" s="807"/>
      <c r="K9" s="810"/>
      <c r="L9" s="786"/>
      <c r="M9" s="402">
        <f t="shared" si="0"/>
        <v>0</v>
      </c>
    </row>
    <row r="10" spans="1:13" x14ac:dyDescent="0.25">
      <c r="A10" s="795"/>
      <c r="B10" s="795"/>
      <c r="C10" s="795"/>
      <c r="D10" s="798"/>
      <c r="E10" s="789"/>
      <c r="F10" s="789"/>
      <c r="G10" s="792"/>
      <c r="H10" s="801"/>
      <c r="I10" s="804"/>
      <c r="J10" s="807"/>
      <c r="K10" s="810"/>
      <c r="L10" s="786"/>
      <c r="M10" s="402">
        <f t="shared" si="0"/>
        <v>0</v>
      </c>
    </row>
    <row r="11" spans="1:13" x14ac:dyDescent="0.25">
      <c r="A11" s="795"/>
      <c r="B11" s="795"/>
      <c r="C11" s="795"/>
      <c r="D11" s="798"/>
      <c r="E11" s="789"/>
      <c r="F11" s="789"/>
      <c r="G11" s="792"/>
      <c r="H11" s="801"/>
      <c r="I11" s="804"/>
      <c r="J11" s="807"/>
      <c r="K11" s="810"/>
      <c r="L11" s="786"/>
      <c r="M11" s="402">
        <f t="shared" si="0"/>
        <v>0</v>
      </c>
    </row>
    <row r="12" spans="1:13" x14ac:dyDescent="0.25">
      <c r="A12" s="795"/>
      <c r="B12" s="795"/>
      <c r="C12" s="795"/>
      <c r="D12" s="798"/>
      <c r="E12" s="789"/>
      <c r="F12" s="789"/>
      <c r="G12" s="792"/>
      <c r="H12" s="801"/>
      <c r="I12" s="804"/>
      <c r="J12" s="807"/>
      <c r="K12" s="810"/>
      <c r="L12" s="786"/>
      <c r="M12" s="402">
        <f t="shared" si="0"/>
        <v>0</v>
      </c>
    </row>
    <row r="13" spans="1:13" x14ac:dyDescent="0.25">
      <c r="A13" s="795"/>
      <c r="B13" s="795"/>
      <c r="C13" s="795"/>
      <c r="D13" s="798"/>
      <c r="E13" s="789"/>
      <c r="F13" s="789"/>
      <c r="G13" s="792"/>
      <c r="H13" s="801"/>
      <c r="I13" s="804"/>
      <c r="J13" s="807"/>
      <c r="K13" s="810"/>
      <c r="L13" s="786"/>
      <c r="M13" s="402">
        <f t="shared" si="0"/>
        <v>0</v>
      </c>
    </row>
    <row r="14" spans="1:13" x14ac:dyDescent="0.25">
      <c r="A14" s="795"/>
      <c r="B14" s="795"/>
      <c r="C14" s="795"/>
      <c r="D14" s="799"/>
      <c r="E14" s="789"/>
      <c r="F14" s="789"/>
      <c r="G14" s="792"/>
      <c r="H14" s="801"/>
      <c r="I14" s="804"/>
      <c r="J14" s="807"/>
      <c r="K14" s="810"/>
      <c r="L14" s="786"/>
      <c r="M14" s="402">
        <f t="shared" si="0"/>
        <v>0</v>
      </c>
    </row>
    <row r="15" spans="1:13" ht="15" customHeight="1" x14ac:dyDescent="0.25">
      <c r="A15" s="795"/>
      <c r="B15" s="795"/>
      <c r="C15" s="795"/>
      <c r="D15" s="797" t="s">
        <v>274</v>
      </c>
      <c r="E15" s="789"/>
      <c r="F15" s="789"/>
      <c r="G15" s="792"/>
      <c r="H15" s="801"/>
      <c r="I15" s="804"/>
      <c r="J15" s="807"/>
      <c r="K15" s="810"/>
      <c r="L15" s="786"/>
      <c r="M15" s="402">
        <f t="shared" si="0"/>
        <v>0</v>
      </c>
    </row>
    <row r="16" spans="1:13" x14ac:dyDescent="0.25">
      <c r="A16" s="795"/>
      <c r="B16" s="795"/>
      <c r="C16" s="795"/>
      <c r="D16" s="798"/>
      <c r="E16" s="789"/>
      <c r="F16" s="789"/>
      <c r="G16" s="792"/>
      <c r="H16" s="801"/>
      <c r="I16" s="804"/>
      <c r="J16" s="807"/>
      <c r="K16" s="810"/>
      <c r="L16" s="786"/>
      <c r="M16" s="402">
        <f t="shared" si="0"/>
        <v>0</v>
      </c>
    </row>
    <row r="17" spans="1:13" x14ac:dyDescent="0.25">
      <c r="A17" s="795"/>
      <c r="B17" s="795"/>
      <c r="C17" s="795"/>
      <c r="D17" s="798"/>
      <c r="E17" s="789"/>
      <c r="F17" s="789"/>
      <c r="G17" s="792"/>
      <c r="H17" s="801"/>
      <c r="I17" s="804"/>
      <c r="J17" s="807"/>
      <c r="K17" s="810"/>
      <c r="L17" s="786"/>
      <c r="M17" s="402">
        <f t="shared" si="0"/>
        <v>0</v>
      </c>
    </row>
    <row r="18" spans="1:13" x14ac:dyDescent="0.25">
      <c r="A18" s="795"/>
      <c r="B18" s="795"/>
      <c r="C18" s="795"/>
      <c r="D18" s="798"/>
      <c r="E18" s="789"/>
      <c r="F18" s="789"/>
      <c r="G18" s="792"/>
      <c r="H18" s="801"/>
      <c r="I18" s="804"/>
      <c r="J18" s="807"/>
      <c r="K18" s="810"/>
      <c r="L18" s="786"/>
      <c r="M18" s="402">
        <f t="shared" si="0"/>
        <v>0</v>
      </c>
    </row>
    <row r="19" spans="1:13" x14ac:dyDescent="0.25">
      <c r="A19" s="795"/>
      <c r="B19" s="795"/>
      <c r="C19" s="795"/>
      <c r="D19" s="798"/>
      <c r="E19" s="789"/>
      <c r="F19" s="789"/>
      <c r="G19" s="792"/>
      <c r="H19" s="801"/>
      <c r="I19" s="804"/>
      <c r="J19" s="807"/>
      <c r="K19" s="810"/>
      <c r="L19" s="786"/>
      <c r="M19" s="402">
        <f t="shared" si="0"/>
        <v>0</v>
      </c>
    </row>
    <row r="20" spans="1:13" x14ac:dyDescent="0.25">
      <c r="A20" s="796"/>
      <c r="B20" s="796"/>
      <c r="C20" s="796"/>
      <c r="D20" s="798"/>
      <c r="E20" s="790"/>
      <c r="F20" s="790"/>
      <c r="G20" s="793"/>
      <c r="H20" s="802"/>
      <c r="I20" s="805"/>
      <c r="J20" s="808"/>
      <c r="K20" s="811"/>
      <c r="L20" s="787"/>
      <c r="M20" s="402">
        <f t="shared" si="0"/>
        <v>0</v>
      </c>
    </row>
    <row r="21" spans="1:13" ht="15.75" x14ac:dyDescent="0.25">
      <c r="A21" s="403"/>
      <c r="B21" s="404"/>
      <c r="C21" s="403"/>
      <c r="D21" s="465"/>
      <c r="E21" s="452"/>
      <c r="F21" s="453"/>
      <c r="G21" s="454"/>
      <c r="H21" s="455"/>
      <c r="I21" s="456"/>
      <c r="J21" s="457"/>
      <c r="K21" s="405"/>
      <c r="L21" s="406"/>
      <c r="M21" s="402">
        <f t="shared" si="0"/>
        <v>0</v>
      </c>
    </row>
    <row r="22" spans="1:13" ht="15.75" x14ac:dyDescent="0.25">
      <c r="A22" s="403"/>
      <c r="B22" s="404"/>
      <c r="C22" s="403"/>
      <c r="D22" s="465"/>
      <c r="E22" s="452"/>
      <c r="F22" s="453"/>
      <c r="G22" s="454"/>
      <c r="H22" s="455"/>
      <c r="I22" s="456"/>
      <c r="J22" s="457"/>
      <c r="K22" s="405"/>
      <c r="L22" s="406"/>
      <c r="M22" s="402">
        <f t="shared" si="0"/>
        <v>0</v>
      </c>
    </row>
    <row r="23" spans="1:13" ht="15.75" x14ac:dyDescent="0.25">
      <c r="A23" s="403"/>
      <c r="B23" s="404"/>
      <c r="C23" s="403"/>
      <c r="D23" s="465"/>
      <c r="E23" s="452"/>
      <c r="F23" s="453"/>
      <c r="G23" s="454"/>
      <c r="H23" s="455"/>
      <c r="I23" s="456"/>
      <c r="J23" s="457"/>
      <c r="K23" s="405"/>
      <c r="L23" s="406"/>
      <c r="M23" s="402">
        <f t="shared" si="0"/>
        <v>0</v>
      </c>
    </row>
    <row r="24" spans="1:13" ht="15.75" x14ac:dyDescent="0.25">
      <c r="A24" s="403"/>
      <c r="B24" s="404"/>
      <c r="C24" s="403"/>
      <c r="D24" s="465"/>
      <c r="E24" s="452"/>
      <c r="F24" s="453"/>
      <c r="G24" s="454"/>
      <c r="H24" s="455"/>
      <c r="I24" s="456"/>
      <c r="J24" s="457"/>
      <c r="K24" s="405"/>
      <c r="L24" s="406"/>
      <c r="M24" s="402">
        <f t="shared" si="0"/>
        <v>0</v>
      </c>
    </row>
    <row r="25" spans="1:13" ht="15.75" x14ac:dyDescent="0.25">
      <c r="A25" s="403"/>
      <c r="B25" s="404"/>
      <c r="C25" s="403"/>
      <c r="D25" s="465"/>
      <c r="E25" s="452"/>
      <c r="F25" s="453"/>
      <c r="G25" s="454"/>
      <c r="H25" s="455"/>
      <c r="I25" s="456"/>
      <c r="J25" s="457"/>
      <c r="K25" s="405"/>
      <c r="L25" s="406"/>
      <c r="M25" s="402">
        <f t="shared" si="0"/>
        <v>0</v>
      </c>
    </row>
    <row r="26" spans="1:13" ht="15.75" x14ac:dyDescent="0.25">
      <c r="A26" s="403"/>
      <c r="B26" s="404"/>
      <c r="C26" s="403"/>
      <c r="D26" s="465"/>
      <c r="E26" s="452"/>
      <c r="F26" s="453"/>
      <c r="G26" s="454"/>
      <c r="H26" s="455"/>
      <c r="I26" s="456"/>
      <c r="J26" s="457"/>
      <c r="K26" s="405"/>
      <c r="L26" s="406"/>
      <c r="M26" s="402">
        <f t="shared" si="0"/>
        <v>0</v>
      </c>
    </row>
    <row r="27" spans="1:13" ht="15.75" x14ac:dyDescent="0.25">
      <c r="A27" s="403"/>
      <c r="B27" s="404"/>
      <c r="C27" s="403"/>
      <c r="D27" s="465"/>
      <c r="E27" s="452"/>
      <c r="F27" s="453"/>
      <c r="G27" s="454"/>
      <c r="H27" s="455"/>
      <c r="I27" s="456"/>
      <c r="J27" s="457"/>
      <c r="K27" s="405"/>
      <c r="L27" s="406"/>
      <c r="M27" s="402">
        <f t="shared" si="0"/>
        <v>0</v>
      </c>
    </row>
    <row r="28" spans="1:13" ht="15.75" x14ac:dyDescent="0.25">
      <c r="A28" s="403"/>
      <c r="B28" s="404"/>
      <c r="C28" s="403"/>
      <c r="D28" s="465"/>
      <c r="E28" s="452"/>
      <c r="F28" s="453"/>
      <c r="G28" s="454"/>
      <c r="H28" s="455"/>
      <c r="I28" s="456"/>
      <c r="J28" s="457"/>
      <c r="K28" s="405"/>
      <c r="L28" s="406"/>
      <c r="M28" s="402">
        <f t="shared" si="0"/>
        <v>0</v>
      </c>
    </row>
    <row r="29" spans="1:13" ht="15.75" x14ac:dyDescent="0.25">
      <c r="A29" s="403"/>
      <c r="B29" s="404"/>
      <c r="C29" s="403"/>
      <c r="D29" s="465"/>
      <c r="E29" s="452"/>
      <c r="F29" s="453"/>
      <c r="G29" s="454"/>
      <c r="H29" s="455"/>
      <c r="I29" s="456"/>
      <c r="J29" s="457"/>
      <c r="K29" s="405"/>
      <c r="L29" s="406"/>
      <c r="M29" s="402">
        <f t="shared" si="0"/>
        <v>0</v>
      </c>
    </row>
    <row r="30" spans="1:13" ht="15.75" x14ac:dyDescent="0.25">
      <c r="A30" s="403"/>
      <c r="B30" s="404"/>
      <c r="C30" s="403"/>
      <c r="D30" s="465"/>
      <c r="E30" s="452"/>
      <c r="F30" s="453"/>
      <c r="G30" s="454"/>
      <c r="H30" s="455"/>
      <c r="I30" s="456"/>
      <c r="J30" s="457"/>
      <c r="K30" s="405"/>
      <c r="L30" s="406"/>
      <c r="M30" s="402">
        <f t="shared" si="0"/>
        <v>0</v>
      </c>
    </row>
    <row r="31" spans="1:13" ht="15.75" x14ac:dyDescent="0.25">
      <c r="A31" s="403"/>
      <c r="B31" s="404"/>
      <c r="C31" s="403"/>
      <c r="D31" s="465"/>
      <c r="E31" s="452"/>
      <c r="F31" s="453"/>
      <c r="G31" s="454"/>
      <c r="H31" s="455"/>
      <c r="I31" s="456"/>
      <c r="J31" s="457"/>
      <c r="K31" s="405"/>
      <c r="L31" s="406"/>
      <c r="M31" s="402">
        <f t="shared" si="0"/>
        <v>0</v>
      </c>
    </row>
    <row r="32" spans="1:13" ht="15.75" x14ac:dyDescent="0.25">
      <c r="A32" s="403"/>
      <c r="B32" s="404"/>
      <c r="C32" s="403"/>
      <c r="D32" s="465"/>
      <c r="E32" s="452"/>
      <c r="F32" s="453"/>
      <c r="G32" s="454"/>
      <c r="H32" s="455"/>
      <c r="I32" s="456"/>
      <c r="J32" s="457"/>
      <c r="K32" s="405"/>
      <c r="L32" s="406"/>
      <c r="M32" s="402">
        <f t="shared" si="0"/>
        <v>0</v>
      </c>
    </row>
    <row r="33" spans="1:13" ht="15.75" x14ac:dyDescent="0.25">
      <c r="A33" s="403"/>
      <c r="B33" s="404"/>
      <c r="C33" s="403"/>
      <c r="D33" s="465"/>
      <c r="E33" s="452"/>
      <c r="F33" s="453"/>
      <c r="G33" s="454"/>
      <c r="H33" s="455"/>
      <c r="I33" s="456"/>
      <c r="J33" s="457"/>
      <c r="K33" s="405"/>
      <c r="L33" s="406"/>
      <c r="M33" s="402">
        <f t="shared" si="0"/>
        <v>0</v>
      </c>
    </row>
    <row r="34" spans="1:13" ht="15.75" x14ac:dyDescent="0.25">
      <c r="A34" s="403"/>
      <c r="B34" s="404"/>
      <c r="C34" s="403"/>
      <c r="D34" s="465"/>
      <c r="E34" s="452"/>
      <c r="F34" s="453"/>
      <c r="G34" s="454"/>
      <c r="H34" s="455"/>
      <c r="I34" s="456"/>
      <c r="J34" s="457"/>
      <c r="K34" s="405"/>
      <c r="L34" s="406"/>
      <c r="M34" s="402">
        <f t="shared" si="0"/>
        <v>0</v>
      </c>
    </row>
    <row r="35" spans="1:13" ht="15.75" x14ac:dyDescent="0.25">
      <c r="A35" s="403"/>
      <c r="B35" s="404"/>
      <c r="C35" s="403"/>
      <c r="D35" s="465"/>
      <c r="E35" s="452"/>
      <c r="F35" s="453"/>
      <c r="G35" s="454"/>
      <c r="H35" s="455"/>
      <c r="I35" s="456"/>
      <c r="J35" s="457"/>
      <c r="K35" s="405"/>
      <c r="L35" s="406"/>
      <c r="M35" s="402">
        <f t="shared" si="0"/>
        <v>0</v>
      </c>
    </row>
    <row r="36" spans="1:13" ht="15.75" x14ac:dyDescent="0.25">
      <c r="A36" s="403"/>
      <c r="B36" s="404"/>
      <c r="C36" s="403"/>
      <c r="D36" s="465"/>
      <c r="E36" s="452"/>
      <c r="F36" s="453"/>
      <c r="G36" s="454"/>
      <c r="H36" s="455"/>
      <c r="I36" s="456"/>
      <c r="J36" s="457"/>
      <c r="K36" s="405"/>
      <c r="L36" s="406"/>
      <c r="M36" s="402">
        <f t="shared" si="0"/>
        <v>0</v>
      </c>
    </row>
    <row r="37" spans="1:13" ht="15.75" x14ac:dyDescent="0.25">
      <c r="A37" s="403"/>
      <c r="B37" s="404"/>
      <c r="C37" s="403"/>
      <c r="D37" s="465"/>
      <c r="E37" s="452"/>
      <c r="F37" s="453"/>
      <c r="G37" s="454"/>
      <c r="H37" s="455"/>
      <c r="I37" s="456"/>
      <c r="J37" s="457"/>
      <c r="K37" s="405"/>
      <c r="L37" s="406"/>
      <c r="M37" s="402">
        <f t="shared" si="0"/>
        <v>0</v>
      </c>
    </row>
    <row r="38" spans="1:13" ht="15.75" x14ac:dyDescent="0.25">
      <c r="A38" s="403"/>
      <c r="B38" s="404"/>
      <c r="C38" s="403"/>
      <c r="D38" s="465"/>
      <c r="E38" s="452"/>
      <c r="F38" s="453"/>
      <c r="G38" s="454"/>
      <c r="H38" s="455"/>
      <c r="I38" s="456"/>
      <c r="J38" s="457"/>
      <c r="K38" s="405"/>
      <c r="L38" s="406"/>
      <c r="M38" s="402">
        <f t="shared" si="0"/>
        <v>0</v>
      </c>
    </row>
    <row r="39" spans="1:13" ht="15.75" x14ac:dyDescent="0.25">
      <c r="A39" s="403"/>
      <c r="B39" s="404"/>
      <c r="C39" s="403"/>
      <c r="D39" s="465"/>
      <c r="E39" s="452"/>
      <c r="F39" s="453"/>
      <c r="G39" s="454"/>
      <c r="H39" s="455"/>
      <c r="I39" s="456"/>
      <c r="J39" s="457"/>
      <c r="K39" s="405"/>
      <c r="L39" s="406"/>
      <c r="M39" s="402">
        <f t="shared" si="0"/>
        <v>0</v>
      </c>
    </row>
    <row r="40" spans="1:13" ht="15.75" x14ac:dyDescent="0.25">
      <c r="A40" s="403"/>
      <c r="B40" s="404"/>
      <c r="C40" s="403"/>
      <c r="D40" s="465"/>
      <c r="E40" s="452"/>
      <c r="F40" s="453"/>
      <c r="G40" s="454"/>
      <c r="H40" s="455"/>
      <c r="I40" s="456"/>
      <c r="J40" s="457"/>
      <c r="K40" s="405"/>
      <c r="L40" s="406"/>
      <c r="M40" s="402">
        <f t="shared" ref="M40:M81" si="1">SUM(E40:L40)</f>
        <v>0</v>
      </c>
    </row>
    <row r="41" spans="1:13" ht="15.75" x14ac:dyDescent="0.25">
      <c r="A41" s="403"/>
      <c r="B41" s="404"/>
      <c r="C41" s="403"/>
      <c r="D41" s="465"/>
      <c r="E41" s="452"/>
      <c r="F41" s="453"/>
      <c r="G41" s="454"/>
      <c r="H41" s="455"/>
      <c r="I41" s="456"/>
      <c r="J41" s="457"/>
      <c r="K41" s="405"/>
      <c r="L41" s="406"/>
      <c r="M41" s="402">
        <f t="shared" si="1"/>
        <v>0</v>
      </c>
    </row>
    <row r="42" spans="1:13" ht="15.75" x14ac:dyDescent="0.25">
      <c r="A42" s="403"/>
      <c r="B42" s="404"/>
      <c r="C42" s="403"/>
      <c r="D42" s="465"/>
      <c r="E42" s="452"/>
      <c r="F42" s="453"/>
      <c r="G42" s="454"/>
      <c r="H42" s="455"/>
      <c r="I42" s="456"/>
      <c r="J42" s="457"/>
      <c r="K42" s="405"/>
      <c r="L42" s="406"/>
      <c r="M42" s="402">
        <f t="shared" si="1"/>
        <v>0</v>
      </c>
    </row>
    <row r="43" spans="1:13" ht="15.75" x14ac:dyDescent="0.25">
      <c r="A43" s="403"/>
      <c r="B43" s="404"/>
      <c r="C43" s="403"/>
      <c r="D43" s="465"/>
      <c r="E43" s="452"/>
      <c r="F43" s="453"/>
      <c r="G43" s="454"/>
      <c r="H43" s="455"/>
      <c r="I43" s="456"/>
      <c r="J43" s="457"/>
      <c r="K43" s="405"/>
      <c r="L43" s="406"/>
      <c r="M43" s="402">
        <f t="shared" si="1"/>
        <v>0</v>
      </c>
    </row>
    <row r="44" spans="1:13" ht="15.75" hidden="1" customHeight="1" x14ac:dyDescent="0.25">
      <c r="A44" s="403"/>
      <c r="B44" s="404"/>
      <c r="C44" s="403"/>
      <c r="D44" s="465"/>
      <c r="E44" s="452"/>
      <c r="F44" s="453"/>
      <c r="G44" s="454"/>
      <c r="H44" s="455"/>
      <c r="I44" s="456"/>
      <c r="J44" s="457"/>
      <c r="K44" s="405"/>
      <c r="L44" s="406"/>
      <c r="M44" s="402">
        <f t="shared" si="1"/>
        <v>0</v>
      </c>
    </row>
    <row r="45" spans="1:13" ht="15.75" hidden="1" customHeight="1" x14ac:dyDescent="0.25">
      <c r="A45" s="403"/>
      <c r="B45" s="404"/>
      <c r="C45" s="403"/>
      <c r="D45" s="465"/>
      <c r="E45" s="452"/>
      <c r="F45" s="453"/>
      <c r="G45" s="454"/>
      <c r="H45" s="455"/>
      <c r="I45" s="456"/>
      <c r="J45" s="457"/>
      <c r="K45" s="405"/>
      <c r="L45" s="406"/>
      <c r="M45" s="402">
        <f t="shared" si="1"/>
        <v>0</v>
      </c>
    </row>
    <row r="46" spans="1:13" ht="15.75" hidden="1" customHeight="1" x14ac:dyDescent="0.25">
      <c r="A46" s="403"/>
      <c r="B46" s="404"/>
      <c r="C46" s="403"/>
      <c r="D46" s="465"/>
      <c r="E46" s="452"/>
      <c r="F46" s="453"/>
      <c r="G46" s="454"/>
      <c r="H46" s="455"/>
      <c r="I46" s="456"/>
      <c r="J46" s="457"/>
      <c r="K46" s="405"/>
      <c r="L46" s="406"/>
      <c r="M46" s="402">
        <f t="shared" si="1"/>
        <v>0</v>
      </c>
    </row>
    <row r="47" spans="1:13" ht="15.75" hidden="1" customHeight="1" x14ac:dyDescent="0.25">
      <c r="A47" s="403"/>
      <c r="B47" s="404"/>
      <c r="C47" s="403"/>
      <c r="D47" s="465"/>
      <c r="E47" s="452"/>
      <c r="F47" s="453"/>
      <c r="G47" s="454"/>
      <c r="H47" s="455"/>
      <c r="I47" s="456"/>
      <c r="J47" s="457"/>
      <c r="K47" s="405"/>
      <c r="L47" s="406"/>
      <c r="M47" s="402">
        <f t="shared" si="1"/>
        <v>0</v>
      </c>
    </row>
    <row r="48" spans="1:13" ht="15.75" hidden="1" customHeight="1" x14ac:dyDescent="0.25">
      <c r="A48" s="403"/>
      <c r="B48" s="404"/>
      <c r="C48" s="403"/>
      <c r="D48" s="465"/>
      <c r="E48" s="452"/>
      <c r="F48" s="453"/>
      <c r="G48" s="454"/>
      <c r="H48" s="455"/>
      <c r="I48" s="456"/>
      <c r="J48" s="457"/>
      <c r="K48" s="405"/>
      <c r="L48" s="406"/>
      <c r="M48" s="402">
        <f t="shared" si="1"/>
        <v>0</v>
      </c>
    </row>
    <row r="49" spans="1:13" ht="15.75" hidden="1" customHeight="1" x14ac:dyDescent="0.25">
      <c r="A49" s="403"/>
      <c r="B49" s="404"/>
      <c r="C49" s="403"/>
      <c r="D49" s="465"/>
      <c r="E49" s="452"/>
      <c r="F49" s="453"/>
      <c r="G49" s="454"/>
      <c r="H49" s="455"/>
      <c r="I49" s="456"/>
      <c r="J49" s="457"/>
      <c r="K49" s="405"/>
      <c r="L49" s="406"/>
      <c r="M49" s="402">
        <f t="shared" si="1"/>
        <v>0</v>
      </c>
    </row>
    <row r="50" spans="1:13" ht="15.75" hidden="1" customHeight="1" x14ac:dyDescent="0.25">
      <c r="A50" s="403"/>
      <c r="B50" s="404"/>
      <c r="C50" s="403"/>
      <c r="D50" s="465"/>
      <c r="E50" s="452"/>
      <c r="F50" s="453"/>
      <c r="G50" s="454"/>
      <c r="H50" s="455"/>
      <c r="I50" s="456"/>
      <c r="J50" s="457"/>
      <c r="K50" s="405"/>
      <c r="L50" s="406"/>
      <c r="M50" s="402">
        <f t="shared" si="1"/>
        <v>0</v>
      </c>
    </row>
    <row r="51" spans="1:13" ht="15.75" hidden="1" customHeight="1" x14ac:dyDescent="0.25">
      <c r="A51" s="403"/>
      <c r="B51" s="404"/>
      <c r="C51" s="403"/>
      <c r="D51" s="465"/>
      <c r="E51" s="452"/>
      <c r="F51" s="453"/>
      <c r="G51" s="454"/>
      <c r="H51" s="455"/>
      <c r="I51" s="456"/>
      <c r="J51" s="457"/>
      <c r="K51" s="405"/>
      <c r="L51" s="406"/>
      <c r="M51" s="402">
        <f t="shared" si="1"/>
        <v>0</v>
      </c>
    </row>
    <row r="52" spans="1:13" ht="15.75" hidden="1" customHeight="1" x14ac:dyDescent="0.25">
      <c r="A52" s="403"/>
      <c r="B52" s="404"/>
      <c r="C52" s="403"/>
      <c r="D52" s="465"/>
      <c r="E52" s="452"/>
      <c r="F52" s="453"/>
      <c r="G52" s="454"/>
      <c r="H52" s="455"/>
      <c r="I52" s="456"/>
      <c r="J52" s="457"/>
      <c r="K52" s="405"/>
      <c r="L52" s="406"/>
      <c r="M52" s="402">
        <f t="shared" si="1"/>
        <v>0</v>
      </c>
    </row>
    <row r="53" spans="1:13" ht="15.75" hidden="1" customHeight="1" x14ac:dyDescent="0.25">
      <c r="A53" s="403"/>
      <c r="B53" s="404"/>
      <c r="C53" s="403"/>
      <c r="D53" s="465"/>
      <c r="E53" s="452"/>
      <c r="F53" s="453"/>
      <c r="G53" s="454"/>
      <c r="H53" s="455"/>
      <c r="I53" s="456"/>
      <c r="J53" s="457"/>
      <c r="K53" s="405"/>
      <c r="L53" s="406"/>
      <c r="M53" s="402">
        <f t="shared" si="1"/>
        <v>0</v>
      </c>
    </row>
    <row r="54" spans="1:13" ht="15.75" hidden="1" customHeight="1" x14ac:dyDescent="0.25">
      <c r="A54" s="403"/>
      <c r="B54" s="404"/>
      <c r="C54" s="403"/>
      <c r="D54" s="465"/>
      <c r="E54" s="452"/>
      <c r="F54" s="453"/>
      <c r="G54" s="454"/>
      <c r="H54" s="455"/>
      <c r="I54" s="456"/>
      <c r="J54" s="457"/>
      <c r="K54" s="405"/>
      <c r="L54" s="406"/>
      <c r="M54" s="402">
        <f t="shared" si="1"/>
        <v>0</v>
      </c>
    </row>
    <row r="55" spans="1:13" ht="15.75" hidden="1" customHeight="1" x14ac:dyDescent="0.25">
      <c r="A55" s="403"/>
      <c r="B55" s="404"/>
      <c r="C55" s="403"/>
      <c r="D55" s="465"/>
      <c r="E55" s="452"/>
      <c r="F55" s="453"/>
      <c r="G55" s="454"/>
      <c r="H55" s="455"/>
      <c r="I55" s="456"/>
      <c r="J55" s="457"/>
      <c r="K55" s="405"/>
      <c r="L55" s="406"/>
      <c r="M55" s="402">
        <f t="shared" si="1"/>
        <v>0</v>
      </c>
    </row>
    <row r="56" spans="1:13" ht="15.75" hidden="1" customHeight="1" x14ac:dyDescent="0.25">
      <c r="A56" s="403"/>
      <c r="B56" s="404"/>
      <c r="C56" s="403"/>
      <c r="D56" s="465"/>
      <c r="E56" s="452"/>
      <c r="F56" s="453"/>
      <c r="G56" s="454"/>
      <c r="H56" s="455"/>
      <c r="I56" s="456"/>
      <c r="J56" s="457"/>
      <c r="K56" s="405"/>
      <c r="L56" s="406"/>
      <c r="M56" s="402">
        <f t="shared" si="1"/>
        <v>0</v>
      </c>
    </row>
    <row r="57" spans="1:13" ht="15.75" hidden="1" customHeight="1" x14ac:dyDescent="0.25">
      <c r="A57" s="403"/>
      <c r="B57" s="404"/>
      <c r="C57" s="403"/>
      <c r="D57" s="465"/>
      <c r="E57" s="452"/>
      <c r="F57" s="453"/>
      <c r="G57" s="454"/>
      <c r="H57" s="455"/>
      <c r="I57" s="456"/>
      <c r="J57" s="457"/>
      <c r="K57" s="405"/>
      <c r="L57" s="406"/>
      <c r="M57" s="402">
        <f t="shared" si="1"/>
        <v>0</v>
      </c>
    </row>
    <row r="58" spans="1:13" ht="15.75" hidden="1" customHeight="1" x14ac:dyDescent="0.25">
      <c r="A58" s="403"/>
      <c r="B58" s="404"/>
      <c r="C58" s="403"/>
      <c r="D58" s="465"/>
      <c r="E58" s="452"/>
      <c r="F58" s="453"/>
      <c r="G58" s="454"/>
      <c r="H58" s="455"/>
      <c r="I58" s="456"/>
      <c r="J58" s="457"/>
      <c r="K58" s="405"/>
      <c r="L58" s="406"/>
      <c r="M58" s="402">
        <f t="shared" si="1"/>
        <v>0</v>
      </c>
    </row>
    <row r="59" spans="1:13" ht="15.75" hidden="1" customHeight="1" x14ac:dyDescent="0.25">
      <c r="A59" s="403"/>
      <c r="B59" s="404"/>
      <c r="C59" s="403"/>
      <c r="D59" s="465"/>
      <c r="E59" s="452"/>
      <c r="F59" s="453"/>
      <c r="G59" s="454"/>
      <c r="H59" s="455"/>
      <c r="I59" s="456"/>
      <c r="J59" s="457"/>
      <c r="K59" s="405"/>
      <c r="L59" s="406"/>
      <c r="M59" s="402">
        <f t="shared" si="1"/>
        <v>0</v>
      </c>
    </row>
    <row r="60" spans="1:13" ht="15.75" hidden="1" customHeight="1" x14ac:dyDescent="0.25">
      <c r="A60" s="403"/>
      <c r="B60" s="404"/>
      <c r="C60" s="403"/>
      <c r="D60" s="465"/>
      <c r="E60" s="452"/>
      <c r="F60" s="453"/>
      <c r="G60" s="454"/>
      <c r="H60" s="455"/>
      <c r="I60" s="456"/>
      <c r="J60" s="457"/>
      <c r="K60" s="405"/>
      <c r="L60" s="406"/>
      <c r="M60" s="402">
        <f t="shared" si="1"/>
        <v>0</v>
      </c>
    </row>
    <row r="61" spans="1:13" ht="15.75" hidden="1" customHeight="1" x14ac:dyDescent="0.25">
      <c r="A61" s="403"/>
      <c r="B61" s="404"/>
      <c r="C61" s="403"/>
      <c r="D61" s="465"/>
      <c r="E61" s="452"/>
      <c r="F61" s="453"/>
      <c r="G61" s="454"/>
      <c r="H61" s="455"/>
      <c r="I61" s="456"/>
      <c r="J61" s="457"/>
      <c r="K61" s="405"/>
      <c r="L61" s="406"/>
      <c r="M61" s="402">
        <f t="shared" si="1"/>
        <v>0</v>
      </c>
    </row>
    <row r="62" spans="1:13" ht="15.75" hidden="1" customHeight="1" x14ac:dyDescent="0.25">
      <c r="A62" s="403"/>
      <c r="B62" s="404"/>
      <c r="C62" s="403"/>
      <c r="D62" s="465"/>
      <c r="E62" s="452"/>
      <c r="F62" s="453"/>
      <c r="G62" s="454"/>
      <c r="H62" s="455"/>
      <c r="I62" s="456"/>
      <c r="J62" s="457"/>
      <c r="K62" s="405"/>
      <c r="L62" s="406"/>
      <c r="M62" s="402">
        <f t="shared" si="1"/>
        <v>0</v>
      </c>
    </row>
    <row r="63" spans="1:13" ht="15.75" hidden="1" customHeight="1" x14ac:dyDescent="0.25">
      <c r="A63" s="403"/>
      <c r="B63" s="404"/>
      <c r="C63" s="403"/>
      <c r="D63" s="465"/>
      <c r="E63" s="452"/>
      <c r="F63" s="453"/>
      <c r="G63" s="454"/>
      <c r="H63" s="455"/>
      <c r="I63" s="456"/>
      <c r="J63" s="457"/>
      <c r="K63" s="405"/>
      <c r="L63" s="406"/>
      <c r="M63" s="402">
        <f t="shared" si="1"/>
        <v>0</v>
      </c>
    </row>
    <row r="64" spans="1:13" ht="15.75" hidden="1" customHeight="1" x14ac:dyDescent="0.25">
      <c r="A64" s="403"/>
      <c r="B64" s="404"/>
      <c r="C64" s="403"/>
      <c r="D64" s="465"/>
      <c r="E64" s="452"/>
      <c r="F64" s="453"/>
      <c r="G64" s="454"/>
      <c r="H64" s="455"/>
      <c r="I64" s="456"/>
      <c r="J64" s="457"/>
      <c r="K64" s="405"/>
      <c r="L64" s="406"/>
      <c r="M64" s="402">
        <f t="shared" si="1"/>
        <v>0</v>
      </c>
    </row>
    <row r="65" spans="1:13" ht="15.75" hidden="1" customHeight="1" x14ac:dyDescent="0.25">
      <c r="A65" s="403"/>
      <c r="B65" s="404"/>
      <c r="C65" s="403"/>
      <c r="D65" s="465"/>
      <c r="E65" s="452"/>
      <c r="F65" s="453"/>
      <c r="G65" s="454"/>
      <c r="H65" s="455"/>
      <c r="I65" s="456"/>
      <c r="J65" s="457"/>
      <c r="K65" s="405"/>
      <c r="L65" s="406"/>
      <c r="M65" s="402">
        <f t="shared" si="1"/>
        <v>0</v>
      </c>
    </row>
    <row r="66" spans="1:13" ht="15.75" hidden="1" customHeight="1" x14ac:dyDescent="0.25">
      <c r="A66" s="403"/>
      <c r="B66" s="404"/>
      <c r="C66" s="403"/>
      <c r="D66" s="465"/>
      <c r="E66" s="452"/>
      <c r="F66" s="453"/>
      <c r="G66" s="454"/>
      <c r="H66" s="455"/>
      <c r="I66" s="456"/>
      <c r="J66" s="457"/>
      <c r="K66" s="405"/>
      <c r="L66" s="406"/>
      <c r="M66" s="402">
        <f t="shared" si="1"/>
        <v>0</v>
      </c>
    </row>
    <row r="67" spans="1:13" ht="15.75" hidden="1" customHeight="1" x14ac:dyDescent="0.25">
      <c r="A67" s="403"/>
      <c r="B67" s="404"/>
      <c r="C67" s="403"/>
      <c r="D67" s="465"/>
      <c r="E67" s="452"/>
      <c r="F67" s="453"/>
      <c r="G67" s="454"/>
      <c r="H67" s="455"/>
      <c r="I67" s="456"/>
      <c r="J67" s="457"/>
      <c r="K67" s="405"/>
      <c r="L67" s="406"/>
      <c r="M67" s="402">
        <f t="shared" si="1"/>
        <v>0</v>
      </c>
    </row>
    <row r="68" spans="1:13" ht="15.75" hidden="1" customHeight="1" x14ac:dyDescent="0.25">
      <c r="A68" s="403"/>
      <c r="B68" s="404"/>
      <c r="C68" s="403"/>
      <c r="D68" s="465"/>
      <c r="E68" s="452"/>
      <c r="F68" s="453"/>
      <c r="G68" s="454"/>
      <c r="H68" s="455"/>
      <c r="I68" s="456"/>
      <c r="J68" s="457"/>
      <c r="K68" s="405"/>
      <c r="L68" s="406"/>
      <c r="M68" s="402">
        <f t="shared" si="1"/>
        <v>0</v>
      </c>
    </row>
    <row r="69" spans="1:13" ht="15.75" customHeight="1" x14ac:dyDescent="0.25">
      <c r="A69" s="403"/>
      <c r="B69" s="404"/>
      <c r="C69" s="403"/>
      <c r="D69" s="465"/>
      <c r="E69" s="452"/>
      <c r="F69" s="453"/>
      <c r="G69" s="454"/>
      <c r="H69" s="455"/>
      <c r="I69" s="456"/>
      <c r="J69" s="457"/>
      <c r="K69" s="405"/>
      <c r="L69" s="406"/>
      <c r="M69" s="402"/>
    </row>
    <row r="70" spans="1:13" ht="15.75" customHeight="1" x14ac:dyDescent="0.25">
      <c r="A70" s="403"/>
      <c r="B70" s="404"/>
      <c r="C70" s="403"/>
      <c r="D70" s="465"/>
      <c r="E70" s="452"/>
      <c r="F70" s="453"/>
      <c r="G70" s="454"/>
      <c r="H70" s="455"/>
      <c r="I70" s="456"/>
      <c r="J70" s="457"/>
      <c r="K70" s="405"/>
      <c r="L70" s="406"/>
      <c r="M70" s="402"/>
    </row>
    <row r="71" spans="1:13" ht="15.75" customHeight="1" x14ac:dyDescent="0.25">
      <c r="A71" s="403"/>
      <c r="B71" s="404"/>
      <c r="C71" s="403"/>
      <c r="D71" s="465"/>
      <c r="E71" s="452"/>
      <c r="F71" s="453"/>
      <c r="G71" s="454"/>
      <c r="H71" s="455"/>
      <c r="I71" s="456"/>
      <c r="J71" s="457"/>
      <c r="K71" s="405"/>
      <c r="L71" s="406"/>
      <c r="M71" s="402"/>
    </row>
    <row r="72" spans="1:13" ht="15.75" customHeight="1" x14ac:dyDescent="0.25">
      <c r="A72" s="403"/>
      <c r="B72" s="404"/>
      <c r="C72" s="403"/>
      <c r="D72" s="465"/>
      <c r="E72" s="452"/>
      <c r="F72" s="453"/>
      <c r="G72" s="454"/>
      <c r="H72" s="455"/>
      <c r="I72" s="456"/>
      <c r="J72" s="457"/>
      <c r="K72" s="405"/>
      <c r="L72" s="406"/>
      <c r="M72" s="402"/>
    </row>
    <row r="73" spans="1:13" ht="15.75" customHeight="1" x14ac:dyDescent="0.25">
      <c r="A73" s="403"/>
      <c r="B73" s="404"/>
      <c r="C73" s="403"/>
      <c r="D73" s="465"/>
      <c r="E73" s="452"/>
      <c r="F73" s="453"/>
      <c r="G73" s="454"/>
      <c r="H73" s="455"/>
      <c r="I73" s="456"/>
      <c r="J73" s="457"/>
      <c r="K73" s="405"/>
      <c r="L73" s="406"/>
      <c r="M73" s="402"/>
    </row>
    <row r="74" spans="1:13" ht="15.75" x14ac:dyDescent="0.25">
      <c r="A74" s="403"/>
      <c r="B74" s="404"/>
      <c r="C74" s="403"/>
      <c r="D74" s="465"/>
      <c r="E74" s="452"/>
      <c r="F74" s="453"/>
      <c r="G74" s="454"/>
      <c r="H74" s="455"/>
      <c r="I74" s="456"/>
      <c r="J74" s="457"/>
      <c r="K74" s="405"/>
      <c r="L74" s="406"/>
      <c r="M74" s="402">
        <f t="shared" si="1"/>
        <v>0</v>
      </c>
    </row>
    <row r="75" spans="1:13" ht="15.75" x14ac:dyDescent="0.25">
      <c r="A75" s="403"/>
      <c r="B75" s="404"/>
      <c r="C75" s="403"/>
      <c r="D75" s="465"/>
      <c r="E75" s="452"/>
      <c r="F75" s="453"/>
      <c r="G75" s="454"/>
      <c r="H75" s="455"/>
      <c r="I75" s="456"/>
      <c r="J75" s="457"/>
      <c r="K75" s="405"/>
      <c r="L75" s="406"/>
      <c r="M75" s="402"/>
    </row>
    <row r="76" spans="1:13" ht="15.75" x14ac:dyDescent="0.25">
      <c r="A76" s="403"/>
      <c r="B76" s="404"/>
      <c r="C76" s="403"/>
      <c r="D76" s="465"/>
      <c r="E76" s="452"/>
      <c r="F76" s="453"/>
      <c r="G76" s="454"/>
      <c r="H76" s="455"/>
      <c r="I76" s="456"/>
      <c r="J76" s="457"/>
      <c r="K76" s="405"/>
      <c r="L76" s="406"/>
      <c r="M76" s="402"/>
    </row>
    <row r="77" spans="1:13" ht="15.75" x14ac:dyDescent="0.25">
      <c r="A77" s="403"/>
      <c r="B77" s="404"/>
      <c r="C77" s="403"/>
      <c r="D77" s="465"/>
      <c r="E77" s="452"/>
      <c r="F77" s="453"/>
      <c r="G77" s="454"/>
      <c r="H77" s="455"/>
      <c r="I77" s="456"/>
      <c r="J77" s="457"/>
      <c r="K77" s="405"/>
      <c r="L77" s="406"/>
      <c r="M77" s="402"/>
    </row>
    <row r="78" spans="1:13" ht="15.75" x14ac:dyDescent="0.25">
      <c r="A78" s="403"/>
      <c r="B78" s="404"/>
      <c r="C78" s="403"/>
      <c r="D78" s="465"/>
      <c r="E78" s="452"/>
      <c r="F78" s="453"/>
      <c r="G78" s="454"/>
      <c r="H78" s="455"/>
      <c r="I78" s="456"/>
      <c r="J78" s="457"/>
      <c r="K78" s="405"/>
      <c r="L78" s="406"/>
      <c r="M78" s="402">
        <f t="shared" si="1"/>
        <v>0</v>
      </c>
    </row>
    <row r="79" spans="1:13" ht="15.75" x14ac:dyDescent="0.25">
      <c r="A79" s="403"/>
      <c r="B79" s="404"/>
      <c r="C79" s="403"/>
      <c r="D79" s="465"/>
      <c r="E79" s="452"/>
      <c r="F79" s="453"/>
      <c r="G79" s="454"/>
      <c r="H79" s="455"/>
      <c r="I79" s="456"/>
      <c r="J79" s="457"/>
      <c r="K79" s="405"/>
      <c r="L79" s="406"/>
      <c r="M79" s="402">
        <f t="shared" si="1"/>
        <v>0</v>
      </c>
    </row>
    <row r="80" spans="1:13" ht="15.75" x14ac:dyDescent="0.25">
      <c r="A80" s="403"/>
      <c r="B80" s="404"/>
      <c r="C80" s="403"/>
      <c r="D80" s="465"/>
      <c r="E80" s="452"/>
      <c r="F80" s="453"/>
      <c r="G80" s="454"/>
      <c r="H80" s="455"/>
      <c r="I80" s="456"/>
      <c r="J80" s="457"/>
      <c r="K80" s="405"/>
      <c r="L80" s="406"/>
      <c r="M80" s="402">
        <f t="shared" si="1"/>
        <v>0</v>
      </c>
    </row>
    <row r="81" spans="1:13" ht="15.75" x14ac:dyDescent="0.25">
      <c r="A81" s="407"/>
      <c r="B81" s="408"/>
      <c r="C81" s="407"/>
      <c r="D81" s="465"/>
      <c r="E81" s="452"/>
      <c r="F81" s="453"/>
      <c r="G81" s="454"/>
      <c r="H81" s="455"/>
      <c r="I81" s="456"/>
      <c r="J81" s="457"/>
      <c r="K81" s="409"/>
      <c r="L81" s="410"/>
      <c r="M81" s="402">
        <f t="shared" si="1"/>
        <v>0</v>
      </c>
    </row>
    <row r="82" spans="1:13" ht="18.75" x14ac:dyDescent="0.25">
      <c r="A82" s="411"/>
      <c r="B82" s="412"/>
      <c r="C82" s="411">
        <f>SUM(C8:C81)</f>
        <v>0</v>
      </c>
      <c r="D82" s="413" t="s">
        <v>275</v>
      </c>
      <c r="E82" s="458">
        <f t="shared" ref="E82:M82" si="2">SUM(E8:E81)</f>
        <v>0</v>
      </c>
      <c r="F82" s="458">
        <f t="shared" si="2"/>
        <v>0</v>
      </c>
      <c r="G82" s="459">
        <f t="shared" si="2"/>
        <v>0</v>
      </c>
      <c r="H82" s="460">
        <f t="shared" si="2"/>
        <v>0</v>
      </c>
      <c r="I82" s="461">
        <f>SUM(I8:I81)</f>
        <v>0</v>
      </c>
      <c r="J82" s="462">
        <f t="shared" si="2"/>
        <v>0</v>
      </c>
      <c r="K82" s="414">
        <f t="shared" si="2"/>
        <v>0</v>
      </c>
      <c r="L82" s="415">
        <f t="shared" si="2"/>
        <v>0</v>
      </c>
      <c r="M82" s="416">
        <f t="shared" si="2"/>
        <v>0</v>
      </c>
    </row>
    <row r="83" spans="1:13" x14ac:dyDescent="0.25">
      <c r="D83" s="417"/>
      <c r="H83" s="418"/>
      <c r="K83" s="417"/>
    </row>
    <row r="84" spans="1:13" ht="21" x14ac:dyDescent="0.2">
      <c r="A84" s="419"/>
      <c r="B84" s="420"/>
      <c r="C84" s="419"/>
      <c r="E84" s="419"/>
      <c r="G84" s="421" t="str">
        <f>IF(H84&gt;0,"==&gt;","")</f>
        <v/>
      </c>
      <c r="H84" s="422"/>
    </row>
    <row r="85" spans="1:13" x14ac:dyDescent="0.25">
      <c r="M85" s="423"/>
    </row>
    <row r="86" spans="1:13" x14ac:dyDescent="0.25"/>
    <row r="87" spans="1:13" x14ac:dyDescent="0.25"/>
    <row r="88" spans="1:13" x14ac:dyDescent="0.25"/>
    <row r="89" spans="1:13" x14ac:dyDescent="0.25"/>
    <row r="90" spans="1:13" x14ac:dyDescent="0.25"/>
    <row r="91" spans="1:13" x14ac:dyDescent="0.25"/>
    <row r="92" spans="1:13" x14ac:dyDescent="0.25"/>
    <row r="93" spans="1:13" x14ac:dyDescent="0.25"/>
    <row r="94" spans="1:13" x14ac:dyDescent="0.25"/>
    <row r="95" spans="1:13" x14ac:dyDescent="0.25"/>
    <row r="96" spans="1:13" x14ac:dyDescent="0.25"/>
    <row r="97"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sheetProtection algorithmName="SHA-512" hashValue="GJQuv/OwRRv+JqPiauXE+kFoii9rQVy65j2mJ/Ztzq1z5NcBhvI4hsskH4iymHyUeIahrDwjw3a4PdX+e8lc6g==" saltValue="Xk2/EdkOdh2f1qDN/exLXg==" spinCount="100000" sheet="1" formatRows="0" selectLockedCells="1" selectUnlockedCells="1"/>
  <mergeCells count="19">
    <mergeCell ref="J1:L1"/>
    <mergeCell ref="K2:L2"/>
    <mergeCell ref="A3:M3"/>
    <mergeCell ref="A4:C5"/>
    <mergeCell ref="E4:K4"/>
    <mergeCell ref="L4:L6"/>
    <mergeCell ref="L8:L20"/>
    <mergeCell ref="F8:F20"/>
    <mergeCell ref="G8:G20"/>
    <mergeCell ref="B8:B20"/>
    <mergeCell ref="A8:A20"/>
    <mergeCell ref="C8:C20"/>
    <mergeCell ref="D8:D14"/>
    <mergeCell ref="E8:E20"/>
    <mergeCell ref="D15:D20"/>
    <mergeCell ref="H8:H20"/>
    <mergeCell ref="I8:I20"/>
    <mergeCell ref="J8:J20"/>
    <mergeCell ref="K8:K20"/>
  </mergeCells>
  <conditionalFormatting sqref="A21:A81">
    <cfRule type="cellIs" dxfId="22" priority="25" stopIfTrue="1" operator="greaterThan">
      <formula>0</formula>
    </cfRule>
  </conditionalFormatting>
  <conditionalFormatting sqref="B21:B81">
    <cfRule type="cellIs" dxfId="21" priority="24" stopIfTrue="1" operator="greaterThan">
      <formula>0</formula>
    </cfRule>
  </conditionalFormatting>
  <conditionalFormatting sqref="C21:C81">
    <cfRule type="cellIs" dxfId="20" priority="23" stopIfTrue="1" operator="greaterThan">
      <formula>0</formula>
    </cfRule>
  </conditionalFormatting>
  <conditionalFormatting sqref="C8">
    <cfRule type="cellIs" dxfId="19" priority="15" stopIfTrue="1" operator="greaterThan">
      <formula>0</formula>
    </cfRule>
  </conditionalFormatting>
  <conditionalFormatting sqref="B8">
    <cfRule type="cellIs" dxfId="18" priority="21" stopIfTrue="1" operator="greaterThan">
      <formula>0</formula>
    </cfRule>
  </conditionalFormatting>
  <conditionalFormatting sqref="A8">
    <cfRule type="cellIs" dxfId="17" priority="16" stopIfTrue="1" operator="greaterThan">
      <formula>0</formula>
    </cfRule>
  </conditionalFormatting>
  <conditionalFormatting sqref="I8">
    <cfRule type="cellIs" dxfId="16" priority="7" stopIfTrue="1" operator="greaterThan">
      <formula>0</formula>
    </cfRule>
  </conditionalFormatting>
  <conditionalFormatting sqref="J8">
    <cfRule type="cellIs" dxfId="15" priority="6" stopIfTrue="1" operator="greaterThan">
      <formula>0</formula>
    </cfRule>
  </conditionalFormatting>
  <conditionalFormatting sqref="F8">
    <cfRule type="cellIs" dxfId="14" priority="3" stopIfTrue="1" operator="greaterThan">
      <formula>0</formula>
    </cfRule>
  </conditionalFormatting>
  <conditionalFormatting sqref="H8">
    <cfRule type="cellIs" dxfId="13" priority="8" stopIfTrue="1" operator="greaterThan">
      <formula>0</formula>
    </cfRule>
  </conditionalFormatting>
  <conditionalFormatting sqref="E8">
    <cfRule type="cellIs" dxfId="12" priority="9" stopIfTrue="1" operator="greaterThan">
      <formula>0</formula>
    </cfRule>
  </conditionalFormatting>
  <conditionalFormatting sqref="F21:G81">
    <cfRule type="cellIs" dxfId="11" priority="5" stopIfTrue="1" operator="greaterThan">
      <formula>0</formula>
    </cfRule>
  </conditionalFormatting>
  <conditionalFormatting sqref="E21:E81">
    <cfRule type="cellIs" dxfId="10" priority="4" stopIfTrue="1" operator="greaterThan">
      <formula>0</formula>
    </cfRule>
  </conditionalFormatting>
  <conditionalFormatting sqref="L8">
    <cfRule type="cellIs" dxfId="9" priority="2" stopIfTrue="1" operator="greaterThan">
      <formula>0</formula>
    </cfRule>
  </conditionalFormatting>
  <conditionalFormatting sqref="K8">
    <cfRule type="cellIs" dxfId="8" priority="1" stopIfTrue="1" operator="greaterThan">
      <formula>0</formula>
    </cfRule>
  </conditionalFormatting>
  <dataValidations count="4">
    <dataValidation type="decimal" allowBlank="1" showInputMessage="1" showErrorMessage="1" error="bitte eine gültige Zahl eingeben !!" sqref="WUQ983027:WUQ983090 IE9:IE80 SA9:SA80 ABW9:ABW80 ALS9:ALS80 AVO9:AVO80 BFK9:BFK80 BPG9:BPG80 BZC9:BZC80 CIY9:CIY80 CSU9:CSU80 DCQ9:DCQ80 DMM9:DMM80 DWI9:DWI80 EGE9:EGE80 EQA9:EQA80 EZW9:EZW80 FJS9:FJS80 FTO9:FTO80 GDK9:GDK80 GNG9:GNG80 GXC9:GXC80 HGY9:HGY80 HQU9:HQU80 IAQ9:IAQ80 IKM9:IKM80 IUI9:IUI80 JEE9:JEE80 JOA9:JOA80 JXW9:JXW80 KHS9:KHS80 KRO9:KRO80 LBK9:LBK80 LLG9:LLG80 LVC9:LVC80 MEY9:MEY80 MOU9:MOU80 MYQ9:MYQ80 NIM9:NIM80 NSI9:NSI80 OCE9:OCE80 OMA9:OMA80 OVW9:OVW80 PFS9:PFS80 PPO9:PPO80 PZK9:PZK80 QJG9:QJG80 QTC9:QTC80 RCY9:RCY80 RMU9:RMU80 RWQ9:RWQ80 SGM9:SGM80 SQI9:SQI80 TAE9:TAE80 TKA9:TKA80 TTW9:TTW80 UDS9:UDS80 UNO9:UNO80 UXK9:UXK80 VHG9:VHG80 VRC9:VRC80 WAY9:WAY80 WKU9:WKU80 WUQ9:WUQ80 C65523:C65586 IE65523:IE65586 SA65523:SA65586 ABW65523:ABW65586 ALS65523:ALS65586 AVO65523:AVO65586 BFK65523:BFK65586 BPG65523:BPG65586 BZC65523:BZC65586 CIY65523:CIY65586 CSU65523:CSU65586 DCQ65523:DCQ65586 DMM65523:DMM65586 DWI65523:DWI65586 EGE65523:EGE65586 EQA65523:EQA65586 EZW65523:EZW65586 FJS65523:FJS65586 FTO65523:FTO65586 GDK65523:GDK65586 GNG65523:GNG65586 GXC65523:GXC65586 HGY65523:HGY65586 HQU65523:HQU65586 IAQ65523:IAQ65586 IKM65523:IKM65586 IUI65523:IUI65586 JEE65523:JEE65586 JOA65523:JOA65586 JXW65523:JXW65586 KHS65523:KHS65586 KRO65523:KRO65586 LBK65523:LBK65586 LLG65523:LLG65586 LVC65523:LVC65586 MEY65523:MEY65586 MOU65523:MOU65586 MYQ65523:MYQ65586 NIM65523:NIM65586 NSI65523:NSI65586 OCE65523:OCE65586 OMA65523:OMA65586 OVW65523:OVW65586 PFS65523:PFS65586 PPO65523:PPO65586 PZK65523:PZK65586 QJG65523:QJG65586 QTC65523:QTC65586 RCY65523:RCY65586 RMU65523:RMU65586 RWQ65523:RWQ65586 SGM65523:SGM65586 SQI65523:SQI65586 TAE65523:TAE65586 TKA65523:TKA65586 TTW65523:TTW65586 UDS65523:UDS65586 UNO65523:UNO65586 UXK65523:UXK65586 VHG65523:VHG65586 VRC65523:VRC65586 WAY65523:WAY65586 WKU65523:WKU65586 WUQ65523:WUQ65586 C131059:C131122 IE131059:IE131122 SA131059:SA131122 ABW131059:ABW131122 ALS131059:ALS131122 AVO131059:AVO131122 BFK131059:BFK131122 BPG131059:BPG131122 BZC131059:BZC131122 CIY131059:CIY131122 CSU131059:CSU131122 DCQ131059:DCQ131122 DMM131059:DMM131122 DWI131059:DWI131122 EGE131059:EGE131122 EQA131059:EQA131122 EZW131059:EZW131122 FJS131059:FJS131122 FTO131059:FTO131122 GDK131059:GDK131122 GNG131059:GNG131122 GXC131059:GXC131122 HGY131059:HGY131122 HQU131059:HQU131122 IAQ131059:IAQ131122 IKM131059:IKM131122 IUI131059:IUI131122 JEE131059:JEE131122 JOA131059:JOA131122 JXW131059:JXW131122 KHS131059:KHS131122 KRO131059:KRO131122 LBK131059:LBK131122 LLG131059:LLG131122 LVC131059:LVC131122 MEY131059:MEY131122 MOU131059:MOU131122 MYQ131059:MYQ131122 NIM131059:NIM131122 NSI131059:NSI131122 OCE131059:OCE131122 OMA131059:OMA131122 OVW131059:OVW131122 PFS131059:PFS131122 PPO131059:PPO131122 PZK131059:PZK131122 QJG131059:QJG131122 QTC131059:QTC131122 RCY131059:RCY131122 RMU131059:RMU131122 RWQ131059:RWQ131122 SGM131059:SGM131122 SQI131059:SQI131122 TAE131059:TAE131122 TKA131059:TKA131122 TTW131059:TTW131122 UDS131059:UDS131122 UNO131059:UNO131122 UXK131059:UXK131122 VHG131059:VHG131122 VRC131059:VRC131122 WAY131059:WAY131122 WKU131059:WKU131122 WUQ131059:WUQ131122 C196595:C196658 IE196595:IE196658 SA196595:SA196658 ABW196595:ABW196658 ALS196595:ALS196658 AVO196595:AVO196658 BFK196595:BFK196658 BPG196595:BPG196658 BZC196595:BZC196658 CIY196595:CIY196658 CSU196595:CSU196658 DCQ196595:DCQ196658 DMM196595:DMM196658 DWI196595:DWI196658 EGE196595:EGE196658 EQA196595:EQA196658 EZW196595:EZW196658 FJS196595:FJS196658 FTO196595:FTO196658 GDK196595:GDK196658 GNG196595:GNG196658 GXC196595:GXC196658 HGY196595:HGY196658 HQU196595:HQU196658 IAQ196595:IAQ196658 IKM196595:IKM196658 IUI196595:IUI196658 JEE196595:JEE196658 JOA196595:JOA196658 JXW196595:JXW196658 KHS196595:KHS196658 KRO196595:KRO196658 LBK196595:LBK196658 LLG196595:LLG196658 LVC196595:LVC196658 MEY196595:MEY196658 MOU196595:MOU196658 MYQ196595:MYQ196658 NIM196595:NIM196658 NSI196595:NSI196658 OCE196595:OCE196658 OMA196595:OMA196658 OVW196595:OVW196658 PFS196595:PFS196658 PPO196595:PPO196658 PZK196595:PZK196658 QJG196595:QJG196658 QTC196595:QTC196658 RCY196595:RCY196658 RMU196595:RMU196658 RWQ196595:RWQ196658 SGM196595:SGM196658 SQI196595:SQI196658 TAE196595:TAE196658 TKA196595:TKA196658 TTW196595:TTW196658 UDS196595:UDS196658 UNO196595:UNO196658 UXK196595:UXK196658 VHG196595:VHG196658 VRC196595:VRC196658 WAY196595:WAY196658 WKU196595:WKU196658 WUQ196595:WUQ196658 C262131:C262194 IE262131:IE262194 SA262131:SA262194 ABW262131:ABW262194 ALS262131:ALS262194 AVO262131:AVO262194 BFK262131:BFK262194 BPG262131:BPG262194 BZC262131:BZC262194 CIY262131:CIY262194 CSU262131:CSU262194 DCQ262131:DCQ262194 DMM262131:DMM262194 DWI262131:DWI262194 EGE262131:EGE262194 EQA262131:EQA262194 EZW262131:EZW262194 FJS262131:FJS262194 FTO262131:FTO262194 GDK262131:GDK262194 GNG262131:GNG262194 GXC262131:GXC262194 HGY262131:HGY262194 HQU262131:HQU262194 IAQ262131:IAQ262194 IKM262131:IKM262194 IUI262131:IUI262194 JEE262131:JEE262194 JOA262131:JOA262194 JXW262131:JXW262194 KHS262131:KHS262194 KRO262131:KRO262194 LBK262131:LBK262194 LLG262131:LLG262194 LVC262131:LVC262194 MEY262131:MEY262194 MOU262131:MOU262194 MYQ262131:MYQ262194 NIM262131:NIM262194 NSI262131:NSI262194 OCE262131:OCE262194 OMA262131:OMA262194 OVW262131:OVW262194 PFS262131:PFS262194 PPO262131:PPO262194 PZK262131:PZK262194 QJG262131:QJG262194 QTC262131:QTC262194 RCY262131:RCY262194 RMU262131:RMU262194 RWQ262131:RWQ262194 SGM262131:SGM262194 SQI262131:SQI262194 TAE262131:TAE262194 TKA262131:TKA262194 TTW262131:TTW262194 UDS262131:UDS262194 UNO262131:UNO262194 UXK262131:UXK262194 VHG262131:VHG262194 VRC262131:VRC262194 WAY262131:WAY262194 WKU262131:WKU262194 WUQ262131:WUQ262194 C327667:C327730 IE327667:IE327730 SA327667:SA327730 ABW327667:ABW327730 ALS327667:ALS327730 AVO327667:AVO327730 BFK327667:BFK327730 BPG327667:BPG327730 BZC327667:BZC327730 CIY327667:CIY327730 CSU327667:CSU327730 DCQ327667:DCQ327730 DMM327667:DMM327730 DWI327667:DWI327730 EGE327667:EGE327730 EQA327667:EQA327730 EZW327667:EZW327730 FJS327667:FJS327730 FTO327667:FTO327730 GDK327667:GDK327730 GNG327667:GNG327730 GXC327667:GXC327730 HGY327667:HGY327730 HQU327667:HQU327730 IAQ327667:IAQ327730 IKM327667:IKM327730 IUI327667:IUI327730 JEE327667:JEE327730 JOA327667:JOA327730 JXW327667:JXW327730 KHS327667:KHS327730 KRO327667:KRO327730 LBK327667:LBK327730 LLG327667:LLG327730 LVC327667:LVC327730 MEY327667:MEY327730 MOU327667:MOU327730 MYQ327667:MYQ327730 NIM327667:NIM327730 NSI327667:NSI327730 OCE327667:OCE327730 OMA327667:OMA327730 OVW327667:OVW327730 PFS327667:PFS327730 PPO327667:PPO327730 PZK327667:PZK327730 QJG327667:QJG327730 QTC327667:QTC327730 RCY327667:RCY327730 RMU327667:RMU327730 RWQ327667:RWQ327730 SGM327667:SGM327730 SQI327667:SQI327730 TAE327667:TAE327730 TKA327667:TKA327730 TTW327667:TTW327730 UDS327667:UDS327730 UNO327667:UNO327730 UXK327667:UXK327730 VHG327667:VHG327730 VRC327667:VRC327730 WAY327667:WAY327730 WKU327667:WKU327730 WUQ327667:WUQ327730 C393203:C393266 IE393203:IE393266 SA393203:SA393266 ABW393203:ABW393266 ALS393203:ALS393266 AVO393203:AVO393266 BFK393203:BFK393266 BPG393203:BPG393266 BZC393203:BZC393266 CIY393203:CIY393266 CSU393203:CSU393266 DCQ393203:DCQ393266 DMM393203:DMM393266 DWI393203:DWI393266 EGE393203:EGE393266 EQA393203:EQA393266 EZW393203:EZW393266 FJS393203:FJS393266 FTO393203:FTO393266 GDK393203:GDK393266 GNG393203:GNG393266 GXC393203:GXC393266 HGY393203:HGY393266 HQU393203:HQU393266 IAQ393203:IAQ393266 IKM393203:IKM393266 IUI393203:IUI393266 JEE393203:JEE393266 JOA393203:JOA393266 JXW393203:JXW393266 KHS393203:KHS393266 KRO393203:KRO393266 LBK393203:LBK393266 LLG393203:LLG393266 LVC393203:LVC393266 MEY393203:MEY393266 MOU393203:MOU393266 MYQ393203:MYQ393266 NIM393203:NIM393266 NSI393203:NSI393266 OCE393203:OCE393266 OMA393203:OMA393266 OVW393203:OVW393266 PFS393203:PFS393266 PPO393203:PPO393266 PZK393203:PZK393266 QJG393203:QJG393266 QTC393203:QTC393266 RCY393203:RCY393266 RMU393203:RMU393266 RWQ393203:RWQ393266 SGM393203:SGM393266 SQI393203:SQI393266 TAE393203:TAE393266 TKA393203:TKA393266 TTW393203:TTW393266 UDS393203:UDS393266 UNO393203:UNO393266 UXK393203:UXK393266 VHG393203:VHG393266 VRC393203:VRC393266 WAY393203:WAY393266 WKU393203:WKU393266 WUQ393203:WUQ393266 C458739:C458802 IE458739:IE458802 SA458739:SA458802 ABW458739:ABW458802 ALS458739:ALS458802 AVO458739:AVO458802 BFK458739:BFK458802 BPG458739:BPG458802 BZC458739:BZC458802 CIY458739:CIY458802 CSU458739:CSU458802 DCQ458739:DCQ458802 DMM458739:DMM458802 DWI458739:DWI458802 EGE458739:EGE458802 EQA458739:EQA458802 EZW458739:EZW458802 FJS458739:FJS458802 FTO458739:FTO458802 GDK458739:GDK458802 GNG458739:GNG458802 GXC458739:GXC458802 HGY458739:HGY458802 HQU458739:HQU458802 IAQ458739:IAQ458802 IKM458739:IKM458802 IUI458739:IUI458802 JEE458739:JEE458802 JOA458739:JOA458802 JXW458739:JXW458802 KHS458739:KHS458802 KRO458739:KRO458802 LBK458739:LBK458802 LLG458739:LLG458802 LVC458739:LVC458802 MEY458739:MEY458802 MOU458739:MOU458802 MYQ458739:MYQ458802 NIM458739:NIM458802 NSI458739:NSI458802 OCE458739:OCE458802 OMA458739:OMA458802 OVW458739:OVW458802 PFS458739:PFS458802 PPO458739:PPO458802 PZK458739:PZK458802 QJG458739:QJG458802 QTC458739:QTC458802 RCY458739:RCY458802 RMU458739:RMU458802 RWQ458739:RWQ458802 SGM458739:SGM458802 SQI458739:SQI458802 TAE458739:TAE458802 TKA458739:TKA458802 TTW458739:TTW458802 UDS458739:UDS458802 UNO458739:UNO458802 UXK458739:UXK458802 VHG458739:VHG458802 VRC458739:VRC458802 WAY458739:WAY458802 WKU458739:WKU458802 WUQ458739:WUQ458802 C524275:C524338 IE524275:IE524338 SA524275:SA524338 ABW524275:ABW524338 ALS524275:ALS524338 AVO524275:AVO524338 BFK524275:BFK524338 BPG524275:BPG524338 BZC524275:BZC524338 CIY524275:CIY524338 CSU524275:CSU524338 DCQ524275:DCQ524338 DMM524275:DMM524338 DWI524275:DWI524338 EGE524275:EGE524338 EQA524275:EQA524338 EZW524275:EZW524338 FJS524275:FJS524338 FTO524275:FTO524338 GDK524275:GDK524338 GNG524275:GNG524338 GXC524275:GXC524338 HGY524275:HGY524338 HQU524275:HQU524338 IAQ524275:IAQ524338 IKM524275:IKM524338 IUI524275:IUI524338 JEE524275:JEE524338 JOA524275:JOA524338 JXW524275:JXW524338 KHS524275:KHS524338 KRO524275:KRO524338 LBK524275:LBK524338 LLG524275:LLG524338 LVC524275:LVC524338 MEY524275:MEY524338 MOU524275:MOU524338 MYQ524275:MYQ524338 NIM524275:NIM524338 NSI524275:NSI524338 OCE524275:OCE524338 OMA524275:OMA524338 OVW524275:OVW524338 PFS524275:PFS524338 PPO524275:PPO524338 PZK524275:PZK524338 QJG524275:QJG524338 QTC524275:QTC524338 RCY524275:RCY524338 RMU524275:RMU524338 RWQ524275:RWQ524338 SGM524275:SGM524338 SQI524275:SQI524338 TAE524275:TAE524338 TKA524275:TKA524338 TTW524275:TTW524338 UDS524275:UDS524338 UNO524275:UNO524338 UXK524275:UXK524338 VHG524275:VHG524338 VRC524275:VRC524338 WAY524275:WAY524338 WKU524275:WKU524338 WUQ524275:WUQ524338 C589811:C589874 IE589811:IE589874 SA589811:SA589874 ABW589811:ABW589874 ALS589811:ALS589874 AVO589811:AVO589874 BFK589811:BFK589874 BPG589811:BPG589874 BZC589811:BZC589874 CIY589811:CIY589874 CSU589811:CSU589874 DCQ589811:DCQ589874 DMM589811:DMM589874 DWI589811:DWI589874 EGE589811:EGE589874 EQA589811:EQA589874 EZW589811:EZW589874 FJS589811:FJS589874 FTO589811:FTO589874 GDK589811:GDK589874 GNG589811:GNG589874 GXC589811:GXC589874 HGY589811:HGY589874 HQU589811:HQU589874 IAQ589811:IAQ589874 IKM589811:IKM589874 IUI589811:IUI589874 JEE589811:JEE589874 JOA589811:JOA589874 JXW589811:JXW589874 KHS589811:KHS589874 KRO589811:KRO589874 LBK589811:LBK589874 LLG589811:LLG589874 LVC589811:LVC589874 MEY589811:MEY589874 MOU589811:MOU589874 MYQ589811:MYQ589874 NIM589811:NIM589874 NSI589811:NSI589874 OCE589811:OCE589874 OMA589811:OMA589874 OVW589811:OVW589874 PFS589811:PFS589874 PPO589811:PPO589874 PZK589811:PZK589874 QJG589811:QJG589874 QTC589811:QTC589874 RCY589811:RCY589874 RMU589811:RMU589874 RWQ589811:RWQ589874 SGM589811:SGM589874 SQI589811:SQI589874 TAE589811:TAE589874 TKA589811:TKA589874 TTW589811:TTW589874 UDS589811:UDS589874 UNO589811:UNO589874 UXK589811:UXK589874 VHG589811:VHG589874 VRC589811:VRC589874 WAY589811:WAY589874 WKU589811:WKU589874 WUQ589811:WUQ589874 C655347:C655410 IE655347:IE655410 SA655347:SA655410 ABW655347:ABW655410 ALS655347:ALS655410 AVO655347:AVO655410 BFK655347:BFK655410 BPG655347:BPG655410 BZC655347:BZC655410 CIY655347:CIY655410 CSU655347:CSU655410 DCQ655347:DCQ655410 DMM655347:DMM655410 DWI655347:DWI655410 EGE655347:EGE655410 EQA655347:EQA655410 EZW655347:EZW655410 FJS655347:FJS655410 FTO655347:FTO655410 GDK655347:GDK655410 GNG655347:GNG655410 GXC655347:GXC655410 HGY655347:HGY655410 HQU655347:HQU655410 IAQ655347:IAQ655410 IKM655347:IKM655410 IUI655347:IUI655410 JEE655347:JEE655410 JOA655347:JOA655410 JXW655347:JXW655410 KHS655347:KHS655410 KRO655347:KRO655410 LBK655347:LBK655410 LLG655347:LLG655410 LVC655347:LVC655410 MEY655347:MEY655410 MOU655347:MOU655410 MYQ655347:MYQ655410 NIM655347:NIM655410 NSI655347:NSI655410 OCE655347:OCE655410 OMA655347:OMA655410 OVW655347:OVW655410 PFS655347:PFS655410 PPO655347:PPO655410 PZK655347:PZK655410 QJG655347:QJG655410 QTC655347:QTC655410 RCY655347:RCY655410 RMU655347:RMU655410 RWQ655347:RWQ655410 SGM655347:SGM655410 SQI655347:SQI655410 TAE655347:TAE655410 TKA655347:TKA655410 TTW655347:TTW655410 UDS655347:UDS655410 UNO655347:UNO655410 UXK655347:UXK655410 VHG655347:VHG655410 VRC655347:VRC655410 WAY655347:WAY655410 WKU655347:WKU655410 WUQ655347:WUQ655410 C720883:C720946 IE720883:IE720946 SA720883:SA720946 ABW720883:ABW720946 ALS720883:ALS720946 AVO720883:AVO720946 BFK720883:BFK720946 BPG720883:BPG720946 BZC720883:BZC720946 CIY720883:CIY720946 CSU720883:CSU720946 DCQ720883:DCQ720946 DMM720883:DMM720946 DWI720883:DWI720946 EGE720883:EGE720946 EQA720883:EQA720946 EZW720883:EZW720946 FJS720883:FJS720946 FTO720883:FTO720946 GDK720883:GDK720946 GNG720883:GNG720946 GXC720883:GXC720946 HGY720883:HGY720946 HQU720883:HQU720946 IAQ720883:IAQ720946 IKM720883:IKM720946 IUI720883:IUI720946 JEE720883:JEE720946 JOA720883:JOA720946 JXW720883:JXW720946 KHS720883:KHS720946 KRO720883:KRO720946 LBK720883:LBK720946 LLG720883:LLG720946 LVC720883:LVC720946 MEY720883:MEY720946 MOU720883:MOU720946 MYQ720883:MYQ720946 NIM720883:NIM720946 NSI720883:NSI720946 OCE720883:OCE720946 OMA720883:OMA720946 OVW720883:OVW720946 PFS720883:PFS720946 PPO720883:PPO720946 PZK720883:PZK720946 QJG720883:QJG720946 QTC720883:QTC720946 RCY720883:RCY720946 RMU720883:RMU720946 RWQ720883:RWQ720946 SGM720883:SGM720946 SQI720883:SQI720946 TAE720883:TAE720946 TKA720883:TKA720946 TTW720883:TTW720946 UDS720883:UDS720946 UNO720883:UNO720946 UXK720883:UXK720946 VHG720883:VHG720946 VRC720883:VRC720946 WAY720883:WAY720946 WKU720883:WKU720946 WUQ720883:WUQ720946 C786419:C786482 IE786419:IE786482 SA786419:SA786482 ABW786419:ABW786482 ALS786419:ALS786482 AVO786419:AVO786482 BFK786419:BFK786482 BPG786419:BPG786482 BZC786419:BZC786482 CIY786419:CIY786482 CSU786419:CSU786482 DCQ786419:DCQ786482 DMM786419:DMM786482 DWI786419:DWI786482 EGE786419:EGE786482 EQA786419:EQA786482 EZW786419:EZW786482 FJS786419:FJS786482 FTO786419:FTO786482 GDK786419:GDK786482 GNG786419:GNG786482 GXC786419:GXC786482 HGY786419:HGY786482 HQU786419:HQU786482 IAQ786419:IAQ786482 IKM786419:IKM786482 IUI786419:IUI786482 JEE786419:JEE786482 JOA786419:JOA786482 JXW786419:JXW786482 KHS786419:KHS786482 KRO786419:KRO786482 LBK786419:LBK786482 LLG786419:LLG786482 LVC786419:LVC786482 MEY786419:MEY786482 MOU786419:MOU786482 MYQ786419:MYQ786482 NIM786419:NIM786482 NSI786419:NSI786482 OCE786419:OCE786482 OMA786419:OMA786482 OVW786419:OVW786482 PFS786419:PFS786482 PPO786419:PPO786482 PZK786419:PZK786482 QJG786419:QJG786482 QTC786419:QTC786482 RCY786419:RCY786482 RMU786419:RMU786482 RWQ786419:RWQ786482 SGM786419:SGM786482 SQI786419:SQI786482 TAE786419:TAE786482 TKA786419:TKA786482 TTW786419:TTW786482 UDS786419:UDS786482 UNO786419:UNO786482 UXK786419:UXK786482 VHG786419:VHG786482 VRC786419:VRC786482 WAY786419:WAY786482 WKU786419:WKU786482 WUQ786419:WUQ786482 C851955:C852018 IE851955:IE852018 SA851955:SA852018 ABW851955:ABW852018 ALS851955:ALS852018 AVO851955:AVO852018 BFK851955:BFK852018 BPG851955:BPG852018 BZC851955:BZC852018 CIY851955:CIY852018 CSU851955:CSU852018 DCQ851955:DCQ852018 DMM851955:DMM852018 DWI851955:DWI852018 EGE851955:EGE852018 EQA851955:EQA852018 EZW851955:EZW852018 FJS851955:FJS852018 FTO851955:FTO852018 GDK851955:GDK852018 GNG851955:GNG852018 GXC851955:GXC852018 HGY851955:HGY852018 HQU851955:HQU852018 IAQ851955:IAQ852018 IKM851955:IKM852018 IUI851955:IUI852018 JEE851955:JEE852018 JOA851955:JOA852018 JXW851955:JXW852018 KHS851955:KHS852018 KRO851955:KRO852018 LBK851955:LBK852018 LLG851955:LLG852018 LVC851955:LVC852018 MEY851955:MEY852018 MOU851955:MOU852018 MYQ851955:MYQ852018 NIM851955:NIM852018 NSI851955:NSI852018 OCE851955:OCE852018 OMA851955:OMA852018 OVW851955:OVW852018 PFS851955:PFS852018 PPO851955:PPO852018 PZK851955:PZK852018 QJG851955:QJG852018 QTC851955:QTC852018 RCY851955:RCY852018 RMU851955:RMU852018 RWQ851955:RWQ852018 SGM851955:SGM852018 SQI851955:SQI852018 TAE851955:TAE852018 TKA851955:TKA852018 TTW851955:TTW852018 UDS851955:UDS852018 UNO851955:UNO852018 UXK851955:UXK852018 VHG851955:VHG852018 VRC851955:VRC852018 WAY851955:WAY852018 WKU851955:WKU852018 WUQ851955:WUQ852018 C917491:C917554 IE917491:IE917554 SA917491:SA917554 ABW917491:ABW917554 ALS917491:ALS917554 AVO917491:AVO917554 BFK917491:BFK917554 BPG917491:BPG917554 BZC917491:BZC917554 CIY917491:CIY917554 CSU917491:CSU917554 DCQ917491:DCQ917554 DMM917491:DMM917554 DWI917491:DWI917554 EGE917491:EGE917554 EQA917491:EQA917554 EZW917491:EZW917554 FJS917491:FJS917554 FTO917491:FTO917554 GDK917491:GDK917554 GNG917491:GNG917554 GXC917491:GXC917554 HGY917491:HGY917554 HQU917491:HQU917554 IAQ917491:IAQ917554 IKM917491:IKM917554 IUI917491:IUI917554 JEE917491:JEE917554 JOA917491:JOA917554 JXW917491:JXW917554 KHS917491:KHS917554 KRO917491:KRO917554 LBK917491:LBK917554 LLG917491:LLG917554 LVC917491:LVC917554 MEY917491:MEY917554 MOU917491:MOU917554 MYQ917491:MYQ917554 NIM917491:NIM917554 NSI917491:NSI917554 OCE917491:OCE917554 OMA917491:OMA917554 OVW917491:OVW917554 PFS917491:PFS917554 PPO917491:PPO917554 PZK917491:PZK917554 QJG917491:QJG917554 QTC917491:QTC917554 RCY917491:RCY917554 RMU917491:RMU917554 RWQ917491:RWQ917554 SGM917491:SGM917554 SQI917491:SQI917554 TAE917491:TAE917554 TKA917491:TKA917554 TTW917491:TTW917554 UDS917491:UDS917554 UNO917491:UNO917554 UXK917491:UXK917554 VHG917491:VHG917554 VRC917491:VRC917554 WAY917491:WAY917554 WKU917491:WKU917554 WUQ917491:WUQ917554 C983027:C983090 IE983027:IE983090 SA983027:SA983090 ABW983027:ABW983090 ALS983027:ALS983090 AVO983027:AVO983090 BFK983027:BFK983090 BPG983027:BPG983090 BZC983027:BZC983090 CIY983027:CIY983090 CSU983027:CSU983090 DCQ983027:DCQ983090 DMM983027:DMM983090 DWI983027:DWI983090 EGE983027:EGE983090 EQA983027:EQA983090 EZW983027:EZW983090 FJS983027:FJS983090 FTO983027:FTO983090 GDK983027:GDK983090 GNG983027:GNG983090 GXC983027:GXC983090 HGY983027:HGY983090 HQU983027:HQU983090 IAQ983027:IAQ983090 IKM983027:IKM983090 IUI983027:IUI983090 JEE983027:JEE983090 JOA983027:JOA983090 JXW983027:JXW983090 KHS983027:KHS983090 KRO983027:KRO983090 LBK983027:LBK983090 LLG983027:LLG983090 LVC983027:LVC983090 MEY983027:MEY983090 MOU983027:MOU983090 MYQ983027:MYQ983090 NIM983027:NIM983090 NSI983027:NSI983090 OCE983027:OCE983090 OMA983027:OMA983090 OVW983027:OVW983090 PFS983027:PFS983090 PPO983027:PPO983090 PZK983027:PZK983090 QJG983027:QJG983090 QTC983027:QTC983090 RCY983027:RCY983090 RMU983027:RMU983090 RWQ983027:RWQ983090 SGM983027:SGM983090 SQI983027:SQI983090 TAE983027:TAE983090 TKA983027:TKA983090 TTW983027:TTW983090 UDS983027:UDS983090 UNO983027:UNO983090 UXK983027:UXK983090 VHG983027:VHG983090 VRC983027:VRC983090 WAY983027:WAY983090 WKU983027:WKU983090 C21:C80">
      <formula1>-7</formula1>
      <formula2>27</formula2>
    </dataValidation>
    <dataValidation allowBlank="1" showInputMessage="1" showErrorMessage="1" prompt="Stundenzahl angeben bei eigener LPers;_x000a_wenn von anderer S(tamms)chule, dann genügt &quot;ja&quot; oder &quot;X&quot;" sqref="WVA983026:WVA983091 IO8:IO81 SK8:SK81 ACG8:ACG81 AMC8:AMC81 AVY8:AVY81 BFU8:BFU81 BPQ8:BPQ81 BZM8:BZM81 CJI8:CJI81 CTE8:CTE81 DDA8:DDA81 DMW8:DMW81 DWS8:DWS81 EGO8:EGO81 EQK8:EQK81 FAG8:FAG81 FKC8:FKC81 FTY8:FTY81 GDU8:GDU81 GNQ8:GNQ81 GXM8:GXM81 HHI8:HHI81 HRE8:HRE81 IBA8:IBA81 IKW8:IKW81 IUS8:IUS81 JEO8:JEO81 JOK8:JOK81 JYG8:JYG81 KIC8:KIC81 KRY8:KRY81 LBU8:LBU81 LLQ8:LLQ81 LVM8:LVM81 MFI8:MFI81 MPE8:MPE81 MZA8:MZA81 NIW8:NIW81 NSS8:NSS81 OCO8:OCO81 OMK8:OMK81 OWG8:OWG81 PGC8:PGC81 PPY8:PPY81 PZU8:PZU81 QJQ8:QJQ81 QTM8:QTM81 RDI8:RDI81 RNE8:RNE81 RXA8:RXA81 SGW8:SGW81 SQS8:SQS81 TAO8:TAO81 TKK8:TKK81 TUG8:TUG81 UEC8:UEC81 UNY8:UNY81 UXU8:UXU81 VHQ8:VHQ81 VRM8:VRM81 WBI8:WBI81 WLE8:WLE81 WVA8:WVA81 L65522:L65587 IO65522:IO65587 SK65522:SK65587 ACG65522:ACG65587 AMC65522:AMC65587 AVY65522:AVY65587 BFU65522:BFU65587 BPQ65522:BPQ65587 BZM65522:BZM65587 CJI65522:CJI65587 CTE65522:CTE65587 DDA65522:DDA65587 DMW65522:DMW65587 DWS65522:DWS65587 EGO65522:EGO65587 EQK65522:EQK65587 FAG65522:FAG65587 FKC65522:FKC65587 FTY65522:FTY65587 GDU65522:GDU65587 GNQ65522:GNQ65587 GXM65522:GXM65587 HHI65522:HHI65587 HRE65522:HRE65587 IBA65522:IBA65587 IKW65522:IKW65587 IUS65522:IUS65587 JEO65522:JEO65587 JOK65522:JOK65587 JYG65522:JYG65587 KIC65522:KIC65587 KRY65522:KRY65587 LBU65522:LBU65587 LLQ65522:LLQ65587 LVM65522:LVM65587 MFI65522:MFI65587 MPE65522:MPE65587 MZA65522:MZA65587 NIW65522:NIW65587 NSS65522:NSS65587 OCO65522:OCO65587 OMK65522:OMK65587 OWG65522:OWG65587 PGC65522:PGC65587 PPY65522:PPY65587 PZU65522:PZU65587 QJQ65522:QJQ65587 QTM65522:QTM65587 RDI65522:RDI65587 RNE65522:RNE65587 RXA65522:RXA65587 SGW65522:SGW65587 SQS65522:SQS65587 TAO65522:TAO65587 TKK65522:TKK65587 TUG65522:TUG65587 UEC65522:UEC65587 UNY65522:UNY65587 UXU65522:UXU65587 VHQ65522:VHQ65587 VRM65522:VRM65587 WBI65522:WBI65587 WLE65522:WLE65587 WVA65522:WVA65587 L131058:L131123 IO131058:IO131123 SK131058:SK131123 ACG131058:ACG131123 AMC131058:AMC131123 AVY131058:AVY131123 BFU131058:BFU131123 BPQ131058:BPQ131123 BZM131058:BZM131123 CJI131058:CJI131123 CTE131058:CTE131123 DDA131058:DDA131123 DMW131058:DMW131123 DWS131058:DWS131123 EGO131058:EGO131123 EQK131058:EQK131123 FAG131058:FAG131123 FKC131058:FKC131123 FTY131058:FTY131123 GDU131058:GDU131123 GNQ131058:GNQ131123 GXM131058:GXM131123 HHI131058:HHI131123 HRE131058:HRE131123 IBA131058:IBA131123 IKW131058:IKW131123 IUS131058:IUS131123 JEO131058:JEO131123 JOK131058:JOK131123 JYG131058:JYG131123 KIC131058:KIC131123 KRY131058:KRY131123 LBU131058:LBU131123 LLQ131058:LLQ131123 LVM131058:LVM131123 MFI131058:MFI131123 MPE131058:MPE131123 MZA131058:MZA131123 NIW131058:NIW131123 NSS131058:NSS131123 OCO131058:OCO131123 OMK131058:OMK131123 OWG131058:OWG131123 PGC131058:PGC131123 PPY131058:PPY131123 PZU131058:PZU131123 QJQ131058:QJQ131123 QTM131058:QTM131123 RDI131058:RDI131123 RNE131058:RNE131123 RXA131058:RXA131123 SGW131058:SGW131123 SQS131058:SQS131123 TAO131058:TAO131123 TKK131058:TKK131123 TUG131058:TUG131123 UEC131058:UEC131123 UNY131058:UNY131123 UXU131058:UXU131123 VHQ131058:VHQ131123 VRM131058:VRM131123 WBI131058:WBI131123 WLE131058:WLE131123 WVA131058:WVA131123 L196594:L196659 IO196594:IO196659 SK196594:SK196659 ACG196594:ACG196659 AMC196594:AMC196659 AVY196594:AVY196659 BFU196594:BFU196659 BPQ196594:BPQ196659 BZM196594:BZM196659 CJI196594:CJI196659 CTE196594:CTE196659 DDA196594:DDA196659 DMW196594:DMW196659 DWS196594:DWS196659 EGO196594:EGO196659 EQK196594:EQK196659 FAG196594:FAG196659 FKC196594:FKC196659 FTY196594:FTY196659 GDU196594:GDU196659 GNQ196594:GNQ196659 GXM196594:GXM196659 HHI196594:HHI196659 HRE196594:HRE196659 IBA196594:IBA196659 IKW196594:IKW196659 IUS196594:IUS196659 JEO196594:JEO196659 JOK196594:JOK196659 JYG196594:JYG196659 KIC196594:KIC196659 KRY196594:KRY196659 LBU196594:LBU196659 LLQ196594:LLQ196659 LVM196594:LVM196659 MFI196594:MFI196659 MPE196594:MPE196659 MZA196594:MZA196659 NIW196594:NIW196659 NSS196594:NSS196659 OCO196594:OCO196659 OMK196594:OMK196659 OWG196594:OWG196659 PGC196594:PGC196659 PPY196594:PPY196659 PZU196594:PZU196659 QJQ196594:QJQ196659 QTM196594:QTM196659 RDI196594:RDI196659 RNE196594:RNE196659 RXA196594:RXA196659 SGW196594:SGW196659 SQS196594:SQS196659 TAO196594:TAO196659 TKK196594:TKK196659 TUG196594:TUG196659 UEC196594:UEC196659 UNY196594:UNY196659 UXU196594:UXU196659 VHQ196594:VHQ196659 VRM196594:VRM196659 WBI196594:WBI196659 WLE196594:WLE196659 WVA196594:WVA196659 L262130:L262195 IO262130:IO262195 SK262130:SK262195 ACG262130:ACG262195 AMC262130:AMC262195 AVY262130:AVY262195 BFU262130:BFU262195 BPQ262130:BPQ262195 BZM262130:BZM262195 CJI262130:CJI262195 CTE262130:CTE262195 DDA262130:DDA262195 DMW262130:DMW262195 DWS262130:DWS262195 EGO262130:EGO262195 EQK262130:EQK262195 FAG262130:FAG262195 FKC262130:FKC262195 FTY262130:FTY262195 GDU262130:GDU262195 GNQ262130:GNQ262195 GXM262130:GXM262195 HHI262130:HHI262195 HRE262130:HRE262195 IBA262130:IBA262195 IKW262130:IKW262195 IUS262130:IUS262195 JEO262130:JEO262195 JOK262130:JOK262195 JYG262130:JYG262195 KIC262130:KIC262195 KRY262130:KRY262195 LBU262130:LBU262195 LLQ262130:LLQ262195 LVM262130:LVM262195 MFI262130:MFI262195 MPE262130:MPE262195 MZA262130:MZA262195 NIW262130:NIW262195 NSS262130:NSS262195 OCO262130:OCO262195 OMK262130:OMK262195 OWG262130:OWG262195 PGC262130:PGC262195 PPY262130:PPY262195 PZU262130:PZU262195 QJQ262130:QJQ262195 QTM262130:QTM262195 RDI262130:RDI262195 RNE262130:RNE262195 RXA262130:RXA262195 SGW262130:SGW262195 SQS262130:SQS262195 TAO262130:TAO262195 TKK262130:TKK262195 TUG262130:TUG262195 UEC262130:UEC262195 UNY262130:UNY262195 UXU262130:UXU262195 VHQ262130:VHQ262195 VRM262130:VRM262195 WBI262130:WBI262195 WLE262130:WLE262195 WVA262130:WVA262195 L327666:L327731 IO327666:IO327731 SK327666:SK327731 ACG327666:ACG327731 AMC327666:AMC327731 AVY327666:AVY327731 BFU327666:BFU327731 BPQ327666:BPQ327731 BZM327666:BZM327731 CJI327666:CJI327731 CTE327666:CTE327731 DDA327666:DDA327731 DMW327666:DMW327731 DWS327666:DWS327731 EGO327666:EGO327731 EQK327666:EQK327731 FAG327666:FAG327731 FKC327666:FKC327731 FTY327666:FTY327731 GDU327666:GDU327731 GNQ327666:GNQ327731 GXM327666:GXM327731 HHI327666:HHI327731 HRE327666:HRE327731 IBA327666:IBA327731 IKW327666:IKW327731 IUS327666:IUS327731 JEO327666:JEO327731 JOK327666:JOK327731 JYG327666:JYG327731 KIC327666:KIC327731 KRY327666:KRY327731 LBU327666:LBU327731 LLQ327666:LLQ327731 LVM327666:LVM327731 MFI327666:MFI327731 MPE327666:MPE327731 MZA327666:MZA327731 NIW327666:NIW327731 NSS327666:NSS327731 OCO327666:OCO327731 OMK327666:OMK327731 OWG327666:OWG327731 PGC327666:PGC327731 PPY327666:PPY327731 PZU327666:PZU327731 QJQ327666:QJQ327731 QTM327666:QTM327731 RDI327666:RDI327731 RNE327666:RNE327731 RXA327666:RXA327731 SGW327666:SGW327731 SQS327666:SQS327731 TAO327666:TAO327731 TKK327666:TKK327731 TUG327666:TUG327731 UEC327666:UEC327731 UNY327666:UNY327731 UXU327666:UXU327731 VHQ327666:VHQ327731 VRM327666:VRM327731 WBI327666:WBI327731 WLE327666:WLE327731 WVA327666:WVA327731 L393202:L393267 IO393202:IO393267 SK393202:SK393267 ACG393202:ACG393267 AMC393202:AMC393267 AVY393202:AVY393267 BFU393202:BFU393267 BPQ393202:BPQ393267 BZM393202:BZM393267 CJI393202:CJI393267 CTE393202:CTE393267 DDA393202:DDA393267 DMW393202:DMW393267 DWS393202:DWS393267 EGO393202:EGO393267 EQK393202:EQK393267 FAG393202:FAG393267 FKC393202:FKC393267 FTY393202:FTY393267 GDU393202:GDU393267 GNQ393202:GNQ393267 GXM393202:GXM393267 HHI393202:HHI393267 HRE393202:HRE393267 IBA393202:IBA393267 IKW393202:IKW393267 IUS393202:IUS393267 JEO393202:JEO393267 JOK393202:JOK393267 JYG393202:JYG393267 KIC393202:KIC393267 KRY393202:KRY393267 LBU393202:LBU393267 LLQ393202:LLQ393267 LVM393202:LVM393267 MFI393202:MFI393267 MPE393202:MPE393267 MZA393202:MZA393267 NIW393202:NIW393267 NSS393202:NSS393267 OCO393202:OCO393267 OMK393202:OMK393267 OWG393202:OWG393267 PGC393202:PGC393267 PPY393202:PPY393267 PZU393202:PZU393267 QJQ393202:QJQ393267 QTM393202:QTM393267 RDI393202:RDI393267 RNE393202:RNE393267 RXA393202:RXA393267 SGW393202:SGW393267 SQS393202:SQS393267 TAO393202:TAO393267 TKK393202:TKK393267 TUG393202:TUG393267 UEC393202:UEC393267 UNY393202:UNY393267 UXU393202:UXU393267 VHQ393202:VHQ393267 VRM393202:VRM393267 WBI393202:WBI393267 WLE393202:WLE393267 WVA393202:WVA393267 L458738:L458803 IO458738:IO458803 SK458738:SK458803 ACG458738:ACG458803 AMC458738:AMC458803 AVY458738:AVY458803 BFU458738:BFU458803 BPQ458738:BPQ458803 BZM458738:BZM458803 CJI458738:CJI458803 CTE458738:CTE458803 DDA458738:DDA458803 DMW458738:DMW458803 DWS458738:DWS458803 EGO458738:EGO458803 EQK458738:EQK458803 FAG458738:FAG458803 FKC458738:FKC458803 FTY458738:FTY458803 GDU458738:GDU458803 GNQ458738:GNQ458803 GXM458738:GXM458803 HHI458738:HHI458803 HRE458738:HRE458803 IBA458738:IBA458803 IKW458738:IKW458803 IUS458738:IUS458803 JEO458738:JEO458803 JOK458738:JOK458803 JYG458738:JYG458803 KIC458738:KIC458803 KRY458738:KRY458803 LBU458738:LBU458803 LLQ458738:LLQ458803 LVM458738:LVM458803 MFI458738:MFI458803 MPE458738:MPE458803 MZA458738:MZA458803 NIW458738:NIW458803 NSS458738:NSS458803 OCO458738:OCO458803 OMK458738:OMK458803 OWG458738:OWG458803 PGC458738:PGC458803 PPY458738:PPY458803 PZU458738:PZU458803 QJQ458738:QJQ458803 QTM458738:QTM458803 RDI458738:RDI458803 RNE458738:RNE458803 RXA458738:RXA458803 SGW458738:SGW458803 SQS458738:SQS458803 TAO458738:TAO458803 TKK458738:TKK458803 TUG458738:TUG458803 UEC458738:UEC458803 UNY458738:UNY458803 UXU458738:UXU458803 VHQ458738:VHQ458803 VRM458738:VRM458803 WBI458738:WBI458803 WLE458738:WLE458803 WVA458738:WVA458803 L524274:L524339 IO524274:IO524339 SK524274:SK524339 ACG524274:ACG524339 AMC524274:AMC524339 AVY524274:AVY524339 BFU524274:BFU524339 BPQ524274:BPQ524339 BZM524274:BZM524339 CJI524274:CJI524339 CTE524274:CTE524339 DDA524274:DDA524339 DMW524274:DMW524339 DWS524274:DWS524339 EGO524274:EGO524339 EQK524274:EQK524339 FAG524274:FAG524339 FKC524274:FKC524339 FTY524274:FTY524339 GDU524274:GDU524339 GNQ524274:GNQ524339 GXM524274:GXM524339 HHI524274:HHI524339 HRE524274:HRE524339 IBA524274:IBA524339 IKW524274:IKW524339 IUS524274:IUS524339 JEO524274:JEO524339 JOK524274:JOK524339 JYG524274:JYG524339 KIC524274:KIC524339 KRY524274:KRY524339 LBU524274:LBU524339 LLQ524274:LLQ524339 LVM524274:LVM524339 MFI524274:MFI524339 MPE524274:MPE524339 MZA524274:MZA524339 NIW524274:NIW524339 NSS524274:NSS524339 OCO524274:OCO524339 OMK524274:OMK524339 OWG524274:OWG524339 PGC524274:PGC524339 PPY524274:PPY524339 PZU524274:PZU524339 QJQ524274:QJQ524339 QTM524274:QTM524339 RDI524274:RDI524339 RNE524274:RNE524339 RXA524274:RXA524339 SGW524274:SGW524339 SQS524274:SQS524339 TAO524274:TAO524339 TKK524274:TKK524339 TUG524274:TUG524339 UEC524274:UEC524339 UNY524274:UNY524339 UXU524274:UXU524339 VHQ524274:VHQ524339 VRM524274:VRM524339 WBI524274:WBI524339 WLE524274:WLE524339 WVA524274:WVA524339 L589810:L589875 IO589810:IO589875 SK589810:SK589875 ACG589810:ACG589875 AMC589810:AMC589875 AVY589810:AVY589875 BFU589810:BFU589875 BPQ589810:BPQ589875 BZM589810:BZM589875 CJI589810:CJI589875 CTE589810:CTE589875 DDA589810:DDA589875 DMW589810:DMW589875 DWS589810:DWS589875 EGO589810:EGO589875 EQK589810:EQK589875 FAG589810:FAG589875 FKC589810:FKC589875 FTY589810:FTY589875 GDU589810:GDU589875 GNQ589810:GNQ589875 GXM589810:GXM589875 HHI589810:HHI589875 HRE589810:HRE589875 IBA589810:IBA589875 IKW589810:IKW589875 IUS589810:IUS589875 JEO589810:JEO589875 JOK589810:JOK589875 JYG589810:JYG589875 KIC589810:KIC589875 KRY589810:KRY589875 LBU589810:LBU589875 LLQ589810:LLQ589875 LVM589810:LVM589875 MFI589810:MFI589875 MPE589810:MPE589875 MZA589810:MZA589875 NIW589810:NIW589875 NSS589810:NSS589875 OCO589810:OCO589875 OMK589810:OMK589875 OWG589810:OWG589875 PGC589810:PGC589875 PPY589810:PPY589875 PZU589810:PZU589875 QJQ589810:QJQ589875 QTM589810:QTM589875 RDI589810:RDI589875 RNE589810:RNE589875 RXA589810:RXA589875 SGW589810:SGW589875 SQS589810:SQS589875 TAO589810:TAO589875 TKK589810:TKK589875 TUG589810:TUG589875 UEC589810:UEC589875 UNY589810:UNY589875 UXU589810:UXU589875 VHQ589810:VHQ589875 VRM589810:VRM589875 WBI589810:WBI589875 WLE589810:WLE589875 WVA589810:WVA589875 L655346:L655411 IO655346:IO655411 SK655346:SK655411 ACG655346:ACG655411 AMC655346:AMC655411 AVY655346:AVY655411 BFU655346:BFU655411 BPQ655346:BPQ655411 BZM655346:BZM655411 CJI655346:CJI655411 CTE655346:CTE655411 DDA655346:DDA655411 DMW655346:DMW655411 DWS655346:DWS655411 EGO655346:EGO655411 EQK655346:EQK655411 FAG655346:FAG655411 FKC655346:FKC655411 FTY655346:FTY655411 GDU655346:GDU655411 GNQ655346:GNQ655411 GXM655346:GXM655411 HHI655346:HHI655411 HRE655346:HRE655411 IBA655346:IBA655411 IKW655346:IKW655411 IUS655346:IUS655411 JEO655346:JEO655411 JOK655346:JOK655411 JYG655346:JYG655411 KIC655346:KIC655411 KRY655346:KRY655411 LBU655346:LBU655411 LLQ655346:LLQ655411 LVM655346:LVM655411 MFI655346:MFI655411 MPE655346:MPE655411 MZA655346:MZA655411 NIW655346:NIW655411 NSS655346:NSS655411 OCO655346:OCO655411 OMK655346:OMK655411 OWG655346:OWG655411 PGC655346:PGC655411 PPY655346:PPY655411 PZU655346:PZU655411 QJQ655346:QJQ655411 QTM655346:QTM655411 RDI655346:RDI655411 RNE655346:RNE655411 RXA655346:RXA655411 SGW655346:SGW655411 SQS655346:SQS655411 TAO655346:TAO655411 TKK655346:TKK655411 TUG655346:TUG655411 UEC655346:UEC655411 UNY655346:UNY655411 UXU655346:UXU655411 VHQ655346:VHQ655411 VRM655346:VRM655411 WBI655346:WBI655411 WLE655346:WLE655411 WVA655346:WVA655411 L720882:L720947 IO720882:IO720947 SK720882:SK720947 ACG720882:ACG720947 AMC720882:AMC720947 AVY720882:AVY720947 BFU720882:BFU720947 BPQ720882:BPQ720947 BZM720882:BZM720947 CJI720882:CJI720947 CTE720882:CTE720947 DDA720882:DDA720947 DMW720882:DMW720947 DWS720882:DWS720947 EGO720882:EGO720947 EQK720882:EQK720947 FAG720882:FAG720947 FKC720882:FKC720947 FTY720882:FTY720947 GDU720882:GDU720947 GNQ720882:GNQ720947 GXM720882:GXM720947 HHI720882:HHI720947 HRE720882:HRE720947 IBA720882:IBA720947 IKW720882:IKW720947 IUS720882:IUS720947 JEO720882:JEO720947 JOK720882:JOK720947 JYG720882:JYG720947 KIC720882:KIC720947 KRY720882:KRY720947 LBU720882:LBU720947 LLQ720882:LLQ720947 LVM720882:LVM720947 MFI720882:MFI720947 MPE720882:MPE720947 MZA720882:MZA720947 NIW720882:NIW720947 NSS720882:NSS720947 OCO720882:OCO720947 OMK720882:OMK720947 OWG720882:OWG720947 PGC720882:PGC720947 PPY720882:PPY720947 PZU720882:PZU720947 QJQ720882:QJQ720947 QTM720882:QTM720947 RDI720882:RDI720947 RNE720882:RNE720947 RXA720882:RXA720947 SGW720882:SGW720947 SQS720882:SQS720947 TAO720882:TAO720947 TKK720882:TKK720947 TUG720882:TUG720947 UEC720882:UEC720947 UNY720882:UNY720947 UXU720882:UXU720947 VHQ720882:VHQ720947 VRM720882:VRM720947 WBI720882:WBI720947 WLE720882:WLE720947 WVA720882:WVA720947 L786418:L786483 IO786418:IO786483 SK786418:SK786483 ACG786418:ACG786483 AMC786418:AMC786483 AVY786418:AVY786483 BFU786418:BFU786483 BPQ786418:BPQ786483 BZM786418:BZM786483 CJI786418:CJI786483 CTE786418:CTE786483 DDA786418:DDA786483 DMW786418:DMW786483 DWS786418:DWS786483 EGO786418:EGO786483 EQK786418:EQK786483 FAG786418:FAG786483 FKC786418:FKC786483 FTY786418:FTY786483 GDU786418:GDU786483 GNQ786418:GNQ786483 GXM786418:GXM786483 HHI786418:HHI786483 HRE786418:HRE786483 IBA786418:IBA786483 IKW786418:IKW786483 IUS786418:IUS786483 JEO786418:JEO786483 JOK786418:JOK786483 JYG786418:JYG786483 KIC786418:KIC786483 KRY786418:KRY786483 LBU786418:LBU786483 LLQ786418:LLQ786483 LVM786418:LVM786483 MFI786418:MFI786483 MPE786418:MPE786483 MZA786418:MZA786483 NIW786418:NIW786483 NSS786418:NSS786483 OCO786418:OCO786483 OMK786418:OMK786483 OWG786418:OWG786483 PGC786418:PGC786483 PPY786418:PPY786483 PZU786418:PZU786483 QJQ786418:QJQ786483 QTM786418:QTM786483 RDI786418:RDI786483 RNE786418:RNE786483 RXA786418:RXA786483 SGW786418:SGW786483 SQS786418:SQS786483 TAO786418:TAO786483 TKK786418:TKK786483 TUG786418:TUG786483 UEC786418:UEC786483 UNY786418:UNY786483 UXU786418:UXU786483 VHQ786418:VHQ786483 VRM786418:VRM786483 WBI786418:WBI786483 WLE786418:WLE786483 WVA786418:WVA786483 L851954:L852019 IO851954:IO852019 SK851954:SK852019 ACG851954:ACG852019 AMC851954:AMC852019 AVY851954:AVY852019 BFU851954:BFU852019 BPQ851954:BPQ852019 BZM851954:BZM852019 CJI851954:CJI852019 CTE851954:CTE852019 DDA851954:DDA852019 DMW851954:DMW852019 DWS851954:DWS852019 EGO851954:EGO852019 EQK851954:EQK852019 FAG851954:FAG852019 FKC851954:FKC852019 FTY851954:FTY852019 GDU851954:GDU852019 GNQ851954:GNQ852019 GXM851954:GXM852019 HHI851954:HHI852019 HRE851954:HRE852019 IBA851954:IBA852019 IKW851954:IKW852019 IUS851954:IUS852019 JEO851954:JEO852019 JOK851954:JOK852019 JYG851954:JYG852019 KIC851954:KIC852019 KRY851954:KRY852019 LBU851954:LBU852019 LLQ851954:LLQ852019 LVM851954:LVM852019 MFI851954:MFI852019 MPE851954:MPE852019 MZA851954:MZA852019 NIW851954:NIW852019 NSS851954:NSS852019 OCO851954:OCO852019 OMK851954:OMK852019 OWG851954:OWG852019 PGC851954:PGC852019 PPY851954:PPY852019 PZU851954:PZU852019 QJQ851954:QJQ852019 QTM851954:QTM852019 RDI851954:RDI852019 RNE851954:RNE852019 RXA851954:RXA852019 SGW851954:SGW852019 SQS851954:SQS852019 TAO851954:TAO852019 TKK851954:TKK852019 TUG851954:TUG852019 UEC851954:UEC852019 UNY851954:UNY852019 UXU851954:UXU852019 VHQ851954:VHQ852019 VRM851954:VRM852019 WBI851954:WBI852019 WLE851954:WLE852019 WVA851954:WVA852019 L917490:L917555 IO917490:IO917555 SK917490:SK917555 ACG917490:ACG917555 AMC917490:AMC917555 AVY917490:AVY917555 BFU917490:BFU917555 BPQ917490:BPQ917555 BZM917490:BZM917555 CJI917490:CJI917555 CTE917490:CTE917555 DDA917490:DDA917555 DMW917490:DMW917555 DWS917490:DWS917555 EGO917490:EGO917555 EQK917490:EQK917555 FAG917490:FAG917555 FKC917490:FKC917555 FTY917490:FTY917555 GDU917490:GDU917555 GNQ917490:GNQ917555 GXM917490:GXM917555 HHI917490:HHI917555 HRE917490:HRE917555 IBA917490:IBA917555 IKW917490:IKW917555 IUS917490:IUS917555 JEO917490:JEO917555 JOK917490:JOK917555 JYG917490:JYG917555 KIC917490:KIC917555 KRY917490:KRY917555 LBU917490:LBU917555 LLQ917490:LLQ917555 LVM917490:LVM917555 MFI917490:MFI917555 MPE917490:MPE917555 MZA917490:MZA917555 NIW917490:NIW917555 NSS917490:NSS917555 OCO917490:OCO917555 OMK917490:OMK917555 OWG917490:OWG917555 PGC917490:PGC917555 PPY917490:PPY917555 PZU917490:PZU917555 QJQ917490:QJQ917555 QTM917490:QTM917555 RDI917490:RDI917555 RNE917490:RNE917555 RXA917490:RXA917555 SGW917490:SGW917555 SQS917490:SQS917555 TAO917490:TAO917555 TKK917490:TKK917555 TUG917490:TUG917555 UEC917490:UEC917555 UNY917490:UNY917555 UXU917490:UXU917555 VHQ917490:VHQ917555 VRM917490:VRM917555 WBI917490:WBI917555 WLE917490:WLE917555 WVA917490:WVA917555 L983026:L983091 IO983026:IO983091 SK983026:SK983091 ACG983026:ACG983091 AMC983026:AMC983091 AVY983026:AVY983091 BFU983026:BFU983091 BPQ983026:BPQ983091 BZM983026:BZM983091 CJI983026:CJI983091 CTE983026:CTE983091 DDA983026:DDA983091 DMW983026:DMW983091 DWS983026:DWS983091 EGO983026:EGO983091 EQK983026:EQK983091 FAG983026:FAG983091 FKC983026:FKC983091 FTY983026:FTY983091 GDU983026:GDU983091 GNQ983026:GNQ983091 GXM983026:GXM983091 HHI983026:HHI983091 HRE983026:HRE983091 IBA983026:IBA983091 IKW983026:IKW983091 IUS983026:IUS983091 JEO983026:JEO983091 JOK983026:JOK983091 JYG983026:JYG983091 KIC983026:KIC983091 KRY983026:KRY983091 LBU983026:LBU983091 LLQ983026:LLQ983091 LVM983026:LVM983091 MFI983026:MFI983091 MPE983026:MPE983091 MZA983026:MZA983091 NIW983026:NIW983091 NSS983026:NSS983091 OCO983026:OCO983091 OMK983026:OMK983091 OWG983026:OWG983091 PGC983026:PGC983091 PPY983026:PPY983091 PZU983026:PZU983091 QJQ983026:QJQ983091 QTM983026:QTM983091 RDI983026:RDI983091 RNE983026:RNE983091 RXA983026:RXA983091 SGW983026:SGW983091 SQS983026:SQS983091 TAO983026:TAO983091 TKK983026:TKK983091 TUG983026:TUG983091 UEC983026:UEC983091 UNY983026:UNY983091 UXU983026:UXU983091 VHQ983026:VHQ983091 VRM983026:VRM983091 WBI983026:WBI983091 WLE983026:WLE983091 L8:L81"/>
    <dataValidation type="decimal" allowBlank="1" showInputMessage="1" showErrorMessage="1" error="bitte eine gültige Zahl eingeben !!" sqref="ID9:ID54 RZ9:RZ54 ABV9:ABV54 ALR9:ALR54 AVN9:AVN54 BFJ9:BFJ54 BPF9:BPF54 BZB9:BZB54 CIX9:CIX54 CST9:CST54 DCP9:DCP54 DML9:DML54 DWH9:DWH54 EGD9:EGD54 EPZ9:EPZ54 EZV9:EZV54 FJR9:FJR54 FTN9:FTN54 GDJ9:GDJ54 GNF9:GNF54 GXB9:GXB54 HGX9:HGX54 HQT9:HQT54 IAP9:IAP54 IKL9:IKL54 IUH9:IUH54 JED9:JED54 JNZ9:JNZ54 JXV9:JXV54 KHR9:KHR54 KRN9:KRN54 LBJ9:LBJ54 LLF9:LLF54 LVB9:LVB54 MEX9:MEX54 MOT9:MOT54 MYP9:MYP54 NIL9:NIL54 NSH9:NSH54 OCD9:OCD54 OLZ9:OLZ54 OVV9:OVV54 PFR9:PFR54 PPN9:PPN54 PZJ9:PZJ54 QJF9:QJF54 QTB9:QTB54 RCX9:RCX54 RMT9:RMT54 RWP9:RWP54 SGL9:SGL54 SQH9:SQH54 TAD9:TAD54 TJZ9:TJZ54 TTV9:TTV54 UDR9:UDR54 UNN9:UNN54 UXJ9:UXJ54 VHF9:VHF54 VRB9:VRB54 WAX9:WAX54 WKT9:WKT54 WUP9:WUP54 ID65523:ID65568 RZ65523:RZ65568 ABV65523:ABV65568 ALR65523:ALR65568 AVN65523:AVN65568 BFJ65523:BFJ65568 BPF65523:BPF65568 BZB65523:BZB65568 CIX65523:CIX65568 CST65523:CST65568 DCP65523:DCP65568 DML65523:DML65568 DWH65523:DWH65568 EGD65523:EGD65568 EPZ65523:EPZ65568 EZV65523:EZV65568 FJR65523:FJR65568 FTN65523:FTN65568 GDJ65523:GDJ65568 GNF65523:GNF65568 GXB65523:GXB65568 HGX65523:HGX65568 HQT65523:HQT65568 IAP65523:IAP65568 IKL65523:IKL65568 IUH65523:IUH65568 JED65523:JED65568 JNZ65523:JNZ65568 JXV65523:JXV65568 KHR65523:KHR65568 KRN65523:KRN65568 LBJ65523:LBJ65568 LLF65523:LLF65568 LVB65523:LVB65568 MEX65523:MEX65568 MOT65523:MOT65568 MYP65523:MYP65568 NIL65523:NIL65568 NSH65523:NSH65568 OCD65523:OCD65568 OLZ65523:OLZ65568 OVV65523:OVV65568 PFR65523:PFR65568 PPN65523:PPN65568 PZJ65523:PZJ65568 QJF65523:QJF65568 QTB65523:QTB65568 RCX65523:RCX65568 RMT65523:RMT65568 RWP65523:RWP65568 SGL65523:SGL65568 SQH65523:SQH65568 TAD65523:TAD65568 TJZ65523:TJZ65568 TTV65523:TTV65568 UDR65523:UDR65568 UNN65523:UNN65568 UXJ65523:UXJ65568 VHF65523:VHF65568 VRB65523:VRB65568 WAX65523:WAX65568 WKT65523:WKT65568 WUP65523:WUP65568 ID131059:ID131104 RZ131059:RZ131104 ABV131059:ABV131104 ALR131059:ALR131104 AVN131059:AVN131104 BFJ131059:BFJ131104 BPF131059:BPF131104 BZB131059:BZB131104 CIX131059:CIX131104 CST131059:CST131104 DCP131059:DCP131104 DML131059:DML131104 DWH131059:DWH131104 EGD131059:EGD131104 EPZ131059:EPZ131104 EZV131059:EZV131104 FJR131059:FJR131104 FTN131059:FTN131104 GDJ131059:GDJ131104 GNF131059:GNF131104 GXB131059:GXB131104 HGX131059:HGX131104 HQT131059:HQT131104 IAP131059:IAP131104 IKL131059:IKL131104 IUH131059:IUH131104 JED131059:JED131104 JNZ131059:JNZ131104 JXV131059:JXV131104 KHR131059:KHR131104 KRN131059:KRN131104 LBJ131059:LBJ131104 LLF131059:LLF131104 LVB131059:LVB131104 MEX131059:MEX131104 MOT131059:MOT131104 MYP131059:MYP131104 NIL131059:NIL131104 NSH131059:NSH131104 OCD131059:OCD131104 OLZ131059:OLZ131104 OVV131059:OVV131104 PFR131059:PFR131104 PPN131059:PPN131104 PZJ131059:PZJ131104 QJF131059:QJF131104 QTB131059:QTB131104 RCX131059:RCX131104 RMT131059:RMT131104 RWP131059:RWP131104 SGL131059:SGL131104 SQH131059:SQH131104 TAD131059:TAD131104 TJZ131059:TJZ131104 TTV131059:TTV131104 UDR131059:UDR131104 UNN131059:UNN131104 UXJ131059:UXJ131104 VHF131059:VHF131104 VRB131059:VRB131104 WAX131059:WAX131104 WKT131059:WKT131104 WUP131059:WUP131104 ID196595:ID196640 RZ196595:RZ196640 ABV196595:ABV196640 ALR196595:ALR196640 AVN196595:AVN196640 BFJ196595:BFJ196640 BPF196595:BPF196640 BZB196595:BZB196640 CIX196595:CIX196640 CST196595:CST196640 DCP196595:DCP196640 DML196595:DML196640 DWH196595:DWH196640 EGD196595:EGD196640 EPZ196595:EPZ196640 EZV196595:EZV196640 FJR196595:FJR196640 FTN196595:FTN196640 GDJ196595:GDJ196640 GNF196595:GNF196640 GXB196595:GXB196640 HGX196595:HGX196640 HQT196595:HQT196640 IAP196595:IAP196640 IKL196595:IKL196640 IUH196595:IUH196640 JED196595:JED196640 JNZ196595:JNZ196640 JXV196595:JXV196640 KHR196595:KHR196640 KRN196595:KRN196640 LBJ196595:LBJ196640 LLF196595:LLF196640 LVB196595:LVB196640 MEX196595:MEX196640 MOT196595:MOT196640 MYP196595:MYP196640 NIL196595:NIL196640 NSH196595:NSH196640 OCD196595:OCD196640 OLZ196595:OLZ196640 OVV196595:OVV196640 PFR196595:PFR196640 PPN196595:PPN196640 PZJ196595:PZJ196640 QJF196595:QJF196640 QTB196595:QTB196640 RCX196595:RCX196640 RMT196595:RMT196640 RWP196595:RWP196640 SGL196595:SGL196640 SQH196595:SQH196640 TAD196595:TAD196640 TJZ196595:TJZ196640 TTV196595:TTV196640 UDR196595:UDR196640 UNN196595:UNN196640 UXJ196595:UXJ196640 VHF196595:VHF196640 VRB196595:VRB196640 WAX196595:WAX196640 WKT196595:WKT196640 WUP196595:WUP196640 ID262131:ID262176 RZ262131:RZ262176 ABV262131:ABV262176 ALR262131:ALR262176 AVN262131:AVN262176 BFJ262131:BFJ262176 BPF262131:BPF262176 BZB262131:BZB262176 CIX262131:CIX262176 CST262131:CST262176 DCP262131:DCP262176 DML262131:DML262176 DWH262131:DWH262176 EGD262131:EGD262176 EPZ262131:EPZ262176 EZV262131:EZV262176 FJR262131:FJR262176 FTN262131:FTN262176 GDJ262131:GDJ262176 GNF262131:GNF262176 GXB262131:GXB262176 HGX262131:HGX262176 HQT262131:HQT262176 IAP262131:IAP262176 IKL262131:IKL262176 IUH262131:IUH262176 JED262131:JED262176 JNZ262131:JNZ262176 JXV262131:JXV262176 KHR262131:KHR262176 KRN262131:KRN262176 LBJ262131:LBJ262176 LLF262131:LLF262176 LVB262131:LVB262176 MEX262131:MEX262176 MOT262131:MOT262176 MYP262131:MYP262176 NIL262131:NIL262176 NSH262131:NSH262176 OCD262131:OCD262176 OLZ262131:OLZ262176 OVV262131:OVV262176 PFR262131:PFR262176 PPN262131:PPN262176 PZJ262131:PZJ262176 QJF262131:QJF262176 QTB262131:QTB262176 RCX262131:RCX262176 RMT262131:RMT262176 RWP262131:RWP262176 SGL262131:SGL262176 SQH262131:SQH262176 TAD262131:TAD262176 TJZ262131:TJZ262176 TTV262131:TTV262176 UDR262131:UDR262176 UNN262131:UNN262176 UXJ262131:UXJ262176 VHF262131:VHF262176 VRB262131:VRB262176 WAX262131:WAX262176 WKT262131:WKT262176 WUP262131:WUP262176 ID327667:ID327712 RZ327667:RZ327712 ABV327667:ABV327712 ALR327667:ALR327712 AVN327667:AVN327712 BFJ327667:BFJ327712 BPF327667:BPF327712 BZB327667:BZB327712 CIX327667:CIX327712 CST327667:CST327712 DCP327667:DCP327712 DML327667:DML327712 DWH327667:DWH327712 EGD327667:EGD327712 EPZ327667:EPZ327712 EZV327667:EZV327712 FJR327667:FJR327712 FTN327667:FTN327712 GDJ327667:GDJ327712 GNF327667:GNF327712 GXB327667:GXB327712 HGX327667:HGX327712 HQT327667:HQT327712 IAP327667:IAP327712 IKL327667:IKL327712 IUH327667:IUH327712 JED327667:JED327712 JNZ327667:JNZ327712 JXV327667:JXV327712 KHR327667:KHR327712 KRN327667:KRN327712 LBJ327667:LBJ327712 LLF327667:LLF327712 LVB327667:LVB327712 MEX327667:MEX327712 MOT327667:MOT327712 MYP327667:MYP327712 NIL327667:NIL327712 NSH327667:NSH327712 OCD327667:OCD327712 OLZ327667:OLZ327712 OVV327667:OVV327712 PFR327667:PFR327712 PPN327667:PPN327712 PZJ327667:PZJ327712 QJF327667:QJF327712 QTB327667:QTB327712 RCX327667:RCX327712 RMT327667:RMT327712 RWP327667:RWP327712 SGL327667:SGL327712 SQH327667:SQH327712 TAD327667:TAD327712 TJZ327667:TJZ327712 TTV327667:TTV327712 UDR327667:UDR327712 UNN327667:UNN327712 UXJ327667:UXJ327712 VHF327667:VHF327712 VRB327667:VRB327712 WAX327667:WAX327712 WKT327667:WKT327712 WUP327667:WUP327712 ID393203:ID393248 RZ393203:RZ393248 ABV393203:ABV393248 ALR393203:ALR393248 AVN393203:AVN393248 BFJ393203:BFJ393248 BPF393203:BPF393248 BZB393203:BZB393248 CIX393203:CIX393248 CST393203:CST393248 DCP393203:DCP393248 DML393203:DML393248 DWH393203:DWH393248 EGD393203:EGD393248 EPZ393203:EPZ393248 EZV393203:EZV393248 FJR393203:FJR393248 FTN393203:FTN393248 GDJ393203:GDJ393248 GNF393203:GNF393248 GXB393203:GXB393248 HGX393203:HGX393248 HQT393203:HQT393248 IAP393203:IAP393248 IKL393203:IKL393248 IUH393203:IUH393248 JED393203:JED393248 JNZ393203:JNZ393248 JXV393203:JXV393248 KHR393203:KHR393248 KRN393203:KRN393248 LBJ393203:LBJ393248 LLF393203:LLF393248 LVB393203:LVB393248 MEX393203:MEX393248 MOT393203:MOT393248 MYP393203:MYP393248 NIL393203:NIL393248 NSH393203:NSH393248 OCD393203:OCD393248 OLZ393203:OLZ393248 OVV393203:OVV393248 PFR393203:PFR393248 PPN393203:PPN393248 PZJ393203:PZJ393248 QJF393203:QJF393248 QTB393203:QTB393248 RCX393203:RCX393248 RMT393203:RMT393248 RWP393203:RWP393248 SGL393203:SGL393248 SQH393203:SQH393248 TAD393203:TAD393248 TJZ393203:TJZ393248 TTV393203:TTV393248 UDR393203:UDR393248 UNN393203:UNN393248 UXJ393203:UXJ393248 VHF393203:VHF393248 VRB393203:VRB393248 WAX393203:WAX393248 WKT393203:WKT393248 WUP393203:WUP393248 ID458739:ID458784 RZ458739:RZ458784 ABV458739:ABV458784 ALR458739:ALR458784 AVN458739:AVN458784 BFJ458739:BFJ458784 BPF458739:BPF458784 BZB458739:BZB458784 CIX458739:CIX458784 CST458739:CST458784 DCP458739:DCP458784 DML458739:DML458784 DWH458739:DWH458784 EGD458739:EGD458784 EPZ458739:EPZ458784 EZV458739:EZV458784 FJR458739:FJR458784 FTN458739:FTN458784 GDJ458739:GDJ458784 GNF458739:GNF458784 GXB458739:GXB458784 HGX458739:HGX458784 HQT458739:HQT458784 IAP458739:IAP458784 IKL458739:IKL458784 IUH458739:IUH458784 JED458739:JED458784 JNZ458739:JNZ458784 JXV458739:JXV458784 KHR458739:KHR458784 KRN458739:KRN458784 LBJ458739:LBJ458784 LLF458739:LLF458784 LVB458739:LVB458784 MEX458739:MEX458784 MOT458739:MOT458784 MYP458739:MYP458784 NIL458739:NIL458784 NSH458739:NSH458784 OCD458739:OCD458784 OLZ458739:OLZ458784 OVV458739:OVV458784 PFR458739:PFR458784 PPN458739:PPN458784 PZJ458739:PZJ458784 QJF458739:QJF458784 QTB458739:QTB458784 RCX458739:RCX458784 RMT458739:RMT458784 RWP458739:RWP458784 SGL458739:SGL458784 SQH458739:SQH458784 TAD458739:TAD458784 TJZ458739:TJZ458784 TTV458739:TTV458784 UDR458739:UDR458784 UNN458739:UNN458784 UXJ458739:UXJ458784 VHF458739:VHF458784 VRB458739:VRB458784 WAX458739:WAX458784 WKT458739:WKT458784 WUP458739:WUP458784 ID524275:ID524320 RZ524275:RZ524320 ABV524275:ABV524320 ALR524275:ALR524320 AVN524275:AVN524320 BFJ524275:BFJ524320 BPF524275:BPF524320 BZB524275:BZB524320 CIX524275:CIX524320 CST524275:CST524320 DCP524275:DCP524320 DML524275:DML524320 DWH524275:DWH524320 EGD524275:EGD524320 EPZ524275:EPZ524320 EZV524275:EZV524320 FJR524275:FJR524320 FTN524275:FTN524320 GDJ524275:GDJ524320 GNF524275:GNF524320 GXB524275:GXB524320 HGX524275:HGX524320 HQT524275:HQT524320 IAP524275:IAP524320 IKL524275:IKL524320 IUH524275:IUH524320 JED524275:JED524320 JNZ524275:JNZ524320 JXV524275:JXV524320 KHR524275:KHR524320 KRN524275:KRN524320 LBJ524275:LBJ524320 LLF524275:LLF524320 LVB524275:LVB524320 MEX524275:MEX524320 MOT524275:MOT524320 MYP524275:MYP524320 NIL524275:NIL524320 NSH524275:NSH524320 OCD524275:OCD524320 OLZ524275:OLZ524320 OVV524275:OVV524320 PFR524275:PFR524320 PPN524275:PPN524320 PZJ524275:PZJ524320 QJF524275:QJF524320 QTB524275:QTB524320 RCX524275:RCX524320 RMT524275:RMT524320 RWP524275:RWP524320 SGL524275:SGL524320 SQH524275:SQH524320 TAD524275:TAD524320 TJZ524275:TJZ524320 TTV524275:TTV524320 UDR524275:UDR524320 UNN524275:UNN524320 UXJ524275:UXJ524320 VHF524275:VHF524320 VRB524275:VRB524320 WAX524275:WAX524320 WKT524275:WKT524320 WUP524275:WUP524320 ID589811:ID589856 RZ589811:RZ589856 ABV589811:ABV589856 ALR589811:ALR589856 AVN589811:AVN589856 BFJ589811:BFJ589856 BPF589811:BPF589856 BZB589811:BZB589856 CIX589811:CIX589856 CST589811:CST589856 DCP589811:DCP589856 DML589811:DML589856 DWH589811:DWH589856 EGD589811:EGD589856 EPZ589811:EPZ589856 EZV589811:EZV589856 FJR589811:FJR589856 FTN589811:FTN589856 GDJ589811:GDJ589856 GNF589811:GNF589856 GXB589811:GXB589856 HGX589811:HGX589856 HQT589811:HQT589856 IAP589811:IAP589856 IKL589811:IKL589856 IUH589811:IUH589856 JED589811:JED589856 JNZ589811:JNZ589856 JXV589811:JXV589856 KHR589811:KHR589856 KRN589811:KRN589856 LBJ589811:LBJ589856 LLF589811:LLF589856 LVB589811:LVB589856 MEX589811:MEX589856 MOT589811:MOT589856 MYP589811:MYP589856 NIL589811:NIL589856 NSH589811:NSH589856 OCD589811:OCD589856 OLZ589811:OLZ589856 OVV589811:OVV589856 PFR589811:PFR589856 PPN589811:PPN589856 PZJ589811:PZJ589856 QJF589811:QJF589856 QTB589811:QTB589856 RCX589811:RCX589856 RMT589811:RMT589856 RWP589811:RWP589856 SGL589811:SGL589856 SQH589811:SQH589856 TAD589811:TAD589856 TJZ589811:TJZ589856 TTV589811:TTV589856 UDR589811:UDR589856 UNN589811:UNN589856 UXJ589811:UXJ589856 VHF589811:VHF589856 VRB589811:VRB589856 WAX589811:WAX589856 WKT589811:WKT589856 WUP589811:WUP589856 ID655347:ID655392 RZ655347:RZ655392 ABV655347:ABV655392 ALR655347:ALR655392 AVN655347:AVN655392 BFJ655347:BFJ655392 BPF655347:BPF655392 BZB655347:BZB655392 CIX655347:CIX655392 CST655347:CST655392 DCP655347:DCP655392 DML655347:DML655392 DWH655347:DWH655392 EGD655347:EGD655392 EPZ655347:EPZ655392 EZV655347:EZV655392 FJR655347:FJR655392 FTN655347:FTN655392 GDJ655347:GDJ655392 GNF655347:GNF655392 GXB655347:GXB655392 HGX655347:HGX655392 HQT655347:HQT655392 IAP655347:IAP655392 IKL655347:IKL655392 IUH655347:IUH655392 JED655347:JED655392 JNZ655347:JNZ655392 JXV655347:JXV655392 KHR655347:KHR655392 KRN655347:KRN655392 LBJ655347:LBJ655392 LLF655347:LLF655392 LVB655347:LVB655392 MEX655347:MEX655392 MOT655347:MOT655392 MYP655347:MYP655392 NIL655347:NIL655392 NSH655347:NSH655392 OCD655347:OCD655392 OLZ655347:OLZ655392 OVV655347:OVV655392 PFR655347:PFR655392 PPN655347:PPN655392 PZJ655347:PZJ655392 QJF655347:QJF655392 QTB655347:QTB655392 RCX655347:RCX655392 RMT655347:RMT655392 RWP655347:RWP655392 SGL655347:SGL655392 SQH655347:SQH655392 TAD655347:TAD655392 TJZ655347:TJZ655392 TTV655347:TTV655392 UDR655347:UDR655392 UNN655347:UNN655392 UXJ655347:UXJ655392 VHF655347:VHF655392 VRB655347:VRB655392 WAX655347:WAX655392 WKT655347:WKT655392 WUP655347:WUP655392 ID720883:ID720928 RZ720883:RZ720928 ABV720883:ABV720928 ALR720883:ALR720928 AVN720883:AVN720928 BFJ720883:BFJ720928 BPF720883:BPF720928 BZB720883:BZB720928 CIX720883:CIX720928 CST720883:CST720928 DCP720883:DCP720928 DML720883:DML720928 DWH720883:DWH720928 EGD720883:EGD720928 EPZ720883:EPZ720928 EZV720883:EZV720928 FJR720883:FJR720928 FTN720883:FTN720928 GDJ720883:GDJ720928 GNF720883:GNF720928 GXB720883:GXB720928 HGX720883:HGX720928 HQT720883:HQT720928 IAP720883:IAP720928 IKL720883:IKL720928 IUH720883:IUH720928 JED720883:JED720928 JNZ720883:JNZ720928 JXV720883:JXV720928 KHR720883:KHR720928 KRN720883:KRN720928 LBJ720883:LBJ720928 LLF720883:LLF720928 LVB720883:LVB720928 MEX720883:MEX720928 MOT720883:MOT720928 MYP720883:MYP720928 NIL720883:NIL720928 NSH720883:NSH720928 OCD720883:OCD720928 OLZ720883:OLZ720928 OVV720883:OVV720928 PFR720883:PFR720928 PPN720883:PPN720928 PZJ720883:PZJ720928 QJF720883:QJF720928 QTB720883:QTB720928 RCX720883:RCX720928 RMT720883:RMT720928 RWP720883:RWP720928 SGL720883:SGL720928 SQH720883:SQH720928 TAD720883:TAD720928 TJZ720883:TJZ720928 TTV720883:TTV720928 UDR720883:UDR720928 UNN720883:UNN720928 UXJ720883:UXJ720928 VHF720883:VHF720928 VRB720883:VRB720928 WAX720883:WAX720928 WKT720883:WKT720928 WUP720883:WUP720928 ID786419:ID786464 RZ786419:RZ786464 ABV786419:ABV786464 ALR786419:ALR786464 AVN786419:AVN786464 BFJ786419:BFJ786464 BPF786419:BPF786464 BZB786419:BZB786464 CIX786419:CIX786464 CST786419:CST786464 DCP786419:DCP786464 DML786419:DML786464 DWH786419:DWH786464 EGD786419:EGD786464 EPZ786419:EPZ786464 EZV786419:EZV786464 FJR786419:FJR786464 FTN786419:FTN786464 GDJ786419:GDJ786464 GNF786419:GNF786464 GXB786419:GXB786464 HGX786419:HGX786464 HQT786419:HQT786464 IAP786419:IAP786464 IKL786419:IKL786464 IUH786419:IUH786464 JED786419:JED786464 JNZ786419:JNZ786464 JXV786419:JXV786464 KHR786419:KHR786464 KRN786419:KRN786464 LBJ786419:LBJ786464 LLF786419:LLF786464 LVB786419:LVB786464 MEX786419:MEX786464 MOT786419:MOT786464 MYP786419:MYP786464 NIL786419:NIL786464 NSH786419:NSH786464 OCD786419:OCD786464 OLZ786419:OLZ786464 OVV786419:OVV786464 PFR786419:PFR786464 PPN786419:PPN786464 PZJ786419:PZJ786464 QJF786419:QJF786464 QTB786419:QTB786464 RCX786419:RCX786464 RMT786419:RMT786464 RWP786419:RWP786464 SGL786419:SGL786464 SQH786419:SQH786464 TAD786419:TAD786464 TJZ786419:TJZ786464 TTV786419:TTV786464 UDR786419:UDR786464 UNN786419:UNN786464 UXJ786419:UXJ786464 VHF786419:VHF786464 VRB786419:VRB786464 WAX786419:WAX786464 WKT786419:WKT786464 WUP786419:WUP786464 ID851955:ID852000 RZ851955:RZ852000 ABV851955:ABV852000 ALR851955:ALR852000 AVN851955:AVN852000 BFJ851955:BFJ852000 BPF851955:BPF852000 BZB851955:BZB852000 CIX851955:CIX852000 CST851955:CST852000 DCP851955:DCP852000 DML851955:DML852000 DWH851955:DWH852000 EGD851955:EGD852000 EPZ851955:EPZ852000 EZV851955:EZV852000 FJR851955:FJR852000 FTN851955:FTN852000 GDJ851955:GDJ852000 GNF851955:GNF852000 GXB851955:GXB852000 HGX851955:HGX852000 HQT851955:HQT852000 IAP851955:IAP852000 IKL851955:IKL852000 IUH851955:IUH852000 JED851955:JED852000 JNZ851955:JNZ852000 JXV851955:JXV852000 KHR851955:KHR852000 KRN851955:KRN852000 LBJ851955:LBJ852000 LLF851955:LLF852000 LVB851955:LVB852000 MEX851955:MEX852000 MOT851955:MOT852000 MYP851955:MYP852000 NIL851955:NIL852000 NSH851955:NSH852000 OCD851955:OCD852000 OLZ851955:OLZ852000 OVV851955:OVV852000 PFR851955:PFR852000 PPN851955:PPN852000 PZJ851955:PZJ852000 QJF851955:QJF852000 QTB851955:QTB852000 RCX851955:RCX852000 RMT851955:RMT852000 RWP851955:RWP852000 SGL851955:SGL852000 SQH851955:SQH852000 TAD851955:TAD852000 TJZ851955:TJZ852000 TTV851955:TTV852000 UDR851955:UDR852000 UNN851955:UNN852000 UXJ851955:UXJ852000 VHF851955:VHF852000 VRB851955:VRB852000 WAX851955:WAX852000 WKT851955:WKT852000 WUP851955:WUP852000 ID917491:ID917536 RZ917491:RZ917536 ABV917491:ABV917536 ALR917491:ALR917536 AVN917491:AVN917536 BFJ917491:BFJ917536 BPF917491:BPF917536 BZB917491:BZB917536 CIX917491:CIX917536 CST917491:CST917536 DCP917491:DCP917536 DML917491:DML917536 DWH917491:DWH917536 EGD917491:EGD917536 EPZ917491:EPZ917536 EZV917491:EZV917536 FJR917491:FJR917536 FTN917491:FTN917536 GDJ917491:GDJ917536 GNF917491:GNF917536 GXB917491:GXB917536 HGX917491:HGX917536 HQT917491:HQT917536 IAP917491:IAP917536 IKL917491:IKL917536 IUH917491:IUH917536 JED917491:JED917536 JNZ917491:JNZ917536 JXV917491:JXV917536 KHR917491:KHR917536 KRN917491:KRN917536 LBJ917491:LBJ917536 LLF917491:LLF917536 LVB917491:LVB917536 MEX917491:MEX917536 MOT917491:MOT917536 MYP917491:MYP917536 NIL917491:NIL917536 NSH917491:NSH917536 OCD917491:OCD917536 OLZ917491:OLZ917536 OVV917491:OVV917536 PFR917491:PFR917536 PPN917491:PPN917536 PZJ917491:PZJ917536 QJF917491:QJF917536 QTB917491:QTB917536 RCX917491:RCX917536 RMT917491:RMT917536 RWP917491:RWP917536 SGL917491:SGL917536 SQH917491:SQH917536 TAD917491:TAD917536 TJZ917491:TJZ917536 TTV917491:TTV917536 UDR917491:UDR917536 UNN917491:UNN917536 UXJ917491:UXJ917536 VHF917491:VHF917536 VRB917491:VRB917536 WAX917491:WAX917536 WKT917491:WKT917536 WUP917491:WUP917536 ID983027:ID983072 RZ983027:RZ983072 ABV983027:ABV983072 ALR983027:ALR983072 AVN983027:AVN983072 BFJ983027:BFJ983072 BPF983027:BPF983072 BZB983027:BZB983072 CIX983027:CIX983072 CST983027:CST983072 DCP983027:DCP983072 DML983027:DML983072 DWH983027:DWH983072 EGD983027:EGD983072 EPZ983027:EPZ983072 EZV983027:EZV983072 FJR983027:FJR983072 FTN983027:FTN983072 GDJ983027:GDJ983072 GNF983027:GNF983072 GXB983027:GXB983072 HGX983027:HGX983072 HQT983027:HQT983072 IAP983027:IAP983072 IKL983027:IKL983072 IUH983027:IUH983072 JED983027:JED983072 JNZ983027:JNZ983072 JXV983027:JXV983072 KHR983027:KHR983072 KRN983027:KRN983072 LBJ983027:LBJ983072 LLF983027:LLF983072 LVB983027:LVB983072 MEX983027:MEX983072 MOT983027:MOT983072 MYP983027:MYP983072 NIL983027:NIL983072 NSH983027:NSH983072 OCD983027:OCD983072 OLZ983027:OLZ983072 OVV983027:OVV983072 PFR983027:PFR983072 PPN983027:PPN983072 PZJ983027:PZJ983072 QJF983027:QJF983072 QTB983027:QTB983072 RCX983027:RCX983072 RMT983027:RMT983072 RWP983027:RWP983072 SGL983027:SGL983072 SQH983027:SQH983072 TAD983027:TAD983072 TJZ983027:TJZ983072 TTV983027:TTV983072 UDR983027:UDR983072 UNN983027:UNN983072 UXJ983027:UXJ983072 VHF983027:VHF983072 VRB983027:VRB983072 WAX983027:WAX983072 WKT983027:WKT983072 WUP983027:WUP983072">
      <formula1>0</formula1>
      <formula2>2</formula2>
    </dataValidation>
    <dataValidation type="decimal" allowBlank="1" showInputMessage="1" showErrorMessage="1" error="bitte eine gültige Zahl eingeben !!" sqref="ID55:ID80 RZ55:RZ80 ABV55:ABV80 ALR55:ALR80 AVN55:AVN80 BFJ55:BFJ80 BPF55:BPF80 BZB55:BZB80 CIX55:CIX80 CST55:CST80 DCP55:DCP80 DML55:DML80 DWH55:DWH80 EGD55:EGD80 EPZ55:EPZ80 EZV55:EZV80 FJR55:FJR80 FTN55:FTN80 GDJ55:GDJ80 GNF55:GNF80 GXB55:GXB80 HGX55:HGX80 HQT55:HQT80 IAP55:IAP80 IKL55:IKL80 IUH55:IUH80 JED55:JED80 JNZ55:JNZ80 JXV55:JXV80 KHR55:KHR80 KRN55:KRN80 LBJ55:LBJ80 LLF55:LLF80 LVB55:LVB80 MEX55:MEX80 MOT55:MOT80 MYP55:MYP80 NIL55:NIL80 NSH55:NSH80 OCD55:OCD80 OLZ55:OLZ80 OVV55:OVV80 PFR55:PFR80 PPN55:PPN80 PZJ55:PZJ80 QJF55:QJF80 QTB55:QTB80 RCX55:RCX80 RMT55:RMT80 RWP55:RWP80 SGL55:SGL80 SQH55:SQH80 TAD55:TAD80 TJZ55:TJZ80 TTV55:TTV80 UDR55:UDR80 UNN55:UNN80 UXJ55:UXJ80 VHF55:VHF80 VRB55:VRB80 WAX55:WAX80 WKT55:WKT80 WUP55:WUP80 ID65569:ID65586 RZ65569:RZ65586 ABV65569:ABV65586 ALR65569:ALR65586 AVN65569:AVN65586 BFJ65569:BFJ65586 BPF65569:BPF65586 BZB65569:BZB65586 CIX65569:CIX65586 CST65569:CST65586 DCP65569:DCP65586 DML65569:DML65586 DWH65569:DWH65586 EGD65569:EGD65586 EPZ65569:EPZ65586 EZV65569:EZV65586 FJR65569:FJR65586 FTN65569:FTN65586 GDJ65569:GDJ65586 GNF65569:GNF65586 GXB65569:GXB65586 HGX65569:HGX65586 HQT65569:HQT65586 IAP65569:IAP65586 IKL65569:IKL65586 IUH65569:IUH65586 JED65569:JED65586 JNZ65569:JNZ65586 JXV65569:JXV65586 KHR65569:KHR65586 KRN65569:KRN65586 LBJ65569:LBJ65586 LLF65569:LLF65586 LVB65569:LVB65586 MEX65569:MEX65586 MOT65569:MOT65586 MYP65569:MYP65586 NIL65569:NIL65586 NSH65569:NSH65586 OCD65569:OCD65586 OLZ65569:OLZ65586 OVV65569:OVV65586 PFR65569:PFR65586 PPN65569:PPN65586 PZJ65569:PZJ65586 QJF65569:QJF65586 QTB65569:QTB65586 RCX65569:RCX65586 RMT65569:RMT65586 RWP65569:RWP65586 SGL65569:SGL65586 SQH65569:SQH65586 TAD65569:TAD65586 TJZ65569:TJZ65586 TTV65569:TTV65586 UDR65569:UDR65586 UNN65569:UNN65586 UXJ65569:UXJ65586 VHF65569:VHF65586 VRB65569:VRB65586 WAX65569:WAX65586 WKT65569:WKT65586 WUP65569:WUP65586 ID131105:ID131122 RZ131105:RZ131122 ABV131105:ABV131122 ALR131105:ALR131122 AVN131105:AVN131122 BFJ131105:BFJ131122 BPF131105:BPF131122 BZB131105:BZB131122 CIX131105:CIX131122 CST131105:CST131122 DCP131105:DCP131122 DML131105:DML131122 DWH131105:DWH131122 EGD131105:EGD131122 EPZ131105:EPZ131122 EZV131105:EZV131122 FJR131105:FJR131122 FTN131105:FTN131122 GDJ131105:GDJ131122 GNF131105:GNF131122 GXB131105:GXB131122 HGX131105:HGX131122 HQT131105:HQT131122 IAP131105:IAP131122 IKL131105:IKL131122 IUH131105:IUH131122 JED131105:JED131122 JNZ131105:JNZ131122 JXV131105:JXV131122 KHR131105:KHR131122 KRN131105:KRN131122 LBJ131105:LBJ131122 LLF131105:LLF131122 LVB131105:LVB131122 MEX131105:MEX131122 MOT131105:MOT131122 MYP131105:MYP131122 NIL131105:NIL131122 NSH131105:NSH131122 OCD131105:OCD131122 OLZ131105:OLZ131122 OVV131105:OVV131122 PFR131105:PFR131122 PPN131105:PPN131122 PZJ131105:PZJ131122 QJF131105:QJF131122 QTB131105:QTB131122 RCX131105:RCX131122 RMT131105:RMT131122 RWP131105:RWP131122 SGL131105:SGL131122 SQH131105:SQH131122 TAD131105:TAD131122 TJZ131105:TJZ131122 TTV131105:TTV131122 UDR131105:UDR131122 UNN131105:UNN131122 UXJ131105:UXJ131122 VHF131105:VHF131122 VRB131105:VRB131122 WAX131105:WAX131122 WKT131105:WKT131122 WUP131105:WUP131122 ID196641:ID196658 RZ196641:RZ196658 ABV196641:ABV196658 ALR196641:ALR196658 AVN196641:AVN196658 BFJ196641:BFJ196658 BPF196641:BPF196658 BZB196641:BZB196658 CIX196641:CIX196658 CST196641:CST196658 DCP196641:DCP196658 DML196641:DML196658 DWH196641:DWH196658 EGD196641:EGD196658 EPZ196641:EPZ196658 EZV196641:EZV196658 FJR196641:FJR196658 FTN196641:FTN196658 GDJ196641:GDJ196658 GNF196641:GNF196658 GXB196641:GXB196658 HGX196641:HGX196658 HQT196641:HQT196658 IAP196641:IAP196658 IKL196641:IKL196658 IUH196641:IUH196658 JED196641:JED196658 JNZ196641:JNZ196658 JXV196641:JXV196658 KHR196641:KHR196658 KRN196641:KRN196658 LBJ196641:LBJ196658 LLF196641:LLF196658 LVB196641:LVB196658 MEX196641:MEX196658 MOT196641:MOT196658 MYP196641:MYP196658 NIL196641:NIL196658 NSH196641:NSH196658 OCD196641:OCD196658 OLZ196641:OLZ196658 OVV196641:OVV196658 PFR196641:PFR196658 PPN196641:PPN196658 PZJ196641:PZJ196658 QJF196641:QJF196658 QTB196641:QTB196658 RCX196641:RCX196658 RMT196641:RMT196658 RWP196641:RWP196658 SGL196641:SGL196658 SQH196641:SQH196658 TAD196641:TAD196658 TJZ196641:TJZ196658 TTV196641:TTV196658 UDR196641:UDR196658 UNN196641:UNN196658 UXJ196641:UXJ196658 VHF196641:VHF196658 VRB196641:VRB196658 WAX196641:WAX196658 WKT196641:WKT196658 WUP196641:WUP196658 ID262177:ID262194 RZ262177:RZ262194 ABV262177:ABV262194 ALR262177:ALR262194 AVN262177:AVN262194 BFJ262177:BFJ262194 BPF262177:BPF262194 BZB262177:BZB262194 CIX262177:CIX262194 CST262177:CST262194 DCP262177:DCP262194 DML262177:DML262194 DWH262177:DWH262194 EGD262177:EGD262194 EPZ262177:EPZ262194 EZV262177:EZV262194 FJR262177:FJR262194 FTN262177:FTN262194 GDJ262177:GDJ262194 GNF262177:GNF262194 GXB262177:GXB262194 HGX262177:HGX262194 HQT262177:HQT262194 IAP262177:IAP262194 IKL262177:IKL262194 IUH262177:IUH262194 JED262177:JED262194 JNZ262177:JNZ262194 JXV262177:JXV262194 KHR262177:KHR262194 KRN262177:KRN262194 LBJ262177:LBJ262194 LLF262177:LLF262194 LVB262177:LVB262194 MEX262177:MEX262194 MOT262177:MOT262194 MYP262177:MYP262194 NIL262177:NIL262194 NSH262177:NSH262194 OCD262177:OCD262194 OLZ262177:OLZ262194 OVV262177:OVV262194 PFR262177:PFR262194 PPN262177:PPN262194 PZJ262177:PZJ262194 QJF262177:QJF262194 QTB262177:QTB262194 RCX262177:RCX262194 RMT262177:RMT262194 RWP262177:RWP262194 SGL262177:SGL262194 SQH262177:SQH262194 TAD262177:TAD262194 TJZ262177:TJZ262194 TTV262177:TTV262194 UDR262177:UDR262194 UNN262177:UNN262194 UXJ262177:UXJ262194 VHF262177:VHF262194 VRB262177:VRB262194 WAX262177:WAX262194 WKT262177:WKT262194 WUP262177:WUP262194 ID327713:ID327730 RZ327713:RZ327730 ABV327713:ABV327730 ALR327713:ALR327730 AVN327713:AVN327730 BFJ327713:BFJ327730 BPF327713:BPF327730 BZB327713:BZB327730 CIX327713:CIX327730 CST327713:CST327730 DCP327713:DCP327730 DML327713:DML327730 DWH327713:DWH327730 EGD327713:EGD327730 EPZ327713:EPZ327730 EZV327713:EZV327730 FJR327713:FJR327730 FTN327713:FTN327730 GDJ327713:GDJ327730 GNF327713:GNF327730 GXB327713:GXB327730 HGX327713:HGX327730 HQT327713:HQT327730 IAP327713:IAP327730 IKL327713:IKL327730 IUH327713:IUH327730 JED327713:JED327730 JNZ327713:JNZ327730 JXV327713:JXV327730 KHR327713:KHR327730 KRN327713:KRN327730 LBJ327713:LBJ327730 LLF327713:LLF327730 LVB327713:LVB327730 MEX327713:MEX327730 MOT327713:MOT327730 MYP327713:MYP327730 NIL327713:NIL327730 NSH327713:NSH327730 OCD327713:OCD327730 OLZ327713:OLZ327730 OVV327713:OVV327730 PFR327713:PFR327730 PPN327713:PPN327730 PZJ327713:PZJ327730 QJF327713:QJF327730 QTB327713:QTB327730 RCX327713:RCX327730 RMT327713:RMT327730 RWP327713:RWP327730 SGL327713:SGL327730 SQH327713:SQH327730 TAD327713:TAD327730 TJZ327713:TJZ327730 TTV327713:TTV327730 UDR327713:UDR327730 UNN327713:UNN327730 UXJ327713:UXJ327730 VHF327713:VHF327730 VRB327713:VRB327730 WAX327713:WAX327730 WKT327713:WKT327730 WUP327713:WUP327730 ID393249:ID393266 RZ393249:RZ393266 ABV393249:ABV393266 ALR393249:ALR393266 AVN393249:AVN393266 BFJ393249:BFJ393266 BPF393249:BPF393266 BZB393249:BZB393266 CIX393249:CIX393266 CST393249:CST393266 DCP393249:DCP393266 DML393249:DML393266 DWH393249:DWH393266 EGD393249:EGD393266 EPZ393249:EPZ393266 EZV393249:EZV393266 FJR393249:FJR393266 FTN393249:FTN393266 GDJ393249:GDJ393266 GNF393249:GNF393266 GXB393249:GXB393266 HGX393249:HGX393266 HQT393249:HQT393266 IAP393249:IAP393266 IKL393249:IKL393266 IUH393249:IUH393266 JED393249:JED393266 JNZ393249:JNZ393266 JXV393249:JXV393266 KHR393249:KHR393266 KRN393249:KRN393266 LBJ393249:LBJ393266 LLF393249:LLF393266 LVB393249:LVB393266 MEX393249:MEX393266 MOT393249:MOT393266 MYP393249:MYP393266 NIL393249:NIL393266 NSH393249:NSH393266 OCD393249:OCD393266 OLZ393249:OLZ393266 OVV393249:OVV393266 PFR393249:PFR393266 PPN393249:PPN393266 PZJ393249:PZJ393266 QJF393249:QJF393266 QTB393249:QTB393266 RCX393249:RCX393266 RMT393249:RMT393266 RWP393249:RWP393266 SGL393249:SGL393266 SQH393249:SQH393266 TAD393249:TAD393266 TJZ393249:TJZ393266 TTV393249:TTV393266 UDR393249:UDR393266 UNN393249:UNN393266 UXJ393249:UXJ393266 VHF393249:VHF393266 VRB393249:VRB393266 WAX393249:WAX393266 WKT393249:WKT393266 WUP393249:WUP393266 ID458785:ID458802 RZ458785:RZ458802 ABV458785:ABV458802 ALR458785:ALR458802 AVN458785:AVN458802 BFJ458785:BFJ458802 BPF458785:BPF458802 BZB458785:BZB458802 CIX458785:CIX458802 CST458785:CST458802 DCP458785:DCP458802 DML458785:DML458802 DWH458785:DWH458802 EGD458785:EGD458802 EPZ458785:EPZ458802 EZV458785:EZV458802 FJR458785:FJR458802 FTN458785:FTN458802 GDJ458785:GDJ458802 GNF458785:GNF458802 GXB458785:GXB458802 HGX458785:HGX458802 HQT458785:HQT458802 IAP458785:IAP458802 IKL458785:IKL458802 IUH458785:IUH458802 JED458785:JED458802 JNZ458785:JNZ458802 JXV458785:JXV458802 KHR458785:KHR458802 KRN458785:KRN458802 LBJ458785:LBJ458802 LLF458785:LLF458802 LVB458785:LVB458802 MEX458785:MEX458802 MOT458785:MOT458802 MYP458785:MYP458802 NIL458785:NIL458802 NSH458785:NSH458802 OCD458785:OCD458802 OLZ458785:OLZ458802 OVV458785:OVV458802 PFR458785:PFR458802 PPN458785:PPN458802 PZJ458785:PZJ458802 QJF458785:QJF458802 QTB458785:QTB458802 RCX458785:RCX458802 RMT458785:RMT458802 RWP458785:RWP458802 SGL458785:SGL458802 SQH458785:SQH458802 TAD458785:TAD458802 TJZ458785:TJZ458802 TTV458785:TTV458802 UDR458785:UDR458802 UNN458785:UNN458802 UXJ458785:UXJ458802 VHF458785:VHF458802 VRB458785:VRB458802 WAX458785:WAX458802 WKT458785:WKT458802 WUP458785:WUP458802 ID524321:ID524338 RZ524321:RZ524338 ABV524321:ABV524338 ALR524321:ALR524338 AVN524321:AVN524338 BFJ524321:BFJ524338 BPF524321:BPF524338 BZB524321:BZB524338 CIX524321:CIX524338 CST524321:CST524338 DCP524321:DCP524338 DML524321:DML524338 DWH524321:DWH524338 EGD524321:EGD524338 EPZ524321:EPZ524338 EZV524321:EZV524338 FJR524321:FJR524338 FTN524321:FTN524338 GDJ524321:GDJ524338 GNF524321:GNF524338 GXB524321:GXB524338 HGX524321:HGX524338 HQT524321:HQT524338 IAP524321:IAP524338 IKL524321:IKL524338 IUH524321:IUH524338 JED524321:JED524338 JNZ524321:JNZ524338 JXV524321:JXV524338 KHR524321:KHR524338 KRN524321:KRN524338 LBJ524321:LBJ524338 LLF524321:LLF524338 LVB524321:LVB524338 MEX524321:MEX524338 MOT524321:MOT524338 MYP524321:MYP524338 NIL524321:NIL524338 NSH524321:NSH524338 OCD524321:OCD524338 OLZ524321:OLZ524338 OVV524321:OVV524338 PFR524321:PFR524338 PPN524321:PPN524338 PZJ524321:PZJ524338 QJF524321:QJF524338 QTB524321:QTB524338 RCX524321:RCX524338 RMT524321:RMT524338 RWP524321:RWP524338 SGL524321:SGL524338 SQH524321:SQH524338 TAD524321:TAD524338 TJZ524321:TJZ524338 TTV524321:TTV524338 UDR524321:UDR524338 UNN524321:UNN524338 UXJ524321:UXJ524338 VHF524321:VHF524338 VRB524321:VRB524338 WAX524321:WAX524338 WKT524321:WKT524338 WUP524321:WUP524338 ID589857:ID589874 RZ589857:RZ589874 ABV589857:ABV589874 ALR589857:ALR589874 AVN589857:AVN589874 BFJ589857:BFJ589874 BPF589857:BPF589874 BZB589857:BZB589874 CIX589857:CIX589874 CST589857:CST589874 DCP589857:DCP589874 DML589857:DML589874 DWH589857:DWH589874 EGD589857:EGD589874 EPZ589857:EPZ589874 EZV589857:EZV589874 FJR589857:FJR589874 FTN589857:FTN589874 GDJ589857:GDJ589874 GNF589857:GNF589874 GXB589857:GXB589874 HGX589857:HGX589874 HQT589857:HQT589874 IAP589857:IAP589874 IKL589857:IKL589874 IUH589857:IUH589874 JED589857:JED589874 JNZ589857:JNZ589874 JXV589857:JXV589874 KHR589857:KHR589874 KRN589857:KRN589874 LBJ589857:LBJ589874 LLF589857:LLF589874 LVB589857:LVB589874 MEX589857:MEX589874 MOT589857:MOT589874 MYP589857:MYP589874 NIL589857:NIL589874 NSH589857:NSH589874 OCD589857:OCD589874 OLZ589857:OLZ589874 OVV589857:OVV589874 PFR589857:PFR589874 PPN589857:PPN589874 PZJ589857:PZJ589874 QJF589857:QJF589874 QTB589857:QTB589874 RCX589857:RCX589874 RMT589857:RMT589874 RWP589857:RWP589874 SGL589857:SGL589874 SQH589857:SQH589874 TAD589857:TAD589874 TJZ589857:TJZ589874 TTV589857:TTV589874 UDR589857:UDR589874 UNN589857:UNN589874 UXJ589857:UXJ589874 VHF589857:VHF589874 VRB589857:VRB589874 WAX589857:WAX589874 WKT589857:WKT589874 WUP589857:WUP589874 ID655393:ID655410 RZ655393:RZ655410 ABV655393:ABV655410 ALR655393:ALR655410 AVN655393:AVN655410 BFJ655393:BFJ655410 BPF655393:BPF655410 BZB655393:BZB655410 CIX655393:CIX655410 CST655393:CST655410 DCP655393:DCP655410 DML655393:DML655410 DWH655393:DWH655410 EGD655393:EGD655410 EPZ655393:EPZ655410 EZV655393:EZV655410 FJR655393:FJR655410 FTN655393:FTN655410 GDJ655393:GDJ655410 GNF655393:GNF655410 GXB655393:GXB655410 HGX655393:HGX655410 HQT655393:HQT655410 IAP655393:IAP655410 IKL655393:IKL655410 IUH655393:IUH655410 JED655393:JED655410 JNZ655393:JNZ655410 JXV655393:JXV655410 KHR655393:KHR655410 KRN655393:KRN655410 LBJ655393:LBJ655410 LLF655393:LLF655410 LVB655393:LVB655410 MEX655393:MEX655410 MOT655393:MOT655410 MYP655393:MYP655410 NIL655393:NIL655410 NSH655393:NSH655410 OCD655393:OCD655410 OLZ655393:OLZ655410 OVV655393:OVV655410 PFR655393:PFR655410 PPN655393:PPN655410 PZJ655393:PZJ655410 QJF655393:QJF655410 QTB655393:QTB655410 RCX655393:RCX655410 RMT655393:RMT655410 RWP655393:RWP655410 SGL655393:SGL655410 SQH655393:SQH655410 TAD655393:TAD655410 TJZ655393:TJZ655410 TTV655393:TTV655410 UDR655393:UDR655410 UNN655393:UNN655410 UXJ655393:UXJ655410 VHF655393:VHF655410 VRB655393:VRB655410 WAX655393:WAX655410 WKT655393:WKT655410 WUP655393:WUP655410 ID720929:ID720946 RZ720929:RZ720946 ABV720929:ABV720946 ALR720929:ALR720946 AVN720929:AVN720946 BFJ720929:BFJ720946 BPF720929:BPF720946 BZB720929:BZB720946 CIX720929:CIX720946 CST720929:CST720946 DCP720929:DCP720946 DML720929:DML720946 DWH720929:DWH720946 EGD720929:EGD720946 EPZ720929:EPZ720946 EZV720929:EZV720946 FJR720929:FJR720946 FTN720929:FTN720946 GDJ720929:GDJ720946 GNF720929:GNF720946 GXB720929:GXB720946 HGX720929:HGX720946 HQT720929:HQT720946 IAP720929:IAP720946 IKL720929:IKL720946 IUH720929:IUH720946 JED720929:JED720946 JNZ720929:JNZ720946 JXV720929:JXV720946 KHR720929:KHR720946 KRN720929:KRN720946 LBJ720929:LBJ720946 LLF720929:LLF720946 LVB720929:LVB720946 MEX720929:MEX720946 MOT720929:MOT720946 MYP720929:MYP720946 NIL720929:NIL720946 NSH720929:NSH720946 OCD720929:OCD720946 OLZ720929:OLZ720946 OVV720929:OVV720946 PFR720929:PFR720946 PPN720929:PPN720946 PZJ720929:PZJ720946 QJF720929:QJF720946 QTB720929:QTB720946 RCX720929:RCX720946 RMT720929:RMT720946 RWP720929:RWP720946 SGL720929:SGL720946 SQH720929:SQH720946 TAD720929:TAD720946 TJZ720929:TJZ720946 TTV720929:TTV720946 UDR720929:UDR720946 UNN720929:UNN720946 UXJ720929:UXJ720946 VHF720929:VHF720946 VRB720929:VRB720946 WAX720929:WAX720946 WKT720929:WKT720946 WUP720929:WUP720946 ID786465:ID786482 RZ786465:RZ786482 ABV786465:ABV786482 ALR786465:ALR786482 AVN786465:AVN786482 BFJ786465:BFJ786482 BPF786465:BPF786482 BZB786465:BZB786482 CIX786465:CIX786482 CST786465:CST786482 DCP786465:DCP786482 DML786465:DML786482 DWH786465:DWH786482 EGD786465:EGD786482 EPZ786465:EPZ786482 EZV786465:EZV786482 FJR786465:FJR786482 FTN786465:FTN786482 GDJ786465:GDJ786482 GNF786465:GNF786482 GXB786465:GXB786482 HGX786465:HGX786482 HQT786465:HQT786482 IAP786465:IAP786482 IKL786465:IKL786482 IUH786465:IUH786482 JED786465:JED786482 JNZ786465:JNZ786482 JXV786465:JXV786482 KHR786465:KHR786482 KRN786465:KRN786482 LBJ786465:LBJ786482 LLF786465:LLF786482 LVB786465:LVB786482 MEX786465:MEX786482 MOT786465:MOT786482 MYP786465:MYP786482 NIL786465:NIL786482 NSH786465:NSH786482 OCD786465:OCD786482 OLZ786465:OLZ786482 OVV786465:OVV786482 PFR786465:PFR786482 PPN786465:PPN786482 PZJ786465:PZJ786482 QJF786465:QJF786482 QTB786465:QTB786482 RCX786465:RCX786482 RMT786465:RMT786482 RWP786465:RWP786482 SGL786465:SGL786482 SQH786465:SQH786482 TAD786465:TAD786482 TJZ786465:TJZ786482 TTV786465:TTV786482 UDR786465:UDR786482 UNN786465:UNN786482 UXJ786465:UXJ786482 VHF786465:VHF786482 VRB786465:VRB786482 WAX786465:WAX786482 WKT786465:WKT786482 WUP786465:WUP786482 ID852001:ID852018 RZ852001:RZ852018 ABV852001:ABV852018 ALR852001:ALR852018 AVN852001:AVN852018 BFJ852001:BFJ852018 BPF852001:BPF852018 BZB852001:BZB852018 CIX852001:CIX852018 CST852001:CST852018 DCP852001:DCP852018 DML852001:DML852018 DWH852001:DWH852018 EGD852001:EGD852018 EPZ852001:EPZ852018 EZV852001:EZV852018 FJR852001:FJR852018 FTN852001:FTN852018 GDJ852001:GDJ852018 GNF852001:GNF852018 GXB852001:GXB852018 HGX852001:HGX852018 HQT852001:HQT852018 IAP852001:IAP852018 IKL852001:IKL852018 IUH852001:IUH852018 JED852001:JED852018 JNZ852001:JNZ852018 JXV852001:JXV852018 KHR852001:KHR852018 KRN852001:KRN852018 LBJ852001:LBJ852018 LLF852001:LLF852018 LVB852001:LVB852018 MEX852001:MEX852018 MOT852001:MOT852018 MYP852001:MYP852018 NIL852001:NIL852018 NSH852001:NSH852018 OCD852001:OCD852018 OLZ852001:OLZ852018 OVV852001:OVV852018 PFR852001:PFR852018 PPN852001:PPN852018 PZJ852001:PZJ852018 QJF852001:QJF852018 QTB852001:QTB852018 RCX852001:RCX852018 RMT852001:RMT852018 RWP852001:RWP852018 SGL852001:SGL852018 SQH852001:SQH852018 TAD852001:TAD852018 TJZ852001:TJZ852018 TTV852001:TTV852018 UDR852001:UDR852018 UNN852001:UNN852018 UXJ852001:UXJ852018 VHF852001:VHF852018 VRB852001:VRB852018 WAX852001:WAX852018 WKT852001:WKT852018 WUP852001:WUP852018 ID917537:ID917554 RZ917537:RZ917554 ABV917537:ABV917554 ALR917537:ALR917554 AVN917537:AVN917554 BFJ917537:BFJ917554 BPF917537:BPF917554 BZB917537:BZB917554 CIX917537:CIX917554 CST917537:CST917554 DCP917537:DCP917554 DML917537:DML917554 DWH917537:DWH917554 EGD917537:EGD917554 EPZ917537:EPZ917554 EZV917537:EZV917554 FJR917537:FJR917554 FTN917537:FTN917554 GDJ917537:GDJ917554 GNF917537:GNF917554 GXB917537:GXB917554 HGX917537:HGX917554 HQT917537:HQT917554 IAP917537:IAP917554 IKL917537:IKL917554 IUH917537:IUH917554 JED917537:JED917554 JNZ917537:JNZ917554 JXV917537:JXV917554 KHR917537:KHR917554 KRN917537:KRN917554 LBJ917537:LBJ917554 LLF917537:LLF917554 LVB917537:LVB917554 MEX917537:MEX917554 MOT917537:MOT917554 MYP917537:MYP917554 NIL917537:NIL917554 NSH917537:NSH917554 OCD917537:OCD917554 OLZ917537:OLZ917554 OVV917537:OVV917554 PFR917537:PFR917554 PPN917537:PPN917554 PZJ917537:PZJ917554 QJF917537:QJF917554 QTB917537:QTB917554 RCX917537:RCX917554 RMT917537:RMT917554 RWP917537:RWP917554 SGL917537:SGL917554 SQH917537:SQH917554 TAD917537:TAD917554 TJZ917537:TJZ917554 TTV917537:TTV917554 UDR917537:UDR917554 UNN917537:UNN917554 UXJ917537:UXJ917554 VHF917537:VHF917554 VRB917537:VRB917554 WAX917537:WAX917554 WKT917537:WKT917554 WUP917537:WUP917554 ID983073:ID983090 RZ983073:RZ983090 ABV983073:ABV983090 ALR983073:ALR983090 AVN983073:AVN983090 BFJ983073:BFJ983090 BPF983073:BPF983090 BZB983073:BZB983090 CIX983073:CIX983090 CST983073:CST983090 DCP983073:DCP983090 DML983073:DML983090 DWH983073:DWH983090 EGD983073:EGD983090 EPZ983073:EPZ983090 EZV983073:EZV983090 FJR983073:FJR983090 FTN983073:FTN983090 GDJ983073:GDJ983090 GNF983073:GNF983090 GXB983073:GXB983090 HGX983073:HGX983090 HQT983073:HQT983090 IAP983073:IAP983090 IKL983073:IKL983090 IUH983073:IUH983090 JED983073:JED983090 JNZ983073:JNZ983090 JXV983073:JXV983090 KHR983073:KHR983090 KRN983073:KRN983090 LBJ983073:LBJ983090 LLF983073:LLF983090 LVB983073:LVB983090 MEX983073:MEX983090 MOT983073:MOT983090 MYP983073:MYP983090 NIL983073:NIL983090 NSH983073:NSH983090 OCD983073:OCD983090 OLZ983073:OLZ983090 OVV983073:OVV983090 PFR983073:PFR983090 PPN983073:PPN983090 PZJ983073:PZJ983090 QJF983073:QJF983090 QTB983073:QTB983090 RCX983073:RCX983090 RMT983073:RMT983090 RWP983073:RWP983090 SGL983073:SGL983090 SQH983073:SQH983090 TAD983073:TAD983090 TJZ983073:TJZ983090 TTV983073:TTV983090 UDR983073:UDR983090 UNN983073:UNN983090 UXJ983073:UXJ983090 VHF983073:VHF983090 VRB983073:VRB983090 WAX983073:WAX983090 WKT983073:WKT983090 WUP983073:WUP983090">
      <formula1>0</formula1>
      <formula2>24</formula2>
    </dataValidation>
  </dataValidations>
  <pageMargins left="0.7" right="0.7" top="0.78740157499999996" bottom="0.78740157499999996" header="0.3" footer="0.3"/>
  <pageSetup paperSize="9" scale="8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sheetPr>
  <dimension ref="A1:AC33"/>
  <sheetViews>
    <sheetView showGridLines="0" zoomScale="109" zoomScaleNormal="109" workbookViewId="0">
      <selection activeCell="F7" sqref="F7"/>
    </sheetView>
  </sheetViews>
  <sheetFormatPr baseColWidth="10" defaultRowHeight="15" x14ac:dyDescent="0.25"/>
  <cols>
    <col min="1" max="1" width="7.85546875" style="503" customWidth="1"/>
    <col min="2" max="2" width="16" style="503" customWidth="1"/>
    <col min="3" max="3" width="9.140625" style="503" customWidth="1"/>
    <col min="4" max="4" width="10.140625" style="503" bestFit="1" customWidth="1"/>
    <col min="5" max="5" width="30.42578125" style="503" customWidth="1"/>
    <col min="6" max="6" width="6.7109375" style="503" bestFit="1" customWidth="1"/>
    <col min="7" max="7" width="4.140625" style="503" customWidth="1"/>
    <col min="8" max="8" width="89.42578125" style="503" bestFit="1" customWidth="1"/>
    <col min="9" max="9" width="6.5703125" style="503" customWidth="1"/>
    <col min="10" max="13" width="5.42578125" style="503" customWidth="1"/>
    <col min="14" max="14" width="6.5703125" style="503" customWidth="1"/>
    <col min="15" max="16" width="5.42578125" style="503" customWidth="1"/>
    <col min="17" max="17" width="6.5703125" style="503" customWidth="1"/>
    <col min="18" max="18" width="7.5703125" style="503" bestFit="1" customWidth="1"/>
    <col min="19" max="20" width="5.42578125" style="503" customWidth="1"/>
    <col min="21" max="21" width="6.5703125" style="503" customWidth="1"/>
    <col min="22" max="26" width="5.42578125" style="503" customWidth="1"/>
    <col min="27" max="27" width="6.5703125" style="503" customWidth="1"/>
    <col min="28" max="28" width="5.42578125" style="503" customWidth="1"/>
    <col min="29" max="29" width="16.7109375" style="503" bestFit="1" customWidth="1"/>
    <col min="30" max="30" width="6.5703125" style="503" customWidth="1"/>
    <col min="31" max="65" width="5.42578125" style="503" customWidth="1"/>
    <col min="66" max="16384" width="11.42578125" style="503"/>
  </cols>
  <sheetData>
    <row r="1" spans="1:29" ht="18.75" x14ac:dyDescent="0.3">
      <c r="A1" s="502" t="s">
        <v>306</v>
      </c>
      <c r="C1" s="502" t="str">
        <f>RIGHT(GTS!AF1,7)</f>
        <v>2023/24</v>
      </c>
      <c r="E1" s="504">
        <f>VLOOKUP(D6,CI!$C$3:$M$235,11,FALSE)</f>
        <v>0</v>
      </c>
      <c r="F1" s="328">
        <f>Konti_PTS!J7</f>
        <v>10</v>
      </c>
      <c r="H1" s="505"/>
      <c r="I1" s="506" t="str">
        <f>"I:\abt2a\__Schulen\"&amp;E1&amp;"\"&amp;D5&amp;" "&amp;E6&amp;F6&amp;" "&amp;"("&amp;D6&amp;")"&amp;"\EöB\"</f>
        <v>I:\abt2a\__Schulen\0\0 0 (0)\EöB\</v>
      </c>
      <c r="J1" s="507"/>
    </row>
    <row r="2" spans="1:29" ht="18.75" x14ac:dyDescent="0.3">
      <c r="A2" s="502" t="s">
        <v>307</v>
      </c>
      <c r="E2" s="508">
        <f>Konti_PTS!I3-7</f>
        <v>45180</v>
      </c>
      <c r="I2" s="506" t="str">
        <f>"I:\abt2a\__Schulen\"&amp;E1&amp;"\"&amp;D5&amp;" "&amp;E6&amp;F6&amp;" "&amp;"("&amp;D6&amp;")"&amp;"\Kontingent\"</f>
        <v>I:\abt2a\__Schulen\0\0 0 (0)\Kontingent\</v>
      </c>
      <c r="J2" s="507"/>
    </row>
    <row r="3" spans="1:29" x14ac:dyDescent="0.25">
      <c r="E3" s="509">
        <f>Konti_PTS!L3</f>
        <v>45478</v>
      </c>
      <c r="I3" s="506" t="str">
        <f>"I:\abt2a\__Schulen\Res\"</f>
        <v>I:\abt2a\__Schulen\Res\</v>
      </c>
      <c r="J3" s="507"/>
      <c r="AC3" s="510"/>
    </row>
    <row r="4" spans="1:29" x14ac:dyDescent="0.25">
      <c r="H4" s="511"/>
      <c r="I4" s="506" t="str">
        <f>"I:\abt2a\__Schulen\Religion\"</f>
        <v>I:\abt2a\__Schulen\Religion\</v>
      </c>
      <c r="J4" s="507"/>
    </row>
    <row r="5" spans="1:29" ht="15.75" x14ac:dyDescent="0.25">
      <c r="A5" s="512" t="s">
        <v>308</v>
      </c>
      <c r="D5" s="513">
        <f>VLOOKUP(D6,CI!$C$3:$M$235,8,FALSE)</f>
        <v>0</v>
      </c>
      <c r="F5" s="514"/>
      <c r="H5" s="515" t="str">
        <f>TEXT(E2,"TT.MM.JJJJ")&amp;";"&amp;TEXT(E3,"TT.MM.JJJJ")&amp;";"</f>
        <v>11.09.2023;05.07.2024;</v>
      </c>
      <c r="I5" s="516" t="str">
        <f ca="1">D5&amp;" "&amp;E6&amp;" EöB "&amp;YEAR(TODAY())&amp;"_"&amp;TEXT((TODAY()),"MM")&amp;"_"&amp;TEXT(DAY(TODAY()),"TT")&amp;" "&amp;TEXT(NOW(),"HHMM")</f>
        <v>0 0 EöB 2023_09_29 1425</v>
      </c>
      <c r="U5" s="517"/>
      <c r="V5" s="518"/>
      <c r="X5" s="515"/>
    </row>
    <row r="6" spans="1:29" ht="18.75" customHeight="1" x14ac:dyDescent="0.3">
      <c r="A6" s="519"/>
      <c r="B6" s="520" t="s">
        <v>309</v>
      </c>
      <c r="C6" s="521" t="s">
        <v>310</v>
      </c>
      <c r="D6" s="522">
        <f>Kontrolle!M1</f>
        <v>0</v>
      </c>
      <c r="E6" s="523">
        <f>VLOOKUP(D6,CI!$C$3:$M$235,9,FALSE)</f>
        <v>0</v>
      </c>
      <c r="F6" s="524" t="str">
        <f>IF(VLOOKUP(D6,CI!$C$3:$M$235,10,FALSE)=0,"",VLOOKUP(D6,CI!$C$3:$M$235,10,FALSE))</f>
        <v/>
      </c>
      <c r="H6" s="515" t="str">
        <f>C1&amp;";"&amp;D6&amp;";"&amp;D5&amp;";"&amp;E6&amp;";"</f>
        <v>2023/24;0;0;0;</v>
      </c>
      <c r="I6" s="516" t="str">
        <f>D5&amp;" "&amp;E6&amp;" EöB "&amp;TEXT(E2,"JJJJ")&amp;"'"&amp;TEXT(E3,"JJ")</f>
        <v>0 0 EöB 2023'24</v>
      </c>
      <c r="U6" s="525"/>
    </row>
    <row r="7" spans="1:29" ht="18.75" customHeight="1" x14ac:dyDescent="0.25">
      <c r="A7" s="519">
        <f>Kontrolle!I12</f>
        <v>0</v>
      </c>
      <c r="B7" s="526" t="s">
        <v>311</v>
      </c>
      <c r="C7" s="527">
        <v>19</v>
      </c>
      <c r="D7" s="528">
        <f>A7+F7</f>
        <v>0</v>
      </c>
      <c r="E7" s="529" t="s">
        <v>312</v>
      </c>
      <c r="F7" s="530"/>
      <c r="G7" s="531"/>
      <c r="H7" s="531" t="str">
        <f>D6&amp;";"&amp;E6</f>
        <v>0;0</v>
      </c>
      <c r="I7" s="516" t="str">
        <f ca="1">D5&amp;" "&amp;E6&amp;" Kontingent "&amp;YEAR(TODAY())&amp;"_"&amp;TEXT((TODAY()),"MM")&amp;"_"&amp;TEXT(DAY(TODAY()),"TT")&amp;" "&amp;TEXT(NOW(),"HHMM")</f>
        <v>0 0 Kontingent 2023_09_29 1425</v>
      </c>
    </row>
    <row r="8" spans="1:29" ht="18.75" customHeight="1" x14ac:dyDescent="0.25">
      <c r="A8" s="532"/>
      <c r="B8" s="526" t="s">
        <v>313</v>
      </c>
      <c r="C8" s="533">
        <v>8</v>
      </c>
      <c r="D8" s="534">
        <f>A8-F18+F8</f>
        <v>0</v>
      </c>
      <c r="E8" s="529" t="s">
        <v>312</v>
      </c>
      <c r="F8" s="530"/>
      <c r="G8" s="531"/>
      <c r="H8" s="535" t="s">
        <v>314</v>
      </c>
      <c r="I8" s="516" t="str">
        <f>D5&amp;" "&amp;E6&amp;" Religion "&amp;TEXT(E2,"JJJJ")&amp;"'"&amp;TEXT(E3,"JJ")</f>
        <v>0 0 Religion 2023'24</v>
      </c>
    </row>
    <row r="9" spans="1:29" ht="18.75" customHeight="1" x14ac:dyDescent="0.25">
      <c r="A9" s="519">
        <f>Kontrolle!I10</f>
        <v>0</v>
      </c>
      <c r="B9" s="526" t="s">
        <v>298</v>
      </c>
      <c r="C9" s="527"/>
      <c r="D9" s="536">
        <f>A9</f>
        <v>0</v>
      </c>
      <c r="E9" s="529" t="s">
        <v>312</v>
      </c>
      <c r="F9" s="530"/>
      <c r="H9" s="535" t="str">
        <f>$H$6&amp;C7&amp;";"&amp;B7&amp;";"&amp;$H$5&amp;D7&amp;";"&amp;$H$7</f>
        <v>2023/24;0;0;0;19;DFö Klasse/Kurs;11.09.2023;05.07.2024;0;0;0</v>
      </c>
      <c r="I9" s="537"/>
    </row>
    <row r="10" spans="1:29" ht="18.75" customHeight="1" x14ac:dyDescent="0.25">
      <c r="A10" s="519"/>
      <c r="B10" s="538" t="s">
        <v>315</v>
      </c>
      <c r="C10" s="539">
        <v>1</v>
      </c>
      <c r="D10" s="540">
        <f>D9-SUM(D7:D8)+ROUND(F10/36,3)+F9</f>
        <v>0</v>
      </c>
      <c r="E10" s="529" t="s">
        <v>316</v>
      </c>
      <c r="F10" s="530"/>
      <c r="G10" s="541"/>
      <c r="H10" s="535" t="str">
        <f>$H$6&amp;C8&amp;";"&amp;B8&amp;";"&amp;$H$5&amp;D8&amp;";"&amp;$H$7</f>
        <v>2023/24;0;0;0;8;MS-LL;11.09.2023;05.07.2024;0;0;0</v>
      </c>
    </row>
    <row r="11" spans="1:29" ht="18.75" customHeight="1" x14ac:dyDescent="0.3">
      <c r="A11" s="542">
        <f>Kontrolle!I14</f>
        <v>0</v>
      </c>
      <c r="B11" s="526" t="s">
        <v>111</v>
      </c>
      <c r="C11" s="527">
        <v>10</v>
      </c>
      <c r="D11" s="543">
        <f>A11</f>
        <v>0</v>
      </c>
      <c r="F11" s="502"/>
      <c r="H11" s="535" t="str">
        <f>$H$6&amp;C10&amp;";"&amp;B10&amp;";"&amp;$H$5&amp;D10&amp;";"&amp;$H$7</f>
        <v>2023/24;0;0;0;1;Basis für Konti;11.09.2023;05.07.2024;0;0;0</v>
      </c>
    </row>
    <row r="12" spans="1:29" ht="18.75" customHeight="1" x14ac:dyDescent="0.25">
      <c r="A12" s="519"/>
      <c r="B12" s="538" t="s">
        <v>317</v>
      </c>
      <c r="C12" s="539"/>
      <c r="D12" s="540">
        <f>D11+F12</f>
        <v>0</v>
      </c>
      <c r="E12" s="529" t="s">
        <v>312</v>
      </c>
      <c r="F12" s="530"/>
      <c r="H12" s="535" t="str">
        <f>$H$6&amp;C11&amp;";"&amp;B11&amp;";"&amp;$H$5&amp;D12&amp;";"&amp;$H$7</f>
        <v>2023/24;0;0;0;10;GTS;11.09.2023;05.07.2024;0;0;0</v>
      </c>
    </row>
    <row r="13" spans="1:29" ht="18.75" customHeight="1" x14ac:dyDescent="0.25">
      <c r="A13" s="519">
        <f>IF(Konti_PTS!H50=" ",0,Konti_PTS!H50)</f>
        <v>0</v>
      </c>
      <c r="B13" s="526" t="s">
        <v>318</v>
      </c>
      <c r="C13" s="527">
        <v>12</v>
      </c>
      <c r="D13" s="544">
        <f>A13+F13</f>
        <v>0</v>
      </c>
      <c r="E13" s="529" t="s">
        <v>312</v>
      </c>
      <c r="F13" s="530"/>
      <c r="H13" s="535" t="str">
        <f>$H$6&amp;C13&amp;";"&amp;B13&amp;";"&amp;$H$5&amp;D13&amp;";"&amp;$H$7</f>
        <v>2023/24;0;0;0;12;IT Kustos;11.09.2023;05.07.2024;0;0;0</v>
      </c>
    </row>
    <row r="14" spans="1:29" ht="18.75" customHeight="1" x14ac:dyDescent="0.25">
      <c r="A14" s="519"/>
      <c r="B14" s="526" t="s">
        <v>319</v>
      </c>
      <c r="C14" s="545">
        <v>13</v>
      </c>
      <c r="D14" s="546">
        <f>A14+F14</f>
        <v>0</v>
      </c>
      <c r="E14" s="547" t="s">
        <v>320</v>
      </c>
      <c r="F14" s="530"/>
      <c r="H14" s="535" t="str">
        <f>$H$6&amp;C14&amp;";"&amp;B14&amp;";"&amp;$H$5&amp;D14&amp;";"&amp;$H$7</f>
        <v>2023/24;0;0;0;13;IT MDM pädag./fachlich;11.09.2023;05.07.2024;0;0;0</v>
      </c>
    </row>
    <row r="15" spans="1:29" ht="18.75" customHeight="1" x14ac:dyDescent="0.25">
      <c r="A15" s="519"/>
      <c r="B15" s="526" t="s">
        <v>321</v>
      </c>
      <c r="C15" s="533">
        <v>14</v>
      </c>
      <c r="D15" s="548">
        <f>A15+F15</f>
        <v>0</v>
      </c>
      <c r="E15" s="549" t="s">
        <v>322</v>
      </c>
      <c r="F15" s="530"/>
      <c r="H15" s="535" t="str">
        <f>$H$6&amp;C15&amp;";"&amp;B15&amp;";"&amp;$H$5&amp;D15&amp;";"&amp;$H$7</f>
        <v>2023/24;0;0;0;14;IT MDM technisch;11.09.2023;05.07.2024;0;0;0</v>
      </c>
    </row>
    <row r="16" spans="1:29" ht="18.75" customHeight="1" x14ac:dyDescent="0.25">
      <c r="A16" s="519"/>
      <c r="B16" s="526" t="s">
        <v>323</v>
      </c>
      <c r="C16" s="533"/>
      <c r="D16" s="548">
        <f>A16+F16</f>
        <v>0</v>
      </c>
      <c r="E16" s="549" t="s">
        <v>322</v>
      </c>
      <c r="F16" s="530"/>
      <c r="H16" s="535" t="str">
        <f>$H$6&amp;C17&amp;";"&amp;B17&amp;";"&amp;$H$5&amp;D17&amp;";"&amp;$H$7</f>
        <v>2023/24;0;0;0;11;Bibliothek;11.09.2023;05.07.2024;0;0;0</v>
      </c>
    </row>
    <row r="17" spans="1:21" ht="18.75" customHeight="1" x14ac:dyDescent="0.25">
      <c r="A17" s="519"/>
      <c r="B17" s="526" t="s">
        <v>324</v>
      </c>
      <c r="C17" s="527">
        <v>11</v>
      </c>
      <c r="D17" s="544">
        <f>A17+F17</f>
        <v>0</v>
      </c>
      <c r="E17" s="529" t="s">
        <v>312</v>
      </c>
      <c r="F17" s="530"/>
      <c r="H17" s="535" t="str">
        <f>$H$6&amp;C19&amp;";"&amp;B19&amp;";"&amp;$H$5&amp;D19&amp;";"&amp;$H$7</f>
        <v>2023/24;0;0;0;15;Leitung;11.09.2023;05.07.2024;0;0;0</v>
      </c>
    </row>
    <row r="18" spans="1:21" ht="18.75" customHeight="1" x14ac:dyDescent="0.25">
      <c r="A18" s="532"/>
      <c r="B18" s="550" t="s">
        <v>325</v>
      </c>
      <c r="C18" s="551">
        <v>9</v>
      </c>
      <c r="D18" s="552">
        <f>F18</f>
        <v>0</v>
      </c>
      <c r="E18" s="553" t="s">
        <v>326</v>
      </c>
      <c r="F18" s="530"/>
      <c r="H18" s="535" t="str">
        <f>$H$6&amp;C20&amp;";"&amp;B20&amp;";"&amp;$H$5&amp;D20&amp;";"&amp;$H$7</f>
        <v>2023/24;0;0;0;18;r.k. Religion;11.09.2023;05.07.2024;0;0;0</v>
      </c>
    </row>
    <row r="19" spans="1:21" ht="18.75" customHeight="1" x14ac:dyDescent="0.25">
      <c r="A19" s="678">
        <f>IF(Konti_PTS!C59="SchulleiterIn ist freigestellt!",20,Konti_PTS!I58*-1)</f>
        <v>0</v>
      </c>
      <c r="B19" s="526" t="s">
        <v>109</v>
      </c>
      <c r="C19" s="527">
        <v>15</v>
      </c>
      <c r="D19" s="543">
        <f>A19+F19</f>
        <v>0</v>
      </c>
      <c r="E19" s="529" t="s">
        <v>312</v>
      </c>
      <c r="F19" s="554"/>
      <c r="H19" s="535" t="str">
        <f>$H$6&amp;C21&amp;";"&amp;B21&amp;";"&amp;$H$5&amp;D21&amp;";"&amp;$H$7</f>
        <v>2023/24;0;0;0;4;SprH und sp.LeFö;11.09.2023;05.07.2024;0;0;0</v>
      </c>
    </row>
    <row r="20" spans="1:21" ht="18.75" customHeight="1" x14ac:dyDescent="0.25">
      <c r="A20" s="519">
        <f>Konti_PTS!D72</f>
        <v>0</v>
      </c>
      <c r="B20" s="526" t="s">
        <v>264</v>
      </c>
      <c r="C20" s="555">
        <v>18</v>
      </c>
      <c r="D20" s="543">
        <f>A20+F20</f>
        <v>0</v>
      </c>
      <c r="E20" s="529" t="s">
        <v>312</v>
      </c>
      <c r="F20" s="554"/>
      <c r="H20" s="535" t="str">
        <f>$H$6&amp;C22&amp;";"&amp;B22&amp;";"&amp;$H$5&amp;D22&amp;";"&amp;$H$7</f>
        <v>2023/24;0;0;0;3;SPOOL;11.09.2023;05.07.2024;0;0;0</v>
      </c>
    </row>
    <row r="21" spans="1:21" ht="18.75" customHeight="1" x14ac:dyDescent="0.25">
      <c r="A21" s="519">
        <v>0</v>
      </c>
      <c r="B21" s="526" t="s">
        <v>327</v>
      </c>
      <c r="C21" s="527">
        <v>4</v>
      </c>
      <c r="D21" s="543">
        <f>A21+F21</f>
        <v>0</v>
      </c>
      <c r="E21" s="556" t="s">
        <v>328</v>
      </c>
      <c r="F21" s="554"/>
      <c r="H21" s="535" t="str">
        <f>$H$6&amp;C18&amp;";"&amp;LEFT(B18,2)&amp;";"&amp;$H$5&amp;D18&amp;";"&amp;$H$7</f>
        <v>2023/24;0;0;0;9;MS;11.09.2023;05.07.2024;0;0;0</v>
      </c>
      <c r="N21" s="557"/>
    </row>
    <row r="22" spans="1:21" ht="18.75" customHeight="1" x14ac:dyDescent="0.25">
      <c r="A22" s="519"/>
      <c r="B22" s="526" t="s">
        <v>329</v>
      </c>
      <c r="C22" s="527">
        <v>3</v>
      </c>
      <c r="D22" s="558">
        <f>ROUND(F22/36,3)</f>
        <v>0</v>
      </c>
      <c r="E22" s="529" t="s">
        <v>330</v>
      </c>
      <c r="F22" s="554"/>
      <c r="N22" s="557"/>
    </row>
    <row r="23" spans="1:21" ht="18.75" customHeight="1" x14ac:dyDescent="0.25">
      <c r="B23" s="559"/>
      <c r="C23" s="560"/>
      <c r="D23" s="561"/>
      <c r="E23" s="529"/>
      <c r="F23" s="562"/>
    </row>
    <row r="24" spans="1:21" ht="18.75" x14ac:dyDescent="0.3">
      <c r="C24" s="563" t="s">
        <v>331</v>
      </c>
      <c r="D24" s="564">
        <f>SUM(D10:D22)+D7+D8</f>
        <v>0</v>
      </c>
      <c r="F24" s="502"/>
    </row>
    <row r="27" spans="1:21" ht="17.25" x14ac:dyDescent="0.3">
      <c r="E27" s="525"/>
      <c r="U27" s="565"/>
    </row>
    <row r="28" spans="1:21" ht="17.25" x14ac:dyDescent="0.3">
      <c r="E28" s="525"/>
    </row>
    <row r="29" spans="1:21" x14ac:dyDescent="0.25">
      <c r="E29" s="566"/>
    </row>
    <row r="33" spans="22:22" x14ac:dyDescent="0.25">
      <c r="V33" s="567"/>
    </row>
  </sheetData>
  <sheetProtection algorithmName="SHA-512" hashValue="2CJn+8Fly36NR7rX+G0jrtkGNHJB9hivAFTbqy5jws0TNkqTp/+nAg8EEV7j7+E8LDV0dnqMx5pcpxf/2bTZQA==" saltValue="B1QpbZ9zJ89+ScjLLRg4LQ==" spinCount="100000" sheet="1" formatRows="0"/>
  <conditionalFormatting sqref="F9:F10 F18:F22">
    <cfRule type="cellIs" dxfId="7" priority="8" operator="notEqual">
      <formula>0</formula>
    </cfRule>
  </conditionalFormatting>
  <conditionalFormatting sqref="C8:D8">
    <cfRule type="expression" dxfId="6" priority="6">
      <formula>IF($D$5="MS",TRUE,FALSE)</formula>
    </cfRule>
  </conditionalFormatting>
  <conditionalFormatting sqref="D8">
    <cfRule type="expression" dxfId="5" priority="7">
      <formula>AND(IF(D5&lt;&gt;"MS",TRUE,FALSE),IF(D8&gt;0,TRUE,FALSE))</formula>
    </cfRule>
  </conditionalFormatting>
  <conditionalFormatting sqref="F12:F17">
    <cfRule type="cellIs" dxfId="4" priority="5" operator="notEqual">
      <formula>0</formula>
    </cfRule>
  </conditionalFormatting>
  <conditionalFormatting sqref="F7">
    <cfRule type="cellIs" dxfId="3" priority="4" operator="notEqual">
      <formula>0</formula>
    </cfRule>
  </conditionalFormatting>
  <conditionalFormatting sqref="D6">
    <cfRule type="cellIs" dxfId="2" priority="3" operator="notEqual">
      <formula>0</formula>
    </cfRule>
  </conditionalFormatting>
  <conditionalFormatting sqref="F8">
    <cfRule type="cellIs" dxfId="1" priority="2" operator="notEqual">
      <formula>0</formula>
    </cfRule>
  </conditionalFormatting>
  <conditionalFormatting sqref="E18">
    <cfRule type="expression" dxfId="0" priority="1">
      <formula>IF($D$5="MS",TRUE,FALSE)</formula>
    </cfRule>
  </conditionalFormatting>
  <pageMargins left="0.70866141732283472" right="0.70866141732283472" top="0.78740157480314965" bottom="0.78740157480314965" header="0.31496062992125984" footer="0.31496062992125984"/>
  <pageSetup paperSize="9" scale="118" orientation="portrait" r:id="rId1"/>
  <headerFooter scaleWithDoc="0">
    <oddFooter>&amp;C&amp;5&amp;Z&amp;11&amp;F&amp;R&amp;D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BasisP</vt:lpstr>
      <vt:lpstr>Konti_PTS</vt:lpstr>
      <vt:lpstr>GTS</vt:lpstr>
      <vt:lpstr>Assistenz</vt:lpstr>
      <vt:lpstr>Lehrpersonen</vt:lpstr>
      <vt:lpstr>Kontrolle</vt:lpstr>
      <vt:lpstr>Erklärung_Lehrpersonen</vt:lpstr>
      <vt:lpstr>Assistenz!Druckbereich</vt:lpstr>
      <vt:lpstr>BasisP!Druckbereich</vt:lpstr>
      <vt:lpstr>CI!Druckbereich</vt:lpstr>
      <vt:lpstr>Erklärung_Lehrpersonen!Druckbereich</vt:lpstr>
      <vt:lpstr>GTS!Druckbereich</vt:lpstr>
      <vt:lpstr>Konti_PTS!Druckbereich</vt:lpstr>
      <vt:lpstr>Kontingent!Druckbereich</vt:lpstr>
      <vt:lpstr>Lehrpersonen!Druckbereich</vt:lpstr>
      <vt:lpstr>Konti_PTS!Drucktitel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Präs/3</dc:creator>
  <cp:lastModifiedBy>Grabher Markus</cp:lastModifiedBy>
  <cp:lastPrinted>2022-04-22T06:46:12Z</cp:lastPrinted>
  <dcterms:created xsi:type="dcterms:W3CDTF">2022-01-26T08:31:30Z</dcterms:created>
  <dcterms:modified xsi:type="dcterms:W3CDTF">2023-09-29T12:25:14Z</dcterms:modified>
</cp:coreProperties>
</file>